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0" windowWidth="28800" windowHeight="12330" activeTab="2"/>
  </bookViews>
  <sheets>
    <sheet name="Estado SCI" sheetId="1" r:id="rId1"/>
    <sheet name="Análisis Resultados" sheetId="3" r:id="rId2"/>
    <sheet name="Conclusión" sheetId="5" r:id="rId3"/>
    <sheet name="Hoja1" sheetId="6" state="hidden" r:id="rId4"/>
  </sheets>
  <externalReferences>
    <externalReference r:id="rId5"/>
  </externalReferences>
  <definedNames>
    <definedName name="_xlnm._FilterDatabase" localSheetId="3" hidden="1">Hoja1!$A$1:$K$45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<sst xmlns="http://schemas.openxmlformats.org/spreadsheetml/2006/main" count="446" uniqueCount="184">
  <si>
    <t>Componente del MECI asociado</t>
  </si>
  <si>
    <t>Lineamiento General por Componente</t>
  </si>
  <si>
    <t xml:space="preserve">Clasificación </t>
  </si>
  <si>
    <t>Observaciones del Control</t>
  </si>
  <si>
    <t>Mantenimiento del Control</t>
  </si>
  <si>
    <t>Existe requerimiento pero se requiere actividades  dirigidas a su mantenimiento dentro del marco de las lineas de defensa.</t>
  </si>
  <si>
    <t>Oportunidad de Mejora</t>
  </si>
  <si>
    <t xml:space="preserve">Deficiencia del Control 
</t>
  </si>
  <si>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</si>
  <si>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</si>
  <si>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</si>
  <si>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</si>
  <si>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</si>
  <si>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</si>
  <si>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</si>
  <si>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</si>
  <si>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</si>
  <si>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</si>
  <si>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</si>
  <si>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</si>
  <si>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</si>
  <si>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</si>
  <si>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</si>
  <si>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</si>
  <si>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</si>
  <si>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</si>
  <si>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</si>
  <si>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</si>
  <si>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</si>
  <si>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</si>
  <si>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</si>
  <si>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</si>
  <si>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</si>
  <si>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</si>
  <si>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</si>
  <si>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</si>
  <si>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</si>
  <si>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</si>
  <si>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</si>
  <si>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</si>
  <si>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</si>
  <si>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</si>
  <si>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</si>
  <si>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</si>
  <si>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</si>
  <si>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</si>
  <si>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</si>
  <si>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</si>
  <si>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</si>
  <si>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</si>
  <si>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</si>
  <si>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</si>
  <si>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</si>
  <si>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</si>
  <si>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</si>
  <si>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</si>
  <si>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</si>
  <si>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</si>
  <si>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</si>
  <si>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</si>
  <si>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</si>
  <si>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</si>
  <si>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</si>
  <si>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</si>
  <si>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</si>
  <si>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</si>
  <si>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</si>
  <si>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</si>
  <si>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</si>
  <si>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</si>
  <si>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</si>
  <si>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</si>
  <si>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</si>
  <si>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</si>
  <si>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</si>
  <si>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</si>
  <si>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</si>
  <si>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</si>
  <si>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</si>
  <si>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</si>
  <si>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</si>
  <si>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</si>
  <si>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</si>
  <si>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</si>
  <si>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</si>
  <si>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</si>
  <si>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</si>
  <si>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</si>
  <si>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</si>
  <si>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</si>
  <si>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</si>
  <si>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</si>
  <si>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</si>
  <si>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</si>
  <si>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</si>
  <si>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</si>
  <si>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</si>
  <si>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</si>
  <si>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</si>
  <si>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</si>
  <si>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</si>
  <si>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</si>
  <si>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</si>
  <si>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</si>
  <si>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</si>
  <si>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</si>
  <si>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</si>
  <si>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</si>
  <si>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</si>
  <si>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</si>
  <si>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</si>
  <si>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</si>
  <si>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</si>
  <si>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</si>
  <si>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</si>
  <si>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</si>
  <si>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</si>
  <si>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</si>
  <si>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</si>
  <si>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</si>
  <si>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</si>
  <si>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</si>
  <si>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</si>
  <si>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</si>
  <si>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</si>
  <si>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</si>
  <si>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</si>
  <si>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</si>
  <si>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</si>
  <si>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</si>
  <si>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</si>
  <si>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</si>
  <si>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</si>
  <si>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</si>
  <si>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</si>
  <si>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</si>
  <si>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</si>
  <si>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</si>
  <si>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</si>
  <si>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</si>
  <si>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</si>
  <si>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</si>
  <si>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</si>
  <si>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</si>
  <si>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</si>
  <si>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</si>
  <si>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</si>
  <si>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</si>
  <si>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</si>
  <si>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</si>
  <si>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</si>
  <si>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</si>
  <si>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</si>
  <si>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</si>
  <si>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</si>
  <si>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</si>
  <si>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</si>
  <si>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</si>
  <si>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</si>
  <si>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</si>
  <si>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</si>
  <si>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</si>
  <si>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</si>
  <si>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</si>
  <si>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</si>
  <si>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</si>
  <si>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</si>
  <si>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</si>
  <si>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</si>
  <si>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</si>
  <si>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</si>
  <si>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</si>
  <si>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</si>
  <si>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</si>
  <si>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INSTITUTO DEPARTAMENTAL DE TRANSITO DEL QUINDIO - IDTQ</t>
  </si>
  <si>
    <t xml:space="preserve">Los componentes del Modelo Estandar de Control Interno (MECI) vienen operando en la entidad y con la expedición del decreto 1499 de 2017, que articula en un solo siistema, el sistema de desarrollo administrativo, el sistema de gestión de calidad , con el sistema de control interno, en el Modelo Integrado de planeación y gestión (MIPG) , desarrollado mediante 7 dimensiones y 19 politícas, la entidad ha  venido implementando este modelo, lo cual le permite mejorar en sus procesos y en el logro de las metas y objetivos institucionales , por lo cual podemos decir que se encuentran operando, no obstante se requiere fortalecer el funcionamiento de cada uno de estos componentes , mediante el compromiso de cada uno de los lideres de procesos, lo cual conllevara al logro de las metas instiucionales y mejorar cada dia en la gestión de la entidad. </t>
  </si>
  <si>
    <t>El Sistema de Control Interno adoptado por la entidad es efectivo, ya que permite reducir el nivel de errores e inconsistencias y  ayuda a que los objetivos del sistema de control se cumplan de manera correcta; puede
presentar deficiencias en algun momento de las operaciones, producto de la falla del factor humano, el recurso talvez mas importante de un sistema de control interno, ya que los procedimientos, las tareas, las decisiones,
entre otras actividades, se ejecutan normalmente por personas, por lo que la experiencia y competencia del recurso humano que haga parte del sistema es un factor determinante  para ejecutar un trabajo con la eficiencia
requerida.</t>
  </si>
  <si>
    <t>La entidad cuenta con una estructura administrativa debidamente aprobada por acuerdo de Junta Directiva que la rige.  se cuenta con el manual de funciones y competencias laborales para cada uno dE los cargos, se tiene conformado y funcionando el Comite Institucional de Coordinación de Control Interno, Asi mismo, se realiza seguimiento permanente al Desarrollo normal de las funciones a traves de los indicadores de Gestion.</t>
  </si>
  <si>
    <r>
      <rPr>
        <b/>
        <sz val="14"/>
        <rFont val="Arial"/>
        <family val="2"/>
      </rPr>
      <t>Fortalezas</t>
    </r>
    <r>
      <rPr>
        <sz val="14"/>
        <rFont val="Arial"/>
        <family val="2"/>
      </rPr>
      <t xml:space="preserve">. Se tiene adoptado el Modelo Integrado de Planeación y Gestión y se viene implementando en la entidad, se cuenta con el Codigo de Integridad, en el primer semestre se elaboró y aprobo el plan estrategico institucional para el periodo 2020-2023, se cuenta con la estructura organizacional y el manual de funciones, los procesos  y procedimientos están debidamente documentados, anualmente se presenta el informe de gestión a los grupos de Interes.                                                                                                                                                                                                                                                                                                                 
</t>
    </r>
    <r>
      <rPr>
        <b/>
        <sz val="14"/>
        <rFont val="Arial"/>
        <family val="2"/>
      </rPr>
      <t>Debilidades</t>
    </r>
    <r>
      <rPr>
        <sz val="14"/>
        <rFont val="Arial"/>
        <family val="2"/>
      </rPr>
      <t>.  La planta de cargos es muy ruducida para las necesidades de la entidad, el plan de capacitación y el de ienestar social son formulados para cada vigencia, pero su ejecución se da en un minimo porcentaje.</t>
    </r>
  </si>
  <si>
    <r>
      <rPr>
        <b/>
        <sz val="14"/>
        <color theme="1"/>
        <rFont val="Arial"/>
        <family val="2"/>
      </rPr>
      <t>Fortalezas</t>
    </r>
    <r>
      <rPr>
        <sz val="14"/>
        <color theme="1"/>
        <rFont val="Arial"/>
        <family val="2"/>
      </rPr>
      <t xml:space="preserve">. En cada vigencia se elabora la matriz de riesgos intitucional y por procesos, en la cual se identifican los riesgos que pueden afectar el cumplimiento de los objetivos y de las metas contenidas en plan estrategico institucional de la entidad, los lideres de cada proceso identifican los riesgos y le hacen seguimientos periodicos a las acciones de control para evitar que estos se materialicen.                                                                                                                                                                                                                           </t>
    </r>
    <r>
      <rPr>
        <b/>
        <sz val="14"/>
        <color theme="1"/>
        <rFont val="Arial"/>
        <family val="2"/>
      </rPr>
      <t>Debilidades.</t>
    </r>
    <r>
      <rPr>
        <sz val="14"/>
        <color theme="1"/>
        <rFont val="Arial"/>
        <family val="2"/>
      </rPr>
      <t xml:space="preserve"> Hace falta más compromiso de los lideres de proceso para
mantener actualizada y realizar los seguimientos en las fechas programadas a la matriz de riesgos.</t>
    </r>
  </si>
  <si>
    <r>
      <rPr>
        <b/>
        <sz val="14"/>
        <color theme="1"/>
        <rFont val="Arial"/>
        <family val="2"/>
      </rPr>
      <t>Fortalezas</t>
    </r>
    <r>
      <rPr>
        <sz val="14"/>
        <color theme="1"/>
        <rFont val="Arial"/>
        <family val="2"/>
      </rPr>
      <t xml:space="preserve">. Dando cumplimiento al Articulo 73 de la ley 1474 de 2011, la entidad elabora en el mes de enero de cada vigencia el Plan Anticorrupción y de Atención al Ciudadano,  el cual es publicado en la pagina web de la entidad. Del mismo modo se tiene elaborada la matriz de riesgos institucional y por procesos, que es el documento que consolida los riesgos.                                                                                                                              </t>
    </r>
    <r>
      <rPr>
        <b/>
        <sz val="14"/>
        <color theme="1"/>
        <rFont val="Arial"/>
        <family val="2"/>
      </rPr>
      <t>Debilidades</t>
    </r>
    <r>
      <rPr>
        <sz val="14"/>
        <color theme="1"/>
        <rFont val="Arial"/>
        <family val="2"/>
      </rPr>
      <t xml:space="preserve">: Debemos mejorar en el seguimientos que se realiza por los liders de proceso a la matriz de riesgo,  dando cumplimiento a las fechas progarmadas para realizar los seguimientos, dado que en ocasiones no se hace de formna oportuna. </t>
    </r>
  </si>
  <si>
    <r>
      <rPr>
        <b/>
        <sz val="14"/>
        <color theme="1"/>
        <rFont val="Arial"/>
        <family val="2"/>
      </rPr>
      <t>Fortalezas</t>
    </r>
    <r>
      <rPr>
        <sz val="14"/>
        <color theme="1"/>
        <rFont val="Arial"/>
        <family val="2"/>
      </rPr>
      <t xml:space="preserve">. La entidad  cuenta con pagina web ( www.idtq.gov.co) que es el canal de comunicación del Instituo con la ciudadania, y correos institucionales de varios procesos, del mismo modo se cuenta con un aplicativo para el manejo de la correspondencia con los ciudadanos, lo cual le permite a estos  consultar el estado de sus peticiones,  en la pagina web se cuenta con un link de  transparencia en el cual se publican los documentos de acuerdo a los lineamientos de las politícas de gobierno en linea.                                                                                                                                                   
</t>
    </r>
    <r>
      <rPr>
        <b/>
        <sz val="14"/>
        <color theme="1"/>
        <rFont val="Arial"/>
        <family val="2"/>
      </rPr>
      <t>Debilidades.</t>
    </r>
    <r>
      <rPr>
        <sz val="14"/>
        <color theme="1"/>
        <rFont val="Arial"/>
        <family val="2"/>
      </rPr>
      <t xml:space="preserve">  La demora en entregar la informacion respectiva por los Lideres de Proceso en la gestion de sus area y asi consolidar oportunamente para el conocimiento de los grupos de interes.</t>
    </r>
  </si>
  <si>
    <r>
      <rPr>
        <b/>
        <sz val="14"/>
        <color theme="1"/>
        <rFont val="Arial"/>
        <family val="2"/>
      </rPr>
      <t>Fortalezas</t>
    </r>
    <r>
      <rPr>
        <sz val="14"/>
        <color theme="1"/>
        <rFont val="Arial"/>
        <family val="2"/>
      </rPr>
      <t xml:space="preserve">. La oficina de Control Interno en el mes de enero de cada vigencia elabora y presenta al Comité Institucional de Coordinación de Control Interno para su aprobación un cronograma de actividades, Un Plan de Gestion de Control Interno y un programa de auditorias a ejecutar en la vigencia, este cronograma contiene actividades de seguimiento a los diferentes procesos con que cuenta la entidad, del mismo modo se realiza seguimiento a los planes de mejoramiento suscritos con los organismos de control,  por el sistema de gestión de calidad se cuenta con una ficha tecnica de indicadores de todos los procesos en la cual se mide el umplimiento de las activiaddes de cada proceso, en la vigencia 2019 se conformo el comite departamental de auditoria en el cual hace parte el Asesor de control interno de Gestion del IDTQ.                                                                                    </t>
    </r>
    <r>
      <rPr>
        <b/>
        <sz val="14"/>
        <color theme="1"/>
        <rFont val="Arial"/>
        <family val="2"/>
      </rPr>
      <t>Debilidades</t>
    </r>
    <r>
      <rPr>
        <sz val="14"/>
        <color theme="1"/>
        <rFont val="Arial"/>
        <family val="2"/>
      </rPr>
      <t>. Hace falta definir los puntos criticos que puedan llegar afectar los proceos y diseñar acciones para hacer un
efectivo control  a la situación que se presente.  Asi mismo, solo se cuenta con un funcionario para todas las actividades de control de la entidad, lo que limita significativamente el alcance en cada una de las areas de la Institucion.</t>
    </r>
  </si>
  <si>
    <t>ENERO 1 A MARZO 31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</si>
</sst>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5"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sz val="12"/>
      <name val="Times New Roman"/>
      <family val="1"/>
    </font>
    <font>
      <sz val="1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color theme="1"/>
      <name val="Calibri"/>
      <family val="2"/>
      <scheme val="minor"/>
    </font>
    <font>
      <sz val="14"/>
      <color theme="1"/>
      <name val="Arial"/>
      <family val="2"/>
    </font>
    <font>
      <sz val="14"/>
      <name val="Arial"/>
      <family val="2"/>
    </font>
    <font>
      <b/>
      <sz val="14"/>
      <color theme="1"/>
      <name val="Arial"/>
      <family val="2"/>
    </font>
  </fonts>
  <fills count="1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s>
  <borders count="72">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0" fillId="0" borderId="0"/>
  </cellStyleXfs>
  <cellXfs count="276">
    <xf numFmtId="0" fontId="0" fillId="0" borderId="0" xfId="0"/>
    <xf numFmtId="0" fontId="0" fillId="4" borderId="0" xfId="0" applyFill="1"/>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0" xfId="0" applyFill="1" applyBorder="1"/>
    <xf numFmtId="0" fontId="7" fillId="4" borderId="0" xfId="0" applyFont="1" applyFill="1" applyBorder="1" applyAlignment="1">
      <alignment horizontal="center"/>
    </xf>
    <xf numFmtId="0" fontId="0" fillId="4" borderId="20"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0"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3" xfId="0" applyFill="1" applyBorder="1"/>
    <xf numFmtId="0" fontId="0" fillId="4" borderId="34" xfId="0" applyFill="1" applyBorder="1"/>
    <xf numFmtId="0" fontId="0" fillId="4" borderId="35"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7" fillId="4" borderId="0" xfId="0" applyFont="1" applyFill="1"/>
    <xf numFmtId="0" fontId="7" fillId="0" borderId="0" xfId="0" applyFont="1"/>
    <xf numFmtId="0" fontId="31" fillId="0" borderId="0" xfId="0" applyFont="1" applyAlignment="1">
      <alignment vertical="top"/>
    </xf>
    <xf numFmtId="49" fontId="31"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38" fillId="9" borderId="10" xfId="0" applyFont="1" applyFill="1" applyBorder="1" applyAlignment="1">
      <alignment horizontal="center" vertical="top" wrapText="1"/>
    </xf>
    <xf numFmtId="49" fontId="39" fillId="5" borderId="7" xfId="0" applyNumberFormat="1" applyFont="1" applyFill="1" applyBorder="1" applyAlignment="1">
      <alignment horizontal="center" vertical="center" wrapText="1"/>
    </xf>
    <xf numFmtId="0" fontId="39" fillId="5" borderId="7" xfId="0" applyFont="1" applyFill="1" applyBorder="1" applyAlignment="1">
      <alignment horizontal="center" vertical="center" wrapText="1"/>
    </xf>
    <xf numFmtId="0" fontId="39" fillId="5" borderId="9" xfId="0" applyFont="1" applyFill="1" applyBorder="1" applyAlignment="1">
      <alignment horizontal="center" vertical="center" wrapText="1"/>
    </xf>
    <xf numFmtId="0" fontId="39" fillId="5" borderId="5" xfId="0" applyFont="1" applyFill="1" applyBorder="1" applyAlignment="1">
      <alignment horizontal="center" vertical="center" wrapText="1"/>
    </xf>
    <xf numFmtId="0" fontId="40" fillId="0" borderId="2" xfId="0" applyFont="1" applyBorder="1" applyAlignment="1">
      <alignment horizontal="center" vertical="center" wrapText="1"/>
    </xf>
    <xf numFmtId="0" fontId="40" fillId="0" borderId="2" xfId="0" applyFont="1" applyBorder="1" applyAlignment="1">
      <alignment horizontal="left" vertical="center" wrapText="1"/>
    </xf>
    <xf numFmtId="0" fontId="40" fillId="0" borderId="3" xfId="0" applyFont="1" applyBorder="1" applyAlignment="1">
      <alignment horizontal="center" vertical="center" wrapText="1"/>
    </xf>
    <xf numFmtId="0" fontId="41" fillId="0" borderId="3" xfId="0" applyFont="1" applyFill="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center" vertical="center" wrapText="1"/>
    </xf>
    <xf numFmtId="0" fontId="40" fillId="0" borderId="4" xfId="0" applyFont="1" applyBorder="1" applyAlignment="1">
      <alignment horizontal="left" vertical="center" wrapText="1"/>
    </xf>
    <xf numFmtId="0" fontId="40" fillId="0" borderId="3" xfId="0" applyFont="1" applyFill="1" applyBorder="1" applyAlignment="1">
      <alignment horizontal="center" vertical="center" wrapText="1"/>
    </xf>
    <xf numFmtId="0" fontId="40"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44"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45" fillId="2" borderId="3" xfId="0" applyFont="1" applyFill="1" applyBorder="1" applyAlignment="1">
      <alignment horizontal="center" vertical="center"/>
    </xf>
    <xf numFmtId="0" fontId="36" fillId="0" borderId="3" xfId="0" applyFont="1" applyFill="1" applyBorder="1" applyAlignment="1">
      <alignment horizontal="center" vertical="center"/>
    </xf>
    <xf numFmtId="0" fontId="47" fillId="0" borderId="0" xfId="0" applyFont="1" applyBorder="1" applyAlignment="1">
      <alignment horizontal="center"/>
    </xf>
    <xf numFmtId="0" fontId="46" fillId="12" borderId="3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1" fillId="0" borderId="0" xfId="0" applyNumberFormat="1" applyFont="1" applyAlignment="1" applyProtection="1">
      <alignment horizontal="center" vertical="top"/>
      <protection hidden="1"/>
    </xf>
    <xf numFmtId="0" fontId="32" fillId="0" borderId="57"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3" fillId="0" borderId="8"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2" fillId="0" borderId="8" xfId="0" applyFont="1" applyBorder="1" applyAlignment="1" applyProtection="1">
      <alignment horizontal="center" vertical="center" wrapText="1"/>
      <protection hidden="1"/>
    </xf>
    <xf numFmtId="0" fontId="32" fillId="0" borderId="58"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2" fillId="0" borderId="57" xfId="0" applyFont="1" applyFill="1" applyBorder="1" applyAlignment="1" applyProtection="1">
      <alignment horizontal="center" vertical="center" wrapText="1"/>
      <protection hidden="1"/>
    </xf>
    <xf numFmtId="0" fontId="37" fillId="0" borderId="2" xfId="0" applyFont="1" applyBorder="1" applyAlignment="1" applyProtection="1">
      <alignment horizontal="center" vertical="center" wrapText="1"/>
      <protection locked="0"/>
    </xf>
    <xf numFmtId="0" fontId="31" fillId="0" borderId="57" xfId="0" applyFont="1" applyBorder="1" applyAlignment="1" applyProtection="1">
      <alignment horizontal="left" vertical="center" wrapText="1"/>
      <protection locked="0"/>
    </xf>
    <xf numFmtId="0" fontId="37" fillId="0" borderId="3"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left" vertical="center" wrapText="1"/>
      <protection locked="0"/>
    </xf>
    <xf numFmtId="0" fontId="37" fillId="0" borderId="3" xfId="0" applyFont="1" applyBorder="1" applyAlignment="1" applyProtection="1">
      <alignment horizontal="center" vertical="center" wrapText="1"/>
      <protection locked="0"/>
    </xf>
    <xf numFmtId="0" fontId="31" fillId="0" borderId="8" xfId="0" applyFont="1" applyBorder="1" applyAlignment="1" applyProtection="1">
      <alignment horizontal="left" vertical="center" wrapText="1"/>
      <protection locked="0"/>
    </xf>
    <xf numFmtId="0" fontId="37" fillId="0" borderId="4" xfId="0" applyFont="1" applyBorder="1" applyAlignment="1" applyProtection="1">
      <alignment horizontal="center" vertical="center" wrapText="1"/>
      <protection locked="0"/>
    </xf>
    <xf numFmtId="0" fontId="31" fillId="0" borderId="58" xfId="0" applyFont="1" applyBorder="1" applyAlignment="1" applyProtection="1">
      <alignment horizontal="left" vertical="center" wrapText="1"/>
      <protection locked="0"/>
    </xf>
    <xf numFmtId="0" fontId="37" fillId="0" borderId="2" xfId="0" applyFont="1" applyFill="1" applyBorder="1" applyAlignment="1" applyProtection="1">
      <alignment horizontal="center" vertical="center" wrapText="1"/>
      <protection locked="0"/>
    </xf>
    <xf numFmtId="0" fontId="31" fillId="0" borderId="57" xfId="0" applyFont="1" applyFill="1" applyBorder="1" applyAlignment="1" applyProtection="1">
      <alignment horizontal="left" vertical="center" wrapText="1"/>
      <protection locked="0"/>
    </xf>
    <xf numFmtId="0" fontId="19" fillId="2" borderId="60" xfId="2" applyFont="1" applyFill="1" applyBorder="1" applyAlignment="1" applyProtection="1">
      <alignment horizontal="center" vertical="center"/>
    </xf>
    <xf numFmtId="0" fontId="19" fillId="2" borderId="60"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34" fillId="0" borderId="62"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34" fillId="0" borderId="63"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34" fillId="0" borderId="64"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34"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34" fillId="0" borderId="6" xfId="0" applyFont="1" applyFill="1" applyBorder="1" applyAlignment="1" applyProtection="1">
      <alignment vertical="center" wrapText="1"/>
      <protection hidden="1"/>
    </xf>
    <xf numFmtId="0" fontId="34" fillId="0" borderId="3" xfId="0" applyFont="1" applyFill="1" applyBorder="1" applyAlignment="1" applyProtection="1">
      <alignment vertical="center" wrapText="1"/>
      <protection hidden="1"/>
    </xf>
    <xf numFmtId="0" fontId="34" fillId="0" borderId="7" xfId="0" applyFont="1" applyFill="1" applyBorder="1" applyAlignment="1" applyProtection="1">
      <alignment vertical="center" wrapText="1"/>
      <protection hidden="1"/>
    </xf>
    <xf numFmtId="0" fontId="42" fillId="0" borderId="21" xfId="0" applyFont="1" applyBorder="1" applyAlignment="1" applyProtection="1">
      <alignment horizontal="center" vertical="center"/>
      <protection hidden="1"/>
    </xf>
    <xf numFmtId="9" fontId="0" fillId="0" borderId="68" xfId="0" applyNumberFormat="1" applyBorder="1" applyAlignment="1" applyProtection="1">
      <alignment horizontal="center" vertical="center"/>
      <protection hidden="1"/>
    </xf>
    <xf numFmtId="9" fontId="0" fillId="0" borderId="69" xfId="0" applyNumberFormat="1" applyBorder="1" applyAlignment="1" applyProtection="1">
      <alignment horizontal="center" vertical="center"/>
      <protection hidden="1"/>
    </xf>
    <xf numFmtId="9" fontId="0" fillId="0" borderId="70" xfId="0" applyNumberFormat="1" applyBorder="1" applyAlignment="1" applyProtection="1">
      <alignment horizontal="center" vertical="center"/>
      <protection hidden="1"/>
    </xf>
    <xf numFmtId="9" fontId="0" fillId="0" borderId="71"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36" fillId="2" borderId="25" xfId="0" applyNumberFormat="1" applyFont="1" applyFill="1" applyBorder="1" applyAlignment="1" applyProtection="1">
      <alignment horizontal="center" vertical="center"/>
      <protection hidden="1"/>
    </xf>
    <xf numFmtId="0" fontId="36"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49" fillId="4" borderId="2" xfId="0" applyNumberFormat="1" applyFont="1" applyFill="1" applyBorder="1" applyAlignment="1" applyProtection="1">
      <alignment horizontal="center" vertical="center" wrapText="1"/>
      <protection locked="0"/>
    </xf>
    <xf numFmtId="49" fontId="49" fillId="4" borderId="3" xfId="0" applyNumberFormat="1" applyFont="1" applyFill="1" applyBorder="1" applyAlignment="1" applyProtection="1">
      <alignment horizontal="center" vertical="center" wrapText="1"/>
      <protection locked="0"/>
    </xf>
    <xf numFmtId="49" fontId="49"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9" xfId="0" applyFont="1" applyFill="1" applyBorder="1" applyAlignment="1" applyProtection="1">
      <alignment horizontal="center" vertical="center" wrapText="1"/>
      <protection hidden="1"/>
    </xf>
    <xf numFmtId="0" fontId="18" fillId="5" borderId="59"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38" fillId="9" borderId="13" xfId="0" applyNumberFormat="1" applyFont="1" applyFill="1" applyBorder="1" applyAlignment="1">
      <alignment horizontal="center" vertical="center" wrapText="1"/>
    </xf>
    <xf numFmtId="49" fontId="38" fillId="9" borderId="10" xfId="0" applyNumberFormat="1" applyFont="1" applyFill="1" applyBorder="1" applyAlignment="1">
      <alignment horizontal="center" vertical="center" wrapText="1"/>
    </xf>
    <xf numFmtId="0" fontId="38" fillId="9" borderId="10" xfId="0" applyFont="1" applyFill="1" applyBorder="1" applyAlignment="1">
      <alignment horizontal="center" vertical="center" wrapText="1"/>
    </xf>
    <xf numFmtId="0" fontId="38" fillId="9" borderId="11" xfId="0" applyFont="1" applyFill="1" applyBorder="1" applyAlignment="1">
      <alignment horizontal="center" vertical="center" wrapText="1"/>
    </xf>
    <xf numFmtId="0" fontId="38" fillId="9" borderId="6" xfId="0" applyFont="1" applyFill="1" applyBorder="1" applyAlignment="1">
      <alignment horizontal="center" vertical="center" wrapText="1"/>
    </xf>
    <xf numFmtId="49" fontId="38" fillId="9" borderId="13" xfId="0" applyNumberFormat="1" applyFont="1" applyFill="1" applyBorder="1" applyAlignment="1">
      <alignment horizontal="center" vertical="center" wrapText="1"/>
    </xf>
    <xf numFmtId="49" fontId="38" fillId="9" borderId="14" xfId="0" applyNumberFormat="1" applyFont="1" applyFill="1" applyBorder="1" applyAlignment="1">
      <alignment horizontal="center" vertical="center" wrapText="1"/>
    </xf>
    <xf numFmtId="49" fontId="38" fillId="9" borderId="15" xfId="0" applyNumberFormat="1" applyFont="1" applyFill="1" applyBorder="1" applyAlignment="1">
      <alignment horizontal="center" vertical="center" wrapText="1"/>
    </xf>
    <xf numFmtId="49" fontId="38" fillId="6" borderId="10" xfId="0" applyNumberFormat="1" applyFont="1" applyFill="1" applyBorder="1" applyAlignment="1">
      <alignment horizontal="center" vertical="center" wrapText="1"/>
    </xf>
    <xf numFmtId="49" fontId="38" fillId="6" borderId="11" xfId="0" applyNumberFormat="1" applyFont="1" applyFill="1" applyBorder="1" applyAlignment="1">
      <alignment horizontal="center" vertical="center" wrapText="1"/>
    </xf>
    <xf numFmtId="49" fontId="38" fillId="6" borderId="12" xfId="0" applyNumberFormat="1" applyFont="1" applyFill="1" applyBorder="1" applyAlignment="1">
      <alignment horizontal="center" vertical="center" wrapText="1"/>
    </xf>
    <xf numFmtId="49" fontId="38" fillId="10" borderId="10" xfId="0" applyNumberFormat="1" applyFont="1" applyFill="1" applyBorder="1" applyAlignment="1">
      <alignment horizontal="center" vertical="center" wrapText="1"/>
    </xf>
    <xf numFmtId="49" fontId="38" fillId="10" borderId="11" xfId="0" applyNumberFormat="1" applyFont="1" applyFill="1" applyBorder="1" applyAlignment="1">
      <alignment horizontal="center" vertical="center" wrapText="1"/>
    </xf>
    <xf numFmtId="49" fontId="38" fillId="10" borderId="12" xfId="0" applyNumberFormat="1" applyFont="1" applyFill="1" applyBorder="1" applyAlignment="1">
      <alignment horizontal="center" vertical="center" wrapText="1"/>
    </xf>
    <xf numFmtId="49" fontId="38" fillId="2" borderId="10" xfId="0" applyNumberFormat="1" applyFont="1" applyFill="1" applyBorder="1" applyAlignment="1">
      <alignment horizontal="center" vertical="center" wrapText="1"/>
    </xf>
    <xf numFmtId="49" fontId="38" fillId="2" borderId="11" xfId="0" applyNumberFormat="1" applyFont="1" applyFill="1" applyBorder="1" applyAlignment="1">
      <alignment horizontal="center" vertical="center" wrapText="1"/>
    </xf>
    <xf numFmtId="49" fontId="38" fillId="2" borderId="12" xfId="0" applyNumberFormat="1" applyFont="1" applyFill="1" applyBorder="1" applyAlignment="1">
      <alignment horizontal="center" vertical="center" wrapText="1"/>
    </xf>
    <xf numFmtId="49" fontId="38" fillId="11" borderId="10" xfId="0" applyNumberFormat="1" applyFont="1" applyFill="1" applyBorder="1" applyAlignment="1">
      <alignment horizontal="center" vertical="center" wrapText="1"/>
    </xf>
    <xf numFmtId="49" fontId="38" fillId="11" borderId="11" xfId="0" applyNumberFormat="1" applyFont="1" applyFill="1" applyBorder="1" applyAlignment="1">
      <alignment horizontal="center" vertical="center" wrapText="1"/>
    </xf>
    <xf numFmtId="49" fontId="38" fillId="11" borderId="12" xfId="0" applyNumberFormat="1" applyFont="1" applyFill="1" applyBorder="1" applyAlignment="1">
      <alignment horizontal="center" vertical="center" wrapText="1"/>
    </xf>
    <xf numFmtId="49" fontId="38" fillId="9" borderId="10" xfId="0" applyNumberFormat="1" applyFont="1" applyFill="1" applyBorder="1" applyAlignment="1">
      <alignment horizontal="center" vertical="center" wrapText="1"/>
    </xf>
    <xf numFmtId="49" fontId="38" fillId="9" borderId="11" xfId="0" applyNumberFormat="1" applyFont="1" applyFill="1" applyBorder="1" applyAlignment="1">
      <alignment horizontal="center" vertical="center" wrapText="1"/>
    </xf>
    <xf numFmtId="49" fontId="38" fillId="9" borderId="12" xfId="0" applyNumberFormat="1" applyFont="1" applyFill="1" applyBorder="1" applyAlignment="1">
      <alignment horizontal="center" vertical="center" wrapText="1"/>
    </xf>
    <xf numFmtId="49" fontId="38" fillId="10" borderId="3" xfId="0" applyNumberFormat="1" applyFont="1" applyFill="1" applyBorder="1" applyAlignment="1">
      <alignment horizontal="center" vertical="center" wrapText="1"/>
    </xf>
    <xf numFmtId="0" fontId="38" fillId="10" borderId="3" xfId="0" applyFont="1" applyFill="1" applyBorder="1" applyAlignment="1">
      <alignment horizontal="center" vertical="center" wrapText="1"/>
    </xf>
    <xf numFmtId="49" fontId="38" fillId="10" borderId="14" xfId="0" applyNumberFormat="1" applyFont="1" applyFill="1" applyBorder="1" applyAlignment="1">
      <alignment horizontal="center" vertical="center" wrapText="1"/>
    </xf>
    <xf numFmtId="0" fontId="38" fillId="10" borderId="11" xfId="0" applyFont="1" applyFill="1" applyBorder="1" applyAlignment="1">
      <alignment horizontal="center" vertical="center" wrapText="1"/>
    </xf>
    <xf numFmtId="49" fontId="38" fillId="2" borderId="13" xfId="0" applyNumberFormat="1" applyFont="1" applyFill="1" applyBorder="1" applyAlignment="1">
      <alignment horizontal="center" vertical="center" wrapText="1"/>
    </xf>
    <xf numFmtId="49" fontId="38" fillId="2" borderId="14" xfId="0" applyNumberFormat="1" applyFont="1" applyFill="1" applyBorder="1" applyAlignment="1">
      <alignment horizontal="center" vertical="center" wrapText="1"/>
    </xf>
    <xf numFmtId="49" fontId="38" fillId="2" borderId="15" xfId="0" applyNumberFormat="1" applyFont="1" applyFill="1" applyBorder="1" applyAlignment="1">
      <alignment horizontal="center" vertical="center" wrapText="1"/>
    </xf>
    <xf numFmtId="0" fontId="38" fillId="2" borderId="10"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2" xfId="0" applyFont="1" applyFill="1" applyBorder="1" applyAlignment="1">
      <alignment horizontal="center" vertical="center" wrapText="1"/>
    </xf>
    <xf numFmtId="49" fontId="39" fillId="5" borderId="0" xfId="0" applyNumberFormat="1" applyFont="1" applyFill="1" applyBorder="1" applyAlignment="1">
      <alignment horizontal="center" vertical="center"/>
    </xf>
    <xf numFmtId="0" fontId="38" fillId="11" borderId="10" xfId="0" applyFont="1" applyFill="1" applyBorder="1" applyAlignment="1">
      <alignment horizontal="center" vertical="center" wrapText="1"/>
    </xf>
    <xf numFmtId="0" fontId="38" fillId="11" borderId="11" xfId="0" applyFont="1" applyFill="1" applyBorder="1" applyAlignment="1">
      <alignment horizontal="center" vertical="center" wrapText="1"/>
    </xf>
    <xf numFmtId="0" fontId="38" fillId="11" borderId="12" xfId="0" applyFont="1" applyFill="1" applyBorder="1" applyAlignment="1">
      <alignment horizontal="center" vertical="center" wrapText="1"/>
    </xf>
    <xf numFmtId="49" fontId="38" fillId="11" borderId="13" xfId="0" applyNumberFormat="1" applyFont="1" applyFill="1" applyBorder="1" applyAlignment="1">
      <alignment horizontal="center" vertical="center" wrapText="1"/>
    </xf>
    <xf numFmtId="49" fontId="38" fillId="11" borderId="14" xfId="0" applyNumberFormat="1" applyFont="1" applyFill="1" applyBorder="1" applyAlignment="1">
      <alignment horizontal="center" vertical="center" wrapText="1"/>
    </xf>
    <xf numFmtId="49" fontId="38" fillId="11" borderId="15" xfId="0" applyNumberFormat="1" applyFont="1" applyFill="1" applyBorder="1" applyAlignment="1">
      <alignment horizontal="center" vertical="center" wrapText="1"/>
    </xf>
    <xf numFmtId="0" fontId="38" fillId="9" borderId="12" xfId="0" applyFont="1" applyFill="1" applyBorder="1" applyAlignment="1">
      <alignment horizontal="center" vertical="center" wrapText="1"/>
    </xf>
    <xf numFmtId="0" fontId="38" fillId="6" borderId="10"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8" fillId="6" borderId="12" xfId="0" applyFont="1" applyFill="1" applyBorder="1" applyAlignment="1">
      <alignment horizontal="center" vertical="center" wrapText="1"/>
    </xf>
    <xf numFmtId="49" fontId="8" fillId="6" borderId="13" xfId="0" applyNumberFormat="1"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10" borderId="13"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0" fontId="38" fillId="10" borderId="10" xfId="0" applyFont="1" applyFill="1" applyBorder="1" applyAlignment="1">
      <alignment horizontal="center" vertical="center" wrapText="1"/>
    </xf>
    <xf numFmtId="0" fontId="38" fillId="10" borderId="12" xfId="0" applyFont="1" applyFill="1" applyBorder="1" applyAlignment="1">
      <alignment horizontal="center" vertical="center" wrapText="1"/>
    </xf>
    <xf numFmtId="9" fontId="35" fillId="0" borderId="65" xfId="0" applyNumberFormat="1" applyFont="1" applyBorder="1" applyAlignment="1" applyProtection="1">
      <alignment horizontal="center" vertical="center"/>
      <protection hidden="1"/>
    </xf>
    <xf numFmtId="9" fontId="35" fillId="0" borderId="66" xfId="0" applyNumberFormat="1" applyFont="1" applyBorder="1" applyAlignment="1" applyProtection="1">
      <alignment horizontal="center" vertical="center"/>
      <protection hidden="1"/>
    </xf>
    <xf numFmtId="0" fontId="25" fillId="8" borderId="51" xfId="2" applyNumberFormat="1" applyFont="1" applyFill="1" applyBorder="1" applyAlignment="1" applyProtection="1">
      <alignment horizontal="center" vertical="center" wrapText="1"/>
    </xf>
    <xf numFmtId="0" fontId="25" fillId="8" borderId="52" xfId="2" applyNumberFormat="1" applyFont="1" applyFill="1" applyBorder="1" applyAlignment="1" applyProtection="1">
      <alignment horizontal="center" vertical="center"/>
    </xf>
    <xf numFmtId="0" fontId="26" fillId="0" borderId="52" xfId="2" applyFont="1" applyFill="1" applyBorder="1" applyAlignment="1" applyProtection="1">
      <alignment horizontal="justify" vertical="center" wrapText="1"/>
    </xf>
    <xf numFmtId="0" fontId="26" fillId="0" borderId="53" xfId="2" applyFont="1" applyFill="1" applyBorder="1" applyAlignment="1" applyProtection="1">
      <alignment horizontal="justify" vertical="center" wrapText="1"/>
    </xf>
    <xf numFmtId="9" fontId="28" fillId="7" borderId="62" xfId="1" applyFont="1" applyFill="1" applyBorder="1" applyAlignment="1" applyProtection="1">
      <alignment horizontal="center" vertical="center"/>
      <protection hidden="1"/>
    </xf>
    <xf numFmtId="9" fontId="28" fillId="7" borderId="63" xfId="1" applyFont="1" applyFill="1" applyBorder="1" applyAlignment="1" applyProtection="1">
      <alignment horizontal="center" vertical="center"/>
      <protection hidden="1"/>
    </xf>
    <xf numFmtId="9" fontId="28" fillId="7" borderId="64" xfId="1" applyFont="1" applyFill="1" applyBorder="1" applyAlignment="1" applyProtection="1">
      <alignment horizontal="center" vertical="center"/>
      <protection hidden="1"/>
    </xf>
    <xf numFmtId="0" fontId="27" fillId="9" borderId="13" xfId="0" applyFont="1" applyFill="1" applyBorder="1" applyAlignment="1">
      <alignment horizontal="center" vertical="center" textRotation="90"/>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9" fontId="35" fillId="4" borderId="65" xfId="0" applyNumberFormat="1" applyFont="1" applyFill="1" applyBorder="1" applyAlignment="1" applyProtection="1">
      <alignment horizontal="center" vertical="center"/>
      <protection hidden="1"/>
    </xf>
    <xf numFmtId="9" fontId="35" fillId="4" borderId="66" xfId="0" applyNumberFormat="1" applyFont="1" applyFill="1" applyBorder="1" applyAlignment="1" applyProtection="1">
      <alignment horizontal="center" vertical="center"/>
      <protection hidden="1"/>
    </xf>
    <xf numFmtId="9" fontId="35" fillId="4" borderId="67" xfId="0" applyNumberFormat="1" applyFont="1" applyFill="1" applyBorder="1" applyAlignment="1" applyProtection="1">
      <alignment horizontal="center" vertical="center"/>
      <protection hidden="1"/>
    </xf>
    <xf numFmtId="0" fontId="27" fillId="11" borderId="14" xfId="0" applyFont="1" applyFill="1" applyBorder="1" applyAlignment="1">
      <alignment horizontal="center" vertical="center" textRotation="90"/>
    </xf>
    <xf numFmtId="0" fontId="27" fillId="2" borderId="13"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9" fontId="35" fillId="0" borderId="67" xfId="0" applyNumberFormat="1" applyFont="1" applyBorder="1" applyAlignment="1" applyProtection="1">
      <alignment horizontal="center" vertical="center"/>
      <protection hidden="1"/>
    </xf>
    <xf numFmtId="0" fontId="27" fillId="10" borderId="13" xfId="0" applyFont="1" applyFill="1" applyBorder="1" applyAlignment="1">
      <alignment horizontal="center" vertical="center" textRotation="90"/>
    </xf>
    <xf numFmtId="0" fontId="27" fillId="10" borderId="14" xfId="0" applyFont="1" applyFill="1" applyBorder="1" applyAlignment="1">
      <alignment horizontal="center" vertical="center" textRotation="90"/>
    </xf>
    <xf numFmtId="0" fontId="25" fillId="7" borderId="49" xfId="2" applyNumberFormat="1" applyFont="1" applyFill="1" applyBorder="1" applyAlignment="1" applyProtection="1">
      <alignment horizontal="center" vertical="center"/>
    </xf>
    <xf numFmtId="0" fontId="25" fillId="7" borderId="50" xfId="2" applyNumberFormat="1" applyFont="1" applyFill="1" applyBorder="1" applyAlignment="1" applyProtection="1">
      <alignment horizontal="center" vertical="center"/>
    </xf>
    <xf numFmtId="0" fontId="26" fillId="0" borderId="54" xfId="2" applyFont="1" applyFill="1" applyBorder="1" applyAlignment="1" applyProtection="1">
      <alignment horizontal="justify" vertical="center" wrapText="1"/>
    </xf>
    <xf numFmtId="0" fontId="26" fillId="0" borderId="55" xfId="2" applyFont="1" applyFill="1" applyBorder="1" applyAlignment="1" applyProtection="1">
      <alignment horizontal="justify" vertical="center" wrapText="1"/>
    </xf>
    <xf numFmtId="0" fontId="19" fillId="3" borderId="31" xfId="2" applyFont="1" applyFill="1" applyBorder="1" applyAlignment="1" applyProtection="1">
      <alignment horizontal="center" vertical="center" wrapText="1"/>
    </xf>
    <xf numFmtId="0" fontId="19" fillId="3" borderId="32" xfId="2" applyFont="1" applyFill="1" applyBorder="1" applyAlignment="1" applyProtection="1">
      <alignment horizontal="center" vertical="center" wrapText="1"/>
    </xf>
    <xf numFmtId="0" fontId="23" fillId="6" borderId="13" xfId="0" applyFont="1" applyFill="1" applyBorder="1" applyAlignment="1">
      <alignment horizontal="center" vertical="center" textRotation="90"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19" fillId="2" borderId="36" xfId="2" applyFont="1" applyFill="1" applyBorder="1" applyAlignment="1" applyProtection="1">
      <alignment horizontal="center" vertical="center" wrapText="1"/>
    </xf>
    <xf numFmtId="0" fontId="19" fillId="2" borderId="61" xfId="2" applyFont="1" applyFill="1" applyBorder="1" applyAlignment="1" applyProtection="1">
      <alignment horizontal="center" vertical="center" wrapText="1"/>
    </xf>
    <xf numFmtId="0" fontId="19" fillId="2" borderId="37"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6" fillId="2" borderId="2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4" xfId="0" applyFont="1" applyFill="1" applyBorder="1" applyAlignment="1">
      <alignment horizontal="center" vertical="center"/>
    </xf>
    <xf numFmtId="0" fontId="17" fillId="2" borderId="43" xfId="2" applyNumberFormat="1" applyFont="1" applyFill="1" applyBorder="1" applyAlignment="1" applyProtection="1">
      <alignment horizontal="center"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14" borderId="46" xfId="2" applyNumberFormat="1" applyFont="1" applyFill="1" applyBorder="1" applyAlignment="1" applyProtection="1">
      <alignment horizontal="center" vertical="center"/>
    </xf>
    <xf numFmtId="0" fontId="25" fillId="14" borderId="47" xfId="2" applyNumberFormat="1" applyFont="1" applyFill="1" applyBorder="1" applyAlignment="1" applyProtection="1">
      <alignment horizontal="center" vertical="center"/>
    </xf>
    <xf numFmtId="0" fontId="26" fillId="0" borderId="47" xfId="2" applyFont="1" applyFill="1" applyBorder="1" applyAlignment="1" applyProtection="1">
      <alignment horizontal="justify" vertical="center" wrapText="1"/>
    </xf>
    <xf numFmtId="0" fontId="26" fillId="0" borderId="48" xfId="2" applyFont="1" applyFill="1" applyBorder="1" applyAlignment="1" applyProtection="1">
      <alignment horizontal="justify" vertical="center" wrapText="1"/>
    </xf>
    <xf numFmtId="49" fontId="43" fillId="4" borderId="69" xfId="0" applyNumberFormat="1" applyFont="1" applyFill="1" applyBorder="1" applyAlignment="1">
      <alignment horizontal="left" vertical="center" wrapText="1"/>
    </xf>
    <xf numFmtId="49" fontId="43" fillId="4" borderId="3" xfId="0" applyNumberFormat="1" applyFont="1" applyFill="1" applyBorder="1" applyAlignment="1">
      <alignment horizontal="left" vertical="center" wrapText="1"/>
    </xf>
    <xf numFmtId="49" fontId="43" fillId="4" borderId="70" xfId="0" applyNumberFormat="1" applyFont="1" applyFill="1" applyBorder="1" applyAlignment="1">
      <alignment horizontal="left" vertical="center" wrapText="1"/>
    </xf>
    <xf numFmtId="49" fontId="43" fillId="4" borderId="4" xfId="0" applyNumberFormat="1" applyFont="1" applyFill="1" applyBorder="1" applyAlignment="1">
      <alignment horizontal="left" vertical="center" wrapText="1"/>
    </xf>
    <xf numFmtId="0" fontId="45" fillId="2" borderId="7"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50" fillId="4" borderId="3" xfId="0" applyFont="1" applyFill="1" applyBorder="1" applyAlignment="1" applyProtection="1">
      <alignment horizontal="center" vertical="center"/>
      <protection locked="0"/>
    </xf>
    <xf numFmtId="164" fontId="50" fillId="4" borderId="21" xfId="0" applyNumberFormat="1" applyFont="1" applyFill="1" applyBorder="1" applyAlignment="1" applyProtection="1">
      <alignment horizontal="center" vertical="center"/>
      <protection locked="0"/>
    </xf>
    <xf numFmtId="164" fontId="50" fillId="4" borderId="22" xfId="0" applyNumberFormat="1" applyFont="1" applyFill="1" applyBorder="1" applyAlignment="1" applyProtection="1">
      <alignment horizontal="center" vertical="center"/>
      <protection locked="0"/>
    </xf>
    <xf numFmtId="164" fontId="50" fillId="4" borderId="8" xfId="0" applyNumberFormat="1" applyFont="1" applyFill="1" applyBorder="1" applyAlignment="1" applyProtection="1">
      <alignment horizontal="center" vertical="center"/>
      <protection locked="0"/>
    </xf>
    <xf numFmtId="0" fontId="46" fillId="2" borderId="23"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49" fontId="43" fillId="4" borderId="68" xfId="0" applyNumberFormat="1" applyFont="1" applyFill="1" applyBorder="1" applyAlignment="1">
      <alignment horizontal="left" vertical="center" wrapText="1"/>
    </xf>
    <xf numFmtId="49" fontId="43" fillId="4" borderId="2" xfId="0" applyNumberFormat="1" applyFont="1" applyFill="1" applyBorder="1" applyAlignment="1">
      <alignment horizontal="left" vertical="center" wrapText="1"/>
    </xf>
    <xf numFmtId="49" fontId="20" fillId="4" borderId="2" xfId="0" applyNumberFormat="1" applyFont="1" applyFill="1" applyBorder="1" applyAlignment="1" applyProtection="1">
      <alignment horizontal="left" vertical="top" wrapText="1"/>
      <protection locked="0"/>
    </xf>
    <xf numFmtId="49" fontId="51" fillId="4" borderId="2" xfId="0" applyNumberFormat="1" applyFont="1" applyFill="1" applyBorder="1" applyAlignment="1" applyProtection="1">
      <alignment horizontal="left" vertical="top" wrapText="1"/>
      <protection locked="0"/>
    </xf>
    <xf numFmtId="49" fontId="51" fillId="4" borderId="62" xfId="0" applyNumberFormat="1" applyFont="1" applyFill="1" applyBorder="1" applyAlignment="1" applyProtection="1">
      <alignment horizontal="left" vertical="top" wrapText="1"/>
      <protection locked="0"/>
    </xf>
    <xf numFmtId="49" fontId="51" fillId="4" borderId="3" xfId="0" applyNumberFormat="1" applyFont="1" applyFill="1" applyBorder="1" applyAlignment="1" applyProtection="1">
      <alignment horizontal="left" vertical="top" wrapText="1"/>
      <protection locked="0"/>
    </xf>
    <xf numFmtId="49" fontId="51" fillId="4" borderId="63" xfId="0" applyNumberFormat="1" applyFont="1" applyFill="1" applyBorder="1" applyAlignment="1" applyProtection="1">
      <alignment horizontal="left" vertical="top" wrapText="1"/>
      <protection locked="0"/>
    </xf>
    <xf numFmtId="49" fontId="51" fillId="4" borderId="4" xfId="0" applyNumberFormat="1" applyFont="1" applyFill="1" applyBorder="1" applyAlignment="1" applyProtection="1">
      <alignment horizontal="left" vertical="top" wrapText="1"/>
      <protection locked="0"/>
    </xf>
    <xf numFmtId="49" fontId="51" fillId="4" borderId="64" xfId="0" applyNumberFormat="1" applyFont="1" applyFill="1" applyBorder="1" applyAlignment="1" applyProtection="1">
      <alignment horizontal="left" vertical="top" wrapText="1"/>
      <protection locked="0"/>
    </xf>
    <xf numFmtId="0" fontId="52" fillId="0" borderId="23" xfId="0" applyFont="1" applyBorder="1" applyAlignment="1" applyProtection="1">
      <alignment horizontal="left" wrapText="1"/>
      <protection locked="0"/>
    </xf>
    <xf numFmtId="0" fontId="52" fillId="0" borderId="1" xfId="0" applyFont="1" applyBorder="1" applyAlignment="1" applyProtection="1">
      <alignment horizontal="left"/>
      <protection locked="0"/>
    </xf>
    <xf numFmtId="0" fontId="52" fillId="0" borderId="24" xfId="0" applyFont="1" applyBorder="1" applyAlignment="1" applyProtection="1">
      <alignment horizontal="left"/>
      <protection locked="0"/>
    </xf>
    <xf numFmtId="0" fontId="46" fillId="12" borderId="0" xfId="0" applyFont="1" applyFill="1" applyBorder="1" applyAlignment="1">
      <alignment horizontal="center" vertical="center" wrapText="1"/>
    </xf>
    <xf numFmtId="0" fontId="53" fillId="0" borderId="23" xfId="0" applyFont="1" applyFill="1" applyBorder="1" applyAlignment="1" applyProtection="1">
      <alignment horizontal="left" vertical="center" wrapText="1"/>
      <protection locked="0"/>
    </xf>
    <xf numFmtId="0" fontId="53" fillId="0" borderId="1" xfId="0" applyFont="1" applyFill="1" applyBorder="1" applyAlignment="1" applyProtection="1">
      <alignment horizontal="left" vertical="center"/>
      <protection locked="0"/>
    </xf>
    <xf numFmtId="0" fontId="53" fillId="0" borderId="24" xfId="0" applyFont="1" applyFill="1" applyBorder="1" applyAlignment="1" applyProtection="1">
      <alignment horizontal="left" vertical="center"/>
      <protection locked="0"/>
    </xf>
    <xf numFmtId="0" fontId="0" fillId="0" borderId="56" xfId="0" applyBorder="1" applyAlignment="1">
      <alignment horizontal="center"/>
    </xf>
    <xf numFmtId="0" fontId="52" fillId="0" borderId="1" xfId="0" applyFont="1" applyBorder="1" applyAlignment="1">
      <alignment horizontal="left"/>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opLeftCell="B55" zoomScale="98" zoomScaleNormal="98" workbookViewId="0">
      <selection activeCell="G56" sqref="G56"/>
    </sheetView>
  </sheetViews>
  <sheetFormatPr baseColWidth="10" defaultColWidth="11.42578125" defaultRowHeight="16.5" x14ac:dyDescent="0.3"/>
  <cols>
    <col min="1" max="1" width="3" style="46" hidden="1" customWidth="1"/>
    <col min="2" max="2" width="9.42578125" style="46" customWidth="1"/>
    <col min="3" max="3" width="25.5703125" style="46" customWidth="1"/>
    <col min="4" max="4" width="46.5703125" style="46" customWidth="1"/>
    <col min="5" max="5" width="10.140625" style="51" customWidth="1"/>
    <col min="6" max="6" width="44.5703125" style="51" customWidth="1"/>
    <col min="7" max="7" width="15.42578125" style="46" customWidth="1"/>
    <col min="8" max="9" width="43" style="46" customWidth="1"/>
    <col min="10" max="12" width="11.42578125" style="56" customWidth="1"/>
    <col min="13" max="24" width="11.42578125" style="46" customWidth="1"/>
    <col min="25" max="16384" width="11.42578125" style="46"/>
  </cols>
  <sheetData>
    <row r="1" spans="1:32" x14ac:dyDescent="0.3">
      <c r="B1" s="45"/>
      <c r="C1" s="45"/>
      <c r="D1" s="45"/>
      <c r="E1" s="50"/>
      <c r="F1" s="50"/>
      <c r="G1" s="45"/>
      <c r="H1" s="45"/>
      <c r="I1" s="45"/>
      <c r="J1" s="52"/>
      <c r="K1" s="52"/>
      <c r="L1" s="53"/>
      <c r="M1" s="45"/>
      <c r="N1" s="45"/>
      <c r="O1" s="45"/>
      <c r="P1" s="45"/>
      <c r="Q1" s="45"/>
      <c r="R1" s="45"/>
      <c r="S1" s="45"/>
      <c r="T1" s="45"/>
      <c r="U1" s="45"/>
      <c r="V1" s="45"/>
      <c r="W1" s="45"/>
      <c r="X1" s="45"/>
    </row>
    <row r="2" spans="1:32" x14ac:dyDescent="0.3">
      <c r="B2" s="45"/>
      <c r="C2" s="45"/>
      <c r="D2" s="45"/>
      <c r="E2" s="50"/>
      <c r="F2" s="50"/>
      <c r="G2" s="45"/>
      <c r="H2" s="45"/>
      <c r="I2" s="45"/>
      <c r="J2" s="52"/>
      <c r="K2" s="52"/>
      <c r="L2" s="53"/>
      <c r="M2" s="45"/>
      <c r="N2" s="45"/>
      <c r="O2" s="45"/>
      <c r="P2" s="45"/>
      <c r="Q2" s="45"/>
      <c r="R2" s="45"/>
      <c r="S2" s="45"/>
      <c r="T2" s="45"/>
      <c r="U2" s="45"/>
      <c r="V2" s="45"/>
      <c r="W2" s="45"/>
      <c r="X2" s="45"/>
    </row>
    <row r="3" spans="1:32" x14ac:dyDescent="0.3">
      <c r="B3" s="45"/>
      <c r="C3" s="45"/>
      <c r="D3" s="45"/>
      <c r="E3" s="50"/>
      <c r="F3" s="50"/>
      <c r="G3" s="45"/>
      <c r="H3" s="45"/>
      <c r="I3" s="45"/>
      <c r="J3" s="52"/>
      <c r="K3" s="52"/>
      <c r="L3" s="53"/>
      <c r="M3" s="45"/>
      <c r="N3" s="45"/>
      <c r="O3" s="45"/>
      <c r="P3" s="45"/>
      <c r="Q3" s="45"/>
      <c r="R3" s="45"/>
      <c r="S3" s="45"/>
      <c r="T3" s="45"/>
      <c r="U3" s="45"/>
      <c r="V3" s="45"/>
      <c r="W3" s="45"/>
      <c r="X3" s="45"/>
    </row>
    <row r="4" spans="1:32" x14ac:dyDescent="0.3">
      <c r="B4" s="45"/>
      <c r="C4" s="45"/>
      <c r="D4" s="45"/>
      <c r="E4" s="50"/>
      <c r="F4" s="50"/>
      <c r="G4" s="45"/>
      <c r="H4" s="45"/>
      <c r="I4" s="45"/>
      <c r="J4" s="52"/>
      <c r="K4" s="52"/>
      <c r="L4" s="53"/>
      <c r="M4" s="45"/>
      <c r="N4" s="45"/>
      <c r="O4" s="45"/>
      <c r="P4" s="45"/>
      <c r="Q4" s="45"/>
      <c r="R4" s="45"/>
      <c r="S4" s="45"/>
      <c r="T4" s="45"/>
      <c r="U4" s="45"/>
      <c r="V4" s="45"/>
      <c r="W4" s="45"/>
      <c r="X4" s="45"/>
    </row>
    <row r="5" spans="1:32" x14ac:dyDescent="0.3">
      <c r="B5" s="45"/>
      <c r="C5" s="45"/>
      <c r="D5" s="45"/>
      <c r="E5" s="50"/>
      <c r="F5" s="50"/>
      <c r="G5" s="45"/>
      <c r="H5" s="45"/>
      <c r="I5" s="45"/>
      <c r="J5" s="52"/>
      <c r="K5" s="52"/>
      <c r="L5" s="53"/>
      <c r="M5" s="45"/>
      <c r="N5" s="45"/>
      <c r="O5" s="45"/>
      <c r="P5" s="45"/>
      <c r="Q5" s="45"/>
      <c r="R5" s="45"/>
      <c r="S5" s="45"/>
      <c r="T5" s="45"/>
      <c r="U5" s="45"/>
      <c r="V5" s="45"/>
      <c r="W5" s="45"/>
      <c r="X5" s="45"/>
    </row>
    <row r="6" spans="1:32" x14ac:dyDescent="0.3">
      <c r="B6" s="45"/>
      <c r="C6" s="45"/>
      <c r="D6" s="45"/>
      <c r="E6" s="50"/>
      <c r="F6" s="50"/>
      <c r="G6" s="45"/>
      <c r="H6" s="45"/>
      <c r="I6" s="45"/>
      <c r="J6" s="52"/>
      <c r="K6" s="52"/>
      <c r="L6" s="53"/>
      <c r="M6" s="45"/>
      <c r="N6" s="45"/>
      <c r="O6" s="45"/>
      <c r="P6" s="45"/>
      <c r="Q6" s="45"/>
      <c r="R6" s="45"/>
      <c r="S6" s="45"/>
      <c r="T6" s="45"/>
      <c r="U6" s="45"/>
      <c r="V6" s="45"/>
      <c r="W6" s="45"/>
      <c r="X6" s="45"/>
    </row>
    <row r="7" spans="1:32" x14ac:dyDescent="0.3">
      <c r="B7" s="45"/>
      <c r="C7" s="45"/>
      <c r="D7" s="45"/>
      <c r="E7" s="50"/>
      <c r="F7" s="50"/>
      <c r="G7" s="45"/>
      <c r="H7" s="45"/>
      <c r="I7" s="45"/>
      <c r="J7" s="52"/>
      <c r="K7" s="52"/>
      <c r="L7" s="53"/>
      <c r="M7" s="45"/>
      <c r="N7" s="45"/>
      <c r="O7" s="45"/>
      <c r="P7" s="45"/>
      <c r="Q7" s="45"/>
      <c r="R7" s="45"/>
      <c r="S7" s="45"/>
      <c r="T7" s="45"/>
      <c r="U7" s="45"/>
      <c r="V7" s="45"/>
      <c r="W7" s="45"/>
      <c r="X7" s="45"/>
    </row>
    <row r="8" spans="1:32" x14ac:dyDescent="0.3">
      <c r="B8" s="45"/>
      <c r="C8" s="45"/>
      <c r="D8" s="45"/>
      <c r="E8" s="50"/>
      <c r="F8" s="50"/>
      <c r="G8" s="45"/>
      <c r="H8" s="45"/>
      <c r="I8" s="45"/>
      <c r="J8" s="52"/>
      <c r="K8" s="52"/>
      <c r="L8" s="53"/>
      <c r="M8" s="45"/>
      <c r="N8" s="45"/>
      <c r="O8" s="45"/>
      <c r="P8" s="45"/>
      <c r="Q8" s="45"/>
      <c r="R8" s="45"/>
      <c r="S8" s="45"/>
      <c r="T8" s="45"/>
      <c r="U8" s="45"/>
      <c r="V8" s="45"/>
      <c r="W8" s="45"/>
      <c r="X8" s="45"/>
    </row>
    <row r="9" spans="1:32" x14ac:dyDescent="0.3">
      <c r="B9" s="45"/>
      <c r="C9" s="45"/>
      <c r="D9" s="45"/>
      <c r="E9" s="50"/>
      <c r="F9" s="50"/>
      <c r="G9" s="45"/>
      <c r="H9" s="45"/>
      <c r="I9" s="45"/>
      <c r="J9" s="52"/>
      <c r="K9" s="52"/>
      <c r="L9" s="53"/>
      <c r="M9" s="45"/>
      <c r="N9" s="45"/>
      <c r="O9" s="45"/>
      <c r="P9" s="45"/>
      <c r="Q9" s="45"/>
      <c r="R9" s="45"/>
      <c r="S9" s="45"/>
      <c r="T9" s="45"/>
      <c r="U9" s="45"/>
      <c r="V9" s="45"/>
      <c r="W9" s="45"/>
      <c r="X9" s="45"/>
    </row>
    <row r="10" spans="1:32" x14ac:dyDescent="0.3">
      <c r="B10" s="45"/>
      <c r="C10" s="45"/>
      <c r="D10" s="45"/>
      <c r="E10" s="50"/>
      <c r="F10" s="50"/>
      <c r="G10" s="45"/>
      <c r="H10" s="45"/>
      <c r="I10" s="45"/>
      <c r="J10" s="52"/>
      <c r="K10" s="52"/>
      <c r="L10" s="53"/>
      <c r="M10" s="45"/>
      <c r="N10" s="45"/>
      <c r="O10" s="45"/>
      <c r="P10" s="45"/>
      <c r="Q10" s="45"/>
      <c r="R10" s="45"/>
      <c r="S10" s="45"/>
      <c r="T10" s="45"/>
      <c r="U10" s="45"/>
      <c r="V10" s="45"/>
      <c r="W10" s="45"/>
      <c r="X10" s="45"/>
    </row>
    <row r="11" spans="1:32" x14ac:dyDescent="0.3">
      <c r="B11" s="45"/>
      <c r="C11" s="45"/>
      <c r="D11" s="45"/>
      <c r="E11" s="50"/>
      <c r="F11" s="50"/>
      <c r="G11" s="45"/>
      <c r="H11" s="45"/>
      <c r="I11" s="45"/>
      <c r="J11" s="52"/>
      <c r="K11" s="52"/>
      <c r="L11" s="53"/>
      <c r="M11" s="45"/>
      <c r="N11" s="45"/>
      <c r="O11" s="45"/>
      <c r="P11" s="45"/>
      <c r="Q11" s="45"/>
      <c r="R11" s="45"/>
      <c r="S11" s="45"/>
      <c r="T11" s="45"/>
      <c r="U11" s="45"/>
      <c r="V11" s="45"/>
      <c r="W11" s="45"/>
      <c r="X11" s="45"/>
    </row>
    <row r="12" spans="1:32" x14ac:dyDescent="0.3">
      <c r="B12" s="45"/>
      <c r="C12" s="45"/>
      <c r="D12" s="45"/>
      <c r="E12" s="50"/>
      <c r="F12" s="50"/>
      <c r="G12" s="45"/>
      <c r="H12" s="45"/>
      <c r="I12" s="45"/>
      <c r="J12" s="52"/>
      <c r="K12" s="52"/>
      <c r="L12" s="53"/>
      <c r="M12" s="45"/>
      <c r="N12" s="45"/>
      <c r="O12" s="45"/>
      <c r="P12" s="45"/>
      <c r="Q12" s="45"/>
      <c r="R12" s="45"/>
      <c r="S12" s="45"/>
      <c r="T12" s="45"/>
      <c r="U12" s="45"/>
      <c r="V12" s="45"/>
      <c r="W12" s="45"/>
      <c r="X12" s="45"/>
    </row>
    <row r="13" spans="1:32" x14ac:dyDescent="0.3">
      <c r="B13" s="45"/>
      <c r="C13" s="45"/>
      <c r="D13" s="45"/>
      <c r="E13" s="50"/>
      <c r="F13" s="50"/>
      <c r="G13" s="45"/>
      <c r="H13" s="45"/>
      <c r="I13" s="45"/>
      <c r="J13" s="52"/>
      <c r="K13" s="52"/>
      <c r="L13" s="53"/>
      <c r="M13" s="45"/>
      <c r="N13" s="45"/>
      <c r="O13" s="45"/>
      <c r="P13" s="45"/>
      <c r="Q13" s="45"/>
      <c r="R13" s="45"/>
      <c r="S13" s="45"/>
      <c r="T13" s="45"/>
      <c r="U13" s="45"/>
      <c r="V13" s="45"/>
      <c r="W13" s="45"/>
      <c r="X13" s="45"/>
    </row>
    <row r="14" spans="1:32" s="48" customFormat="1" ht="49.5" customHeight="1" x14ac:dyDescent="0.25">
      <c r="B14" s="174" t="s">
        <v>8</v>
      </c>
      <c r="C14" s="174"/>
      <c r="D14" s="174"/>
      <c r="E14" s="174"/>
      <c r="F14" s="174"/>
      <c r="G14" s="174"/>
      <c r="H14" s="174"/>
      <c r="I14" s="174"/>
      <c r="J14" s="54"/>
      <c r="K14" s="54"/>
      <c r="L14" s="55"/>
      <c r="M14" s="47"/>
      <c r="N14" s="47"/>
      <c r="O14" s="47"/>
      <c r="P14" s="47"/>
      <c r="Q14" s="47"/>
      <c r="R14" s="47"/>
      <c r="S14" s="47"/>
      <c r="T14" s="47"/>
      <c r="U14" s="47"/>
      <c r="V14" s="47"/>
      <c r="W14" s="47"/>
      <c r="X14" s="47"/>
      <c r="Y14" s="47"/>
      <c r="Z14" s="47"/>
      <c r="AA14" s="47"/>
      <c r="AB14" s="47"/>
      <c r="AC14" s="47"/>
      <c r="AD14" s="47"/>
      <c r="AE14" s="47"/>
      <c r="AF14" s="47"/>
    </row>
    <row r="15" spans="1:32" s="48" customFormat="1" ht="123.75" customHeight="1" thickBot="1" x14ac:dyDescent="0.3">
      <c r="B15" s="58" t="s">
        <v>9</v>
      </c>
      <c r="C15" s="58" t="s">
        <v>0</v>
      </c>
      <c r="D15" s="59" t="s">
        <v>1</v>
      </c>
      <c r="E15" s="60" t="s">
        <v>10</v>
      </c>
      <c r="F15" s="60" t="s">
        <v>11</v>
      </c>
      <c r="G15" s="60" t="s">
        <v>12</v>
      </c>
      <c r="H15" s="61" t="s">
        <v>13</v>
      </c>
      <c r="I15" s="60" t="s">
        <v>14</v>
      </c>
      <c r="J15" s="54"/>
      <c r="K15" s="54"/>
      <c r="L15" s="55"/>
      <c r="M15" s="47"/>
      <c r="N15" s="47"/>
      <c r="O15" s="47"/>
      <c r="P15" s="47"/>
      <c r="Q15" s="47"/>
      <c r="R15" s="47"/>
      <c r="S15" s="47"/>
      <c r="T15" s="47"/>
      <c r="U15" s="47"/>
      <c r="V15" s="47"/>
      <c r="W15" s="47"/>
      <c r="X15" s="47"/>
      <c r="Y15" s="47"/>
      <c r="Z15" s="47"/>
      <c r="AA15" s="47"/>
      <c r="AB15" s="47"/>
      <c r="AC15" s="47"/>
      <c r="AD15" s="47"/>
      <c r="AE15" s="47"/>
      <c r="AF15" s="47"/>
    </row>
    <row r="16" spans="1:32" s="48" customFormat="1" ht="71.25" customHeight="1" x14ac:dyDescent="0.25">
      <c r="A16" s="82" t="str">
        <f>1&amp;E16</f>
        <v>1a</v>
      </c>
      <c r="B16" s="185" t="s">
        <v>15</v>
      </c>
      <c r="C16" s="149" t="s">
        <v>16</v>
      </c>
      <c r="D16" s="182" t="s">
        <v>17</v>
      </c>
      <c r="E16" s="62" t="s">
        <v>18</v>
      </c>
      <c r="F16" s="63" t="s">
        <v>19</v>
      </c>
      <c r="G16" s="91" t="s">
        <v>22</v>
      </c>
      <c r="H16" s="92"/>
      <c r="I16" s="83" t="str">
        <f>+IF(G16="Si","Mantenimiento del control",IF(G16="En proceso","Oportunidad de mejora","Deficiencia de control"))</f>
        <v>Mantenimiento del control</v>
      </c>
      <c r="J16" s="84">
        <f t="shared" ref="J16:J27" si="0">+IF(G16="Si",20,IF(G16="En proceso",10,0))</f>
        <v>20</v>
      </c>
      <c r="K16" s="84">
        <v>0.123</v>
      </c>
      <c r="L16" s="84">
        <f>+J16+K16</f>
        <v>20.123000000000001</v>
      </c>
    </row>
    <row r="17" spans="1:32" s="48" customFormat="1" ht="63" x14ac:dyDescent="0.25">
      <c r="A17" s="82" t="str">
        <f t="shared" ref="A17:A27" si="1">1&amp;E17</f>
        <v>1b</v>
      </c>
      <c r="B17" s="186"/>
      <c r="C17" s="150"/>
      <c r="D17" s="183"/>
      <c r="E17" s="64" t="s">
        <v>20</v>
      </c>
      <c r="F17" s="65" t="s">
        <v>21</v>
      </c>
      <c r="G17" s="93" t="s">
        <v>22</v>
      </c>
      <c r="H17" s="94"/>
      <c r="I17" s="85" t="str">
        <f t="shared" ref="I17:I59" si="2">+IF(G17="Si","Mantenimiento del control",IF(G17="En proceso","Oportunidad de mejora","Deficiencia de control"))</f>
        <v>Mantenimiento del control</v>
      </c>
      <c r="J17" s="86">
        <f t="shared" si="0"/>
        <v>20</v>
      </c>
      <c r="K17" s="84">
        <v>0.1234</v>
      </c>
      <c r="L17" s="84">
        <f t="shared" ref="L17:L59" si="3">+J17+K17</f>
        <v>20.1234</v>
      </c>
    </row>
    <row r="18" spans="1:32" s="48" customFormat="1" ht="64.5" customHeight="1" x14ac:dyDescent="0.25">
      <c r="A18" s="82" t="str">
        <f t="shared" si="1"/>
        <v>1c</v>
      </c>
      <c r="B18" s="186"/>
      <c r="C18" s="150"/>
      <c r="D18" s="183"/>
      <c r="E18" s="64" t="s">
        <v>23</v>
      </c>
      <c r="F18" s="66" t="s">
        <v>24</v>
      </c>
      <c r="G18" s="95" t="s">
        <v>22</v>
      </c>
      <c r="H18" s="96"/>
      <c r="I18" s="87" t="str">
        <f t="shared" si="2"/>
        <v>Mantenimiento del control</v>
      </c>
      <c r="J18" s="86">
        <f t="shared" si="0"/>
        <v>20</v>
      </c>
      <c r="K18" s="84">
        <v>0.12345</v>
      </c>
      <c r="L18" s="84">
        <f t="shared" si="3"/>
        <v>20.123449999999998</v>
      </c>
    </row>
    <row r="19" spans="1:32" s="48" customFormat="1" ht="37.5" customHeight="1" x14ac:dyDescent="0.25">
      <c r="A19" s="82" t="str">
        <f t="shared" si="1"/>
        <v>1d</v>
      </c>
      <c r="B19" s="186"/>
      <c r="C19" s="150"/>
      <c r="D19" s="183"/>
      <c r="E19" s="64" t="s">
        <v>25</v>
      </c>
      <c r="F19" s="66" t="s">
        <v>26</v>
      </c>
      <c r="G19" s="95" t="s">
        <v>22</v>
      </c>
      <c r="H19" s="96"/>
      <c r="I19" s="87" t="str">
        <f t="shared" si="2"/>
        <v>Mantenimiento del control</v>
      </c>
      <c r="J19" s="86">
        <f t="shared" si="0"/>
        <v>20</v>
      </c>
      <c r="K19" s="84">
        <v>0.123456</v>
      </c>
      <c r="L19" s="84">
        <f t="shared" si="3"/>
        <v>20.123456000000001</v>
      </c>
    </row>
    <row r="20" spans="1:32" s="48" customFormat="1" ht="37.5" customHeight="1" x14ac:dyDescent="0.25">
      <c r="A20" s="82" t="str">
        <f t="shared" si="1"/>
        <v>1e</v>
      </c>
      <c r="B20" s="186"/>
      <c r="C20" s="150"/>
      <c r="D20" s="183"/>
      <c r="E20" s="64" t="s">
        <v>27</v>
      </c>
      <c r="F20" s="66" t="s">
        <v>28</v>
      </c>
      <c r="G20" s="95" t="s">
        <v>22</v>
      </c>
      <c r="H20" s="96"/>
      <c r="I20" s="87" t="str">
        <f t="shared" si="2"/>
        <v>Mantenimiento del control</v>
      </c>
      <c r="J20" s="86">
        <f t="shared" si="0"/>
        <v>20</v>
      </c>
      <c r="K20" s="84">
        <v>0.12345678</v>
      </c>
      <c r="L20" s="84">
        <f t="shared" si="3"/>
        <v>20.123456780000001</v>
      </c>
    </row>
    <row r="21" spans="1:32" s="48" customFormat="1" ht="63.75" customHeight="1" x14ac:dyDescent="0.25">
      <c r="A21" s="82" t="str">
        <f t="shared" si="1"/>
        <v>1f</v>
      </c>
      <c r="B21" s="186"/>
      <c r="C21" s="150"/>
      <c r="D21" s="183"/>
      <c r="E21" s="64" t="s">
        <v>29</v>
      </c>
      <c r="F21" s="66" t="s">
        <v>30</v>
      </c>
      <c r="G21" s="95" t="s">
        <v>22</v>
      </c>
      <c r="H21" s="96"/>
      <c r="I21" s="87" t="str">
        <f t="shared" si="2"/>
        <v>Mantenimiento del control</v>
      </c>
      <c r="J21" s="86">
        <f t="shared" si="0"/>
        <v>20</v>
      </c>
      <c r="K21" s="84">
        <v>0.123456789</v>
      </c>
      <c r="L21" s="84">
        <f t="shared" si="3"/>
        <v>20.123456788999999</v>
      </c>
    </row>
    <row r="22" spans="1:32" s="48" customFormat="1" ht="65.25" customHeight="1" x14ac:dyDescent="0.25">
      <c r="A22" s="82" t="str">
        <f t="shared" si="1"/>
        <v>1g</v>
      </c>
      <c r="B22" s="186"/>
      <c r="C22" s="150"/>
      <c r="D22" s="183"/>
      <c r="E22" s="64" t="s">
        <v>31</v>
      </c>
      <c r="F22" s="66" t="s">
        <v>32</v>
      </c>
      <c r="G22" s="95" t="s">
        <v>22</v>
      </c>
      <c r="H22" s="96"/>
      <c r="I22" s="87" t="str">
        <f t="shared" si="2"/>
        <v>Mantenimiento del control</v>
      </c>
      <c r="J22" s="86">
        <f t="shared" si="0"/>
        <v>20</v>
      </c>
      <c r="K22" s="84">
        <v>0.12345678910000001</v>
      </c>
      <c r="L22" s="84">
        <f t="shared" si="3"/>
        <v>20.1234567891</v>
      </c>
    </row>
    <row r="23" spans="1:32" s="48" customFormat="1" ht="62.25" customHeight="1" x14ac:dyDescent="0.25">
      <c r="A23" s="82" t="str">
        <f t="shared" si="1"/>
        <v>1h</v>
      </c>
      <c r="B23" s="186"/>
      <c r="C23" s="150"/>
      <c r="D23" s="183"/>
      <c r="E23" s="64" t="s">
        <v>33</v>
      </c>
      <c r="F23" s="66" t="s">
        <v>34</v>
      </c>
      <c r="G23" s="95" t="s">
        <v>22</v>
      </c>
      <c r="H23" s="96"/>
      <c r="I23" s="87" t="str">
        <f t="shared" si="2"/>
        <v>Mantenimiento del control</v>
      </c>
      <c r="J23" s="86">
        <f t="shared" si="0"/>
        <v>20</v>
      </c>
      <c r="K23" s="84">
        <v>0.12345678911999999</v>
      </c>
      <c r="L23" s="84">
        <f t="shared" si="3"/>
        <v>20.123456789119999</v>
      </c>
    </row>
    <row r="24" spans="1:32" s="48" customFormat="1" ht="57.75" customHeight="1" x14ac:dyDescent="0.25">
      <c r="A24" s="82" t="str">
        <f t="shared" si="1"/>
        <v>1i</v>
      </c>
      <c r="B24" s="186"/>
      <c r="C24" s="150"/>
      <c r="D24" s="183"/>
      <c r="E24" s="64" t="s">
        <v>35</v>
      </c>
      <c r="F24" s="66" t="s">
        <v>36</v>
      </c>
      <c r="G24" s="95" t="s">
        <v>22</v>
      </c>
      <c r="H24" s="96"/>
      <c r="I24" s="87" t="str">
        <f t="shared" si="2"/>
        <v>Mantenimiento del control</v>
      </c>
      <c r="J24" s="86">
        <f t="shared" si="0"/>
        <v>20</v>
      </c>
      <c r="K24" s="84">
        <v>0.123456789123</v>
      </c>
      <c r="L24" s="84">
        <f t="shared" si="3"/>
        <v>20.123456789123001</v>
      </c>
    </row>
    <row r="25" spans="1:32" s="48" customFormat="1" ht="52.5" customHeight="1" x14ac:dyDescent="0.25">
      <c r="A25" s="82" t="str">
        <f t="shared" si="1"/>
        <v>1j</v>
      </c>
      <c r="B25" s="186"/>
      <c r="C25" s="150"/>
      <c r="D25" s="183"/>
      <c r="E25" s="64" t="s">
        <v>37</v>
      </c>
      <c r="F25" s="66" t="s">
        <v>38</v>
      </c>
      <c r="G25" s="95" t="s">
        <v>22</v>
      </c>
      <c r="H25" s="96"/>
      <c r="I25" s="87" t="str">
        <f t="shared" si="2"/>
        <v>Mantenimiento del control</v>
      </c>
      <c r="J25" s="86">
        <f t="shared" si="0"/>
        <v>20</v>
      </c>
      <c r="K25" s="84">
        <v>0.1234567891234</v>
      </c>
      <c r="L25" s="84">
        <f t="shared" si="3"/>
        <v>20.123456789123399</v>
      </c>
    </row>
    <row r="26" spans="1:32" s="48" customFormat="1" ht="42" customHeight="1" x14ac:dyDescent="0.25">
      <c r="A26" s="82" t="str">
        <f t="shared" si="1"/>
        <v>1k</v>
      </c>
      <c r="B26" s="186"/>
      <c r="C26" s="150"/>
      <c r="D26" s="183"/>
      <c r="E26" s="64" t="s">
        <v>39</v>
      </c>
      <c r="F26" s="66" t="s">
        <v>40</v>
      </c>
      <c r="G26" s="95" t="s">
        <v>22</v>
      </c>
      <c r="H26" s="96"/>
      <c r="I26" s="87" t="str">
        <f t="shared" si="2"/>
        <v>Mantenimiento del control</v>
      </c>
      <c r="J26" s="86">
        <f t="shared" si="0"/>
        <v>20</v>
      </c>
      <c r="K26" s="84">
        <v>0.12345678912345</v>
      </c>
      <c r="L26" s="84">
        <f t="shared" si="3"/>
        <v>20.123456789123448</v>
      </c>
    </row>
    <row r="27" spans="1:32" s="48" customFormat="1" ht="32.25" thickBot="1" x14ac:dyDescent="0.3">
      <c r="A27" s="82" t="str">
        <f t="shared" si="1"/>
        <v>1l</v>
      </c>
      <c r="B27" s="187"/>
      <c r="C27" s="151"/>
      <c r="D27" s="184"/>
      <c r="E27" s="67" t="s">
        <v>41</v>
      </c>
      <c r="F27" s="68" t="s">
        <v>42</v>
      </c>
      <c r="G27" s="97" t="s">
        <v>22</v>
      </c>
      <c r="H27" s="98"/>
      <c r="I27" s="88" t="str">
        <f t="shared" si="2"/>
        <v>Mantenimiento del control</v>
      </c>
      <c r="J27" s="86">
        <f t="shared" si="0"/>
        <v>20</v>
      </c>
      <c r="K27" s="84">
        <v>0.12345678912345601</v>
      </c>
      <c r="L27" s="84">
        <f t="shared" si="3"/>
        <v>20.123456789123455</v>
      </c>
    </row>
    <row r="28" spans="1:32" s="48" customFormat="1" ht="44.25" customHeight="1" x14ac:dyDescent="0.25">
      <c r="A28" s="82" t="str">
        <f>2&amp;E28</f>
        <v>2a</v>
      </c>
      <c r="B28" s="188" t="s">
        <v>43</v>
      </c>
      <c r="C28" s="152" t="s">
        <v>44</v>
      </c>
      <c r="D28" s="191" t="s">
        <v>45</v>
      </c>
      <c r="E28" s="62" t="s">
        <v>18</v>
      </c>
      <c r="F28" s="63" t="s">
        <v>46</v>
      </c>
      <c r="G28" s="91" t="s">
        <v>22</v>
      </c>
      <c r="H28" s="92"/>
      <c r="I28" s="83" t="str">
        <f t="shared" si="2"/>
        <v>Mantenimiento del control</v>
      </c>
      <c r="J28" s="84">
        <f>+IF(G28="Si",40,IF(G28="En proceso",30,20))</f>
        <v>40</v>
      </c>
      <c r="K28" s="84">
        <v>0.23</v>
      </c>
      <c r="L28" s="84">
        <f t="shared" si="3"/>
        <v>40.229999999999997</v>
      </c>
    </row>
    <row r="29" spans="1:32" s="48" customFormat="1" ht="63" x14ac:dyDescent="0.25">
      <c r="A29" s="82" t="str">
        <f t="shared" ref="A29:A31" si="4">2&amp;E29</f>
        <v>2b</v>
      </c>
      <c r="B29" s="189"/>
      <c r="C29" s="153"/>
      <c r="D29" s="167"/>
      <c r="E29" s="64" t="s">
        <v>20</v>
      </c>
      <c r="F29" s="66" t="s">
        <v>47</v>
      </c>
      <c r="G29" s="95" t="s">
        <v>22</v>
      </c>
      <c r="H29" s="96"/>
      <c r="I29" s="87" t="str">
        <f t="shared" si="2"/>
        <v>Mantenimiento del control</v>
      </c>
      <c r="J29" s="84">
        <f>+IF(G29="Si",40,IF(G29="En proceso",30,20))</f>
        <v>40</v>
      </c>
      <c r="K29" s="84">
        <v>0.23400000000000001</v>
      </c>
      <c r="L29" s="84">
        <f t="shared" si="3"/>
        <v>40.234000000000002</v>
      </c>
    </row>
    <row r="30" spans="1:32" s="48" customFormat="1" ht="47.25" x14ac:dyDescent="0.25">
      <c r="A30" s="82" t="str">
        <f t="shared" si="4"/>
        <v>2c</v>
      </c>
      <c r="B30" s="189"/>
      <c r="C30" s="153"/>
      <c r="D30" s="167"/>
      <c r="E30" s="64" t="s">
        <v>23</v>
      </c>
      <c r="F30" s="66" t="s">
        <v>48</v>
      </c>
      <c r="G30" s="95" t="s">
        <v>22</v>
      </c>
      <c r="H30" s="96"/>
      <c r="I30" s="87" t="str">
        <f t="shared" si="2"/>
        <v>Mantenimiento del control</v>
      </c>
      <c r="J30" s="84">
        <f>+IF(G30="Si",40,IF(G30="En proceso",30,20))</f>
        <v>40</v>
      </c>
      <c r="K30" s="84">
        <v>0.23449999999999999</v>
      </c>
      <c r="L30" s="84">
        <f t="shared" si="3"/>
        <v>40.234499999999997</v>
      </c>
    </row>
    <row r="31" spans="1:32" s="48" customFormat="1" ht="63.75" thickBot="1" x14ac:dyDescent="0.3">
      <c r="A31" s="82" t="str">
        <f t="shared" si="4"/>
        <v>2d</v>
      </c>
      <c r="B31" s="190"/>
      <c r="C31" s="154"/>
      <c r="D31" s="192"/>
      <c r="E31" s="67" t="s">
        <v>25</v>
      </c>
      <c r="F31" s="68" t="s">
        <v>49</v>
      </c>
      <c r="G31" s="97" t="s">
        <v>22</v>
      </c>
      <c r="H31" s="98"/>
      <c r="I31" s="88" t="str">
        <f t="shared" si="2"/>
        <v>Mantenimiento del control</v>
      </c>
      <c r="J31" s="84">
        <f>+IF(G31="Si",40,IF(G31="En proceso",30,20))</f>
        <v>40</v>
      </c>
      <c r="K31" s="84">
        <v>0.23455999999999999</v>
      </c>
      <c r="L31" s="84">
        <f t="shared" si="3"/>
        <v>40.234560000000002</v>
      </c>
    </row>
    <row r="32" spans="1:32" s="48" customFormat="1" ht="49.5" customHeight="1" x14ac:dyDescent="0.25">
      <c r="A32" s="82" t="str">
        <f>3&amp;E32</f>
        <v>3a</v>
      </c>
      <c r="B32" s="164" t="s">
        <v>50</v>
      </c>
      <c r="C32" s="164" t="s">
        <v>44</v>
      </c>
      <c r="D32" s="165" t="s">
        <v>51</v>
      </c>
      <c r="E32" s="69" t="s">
        <v>18</v>
      </c>
      <c r="F32" s="66" t="s">
        <v>52</v>
      </c>
      <c r="G32" s="95" t="s">
        <v>22</v>
      </c>
      <c r="H32" s="96"/>
      <c r="I32" s="87" t="str">
        <f t="shared" si="2"/>
        <v>Mantenimiento del control</v>
      </c>
      <c r="J32" s="84">
        <f t="shared" ref="J32:J37" si="5">+IF(G32="Si",40,IF(G32="En proceso",30,20))</f>
        <v>40</v>
      </c>
      <c r="K32" s="89">
        <v>0.234567</v>
      </c>
      <c r="L32" s="84">
        <f t="shared" ref="L32:L37" si="6">+J32+K32</f>
        <v>40.234566999999998</v>
      </c>
      <c r="M32" s="47"/>
      <c r="N32" s="47"/>
      <c r="O32" s="47"/>
      <c r="P32" s="47"/>
      <c r="Q32" s="47"/>
      <c r="R32" s="47"/>
      <c r="S32" s="47"/>
      <c r="T32" s="47"/>
      <c r="U32" s="47"/>
      <c r="V32" s="47"/>
      <c r="W32" s="47"/>
      <c r="X32" s="47"/>
      <c r="Y32" s="47"/>
      <c r="Z32" s="47"/>
      <c r="AA32" s="47"/>
      <c r="AB32" s="47"/>
      <c r="AC32" s="47"/>
      <c r="AD32" s="47"/>
      <c r="AE32" s="47"/>
      <c r="AF32" s="47"/>
    </row>
    <row r="33" spans="1:32" s="48" customFormat="1" ht="49.5" customHeight="1" x14ac:dyDescent="0.25">
      <c r="A33" s="82" t="str">
        <f t="shared" ref="A33:A34" si="7">3&amp;E33</f>
        <v>3b</v>
      </c>
      <c r="B33" s="164"/>
      <c r="C33" s="164"/>
      <c r="D33" s="165"/>
      <c r="E33" s="69" t="s">
        <v>20</v>
      </c>
      <c r="F33" s="66" t="s">
        <v>53</v>
      </c>
      <c r="G33" s="95" t="s">
        <v>22</v>
      </c>
      <c r="H33" s="96"/>
      <c r="I33" s="87" t="str">
        <f t="shared" si="2"/>
        <v>Mantenimiento del control</v>
      </c>
      <c r="J33" s="84">
        <f t="shared" si="5"/>
        <v>40</v>
      </c>
      <c r="K33" s="89">
        <v>0.23456779999999999</v>
      </c>
      <c r="L33" s="84">
        <f t="shared" si="6"/>
        <v>40.234567800000001</v>
      </c>
      <c r="M33" s="47"/>
      <c r="N33" s="47"/>
      <c r="O33" s="47"/>
      <c r="P33" s="47"/>
      <c r="Q33" s="47"/>
      <c r="R33" s="47"/>
      <c r="S33" s="47"/>
      <c r="T33" s="47"/>
      <c r="U33" s="47"/>
      <c r="V33" s="47"/>
      <c r="W33" s="47"/>
      <c r="X33" s="47"/>
      <c r="Y33" s="47"/>
      <c r="Z33" s="47"/>
      <c r="AA33" s="47"/>
      <c r="AB33" s="47"/>
      <c r="AC33" s="47"/>
      <c r="AD33" s="47"/>
      <c r="AE33" s="47"/>
      <c r="AF33" s="47"/>
    </row>
    <row r="34" spans="1:32" s="48" customFormat="1" ht="66" customHeight="1" thickBot="1" x14ac:dyDescent="0.3">
      <c r="A34" s="82" t="str">
        <f t="shared" si="7"/>
        <v>3c</v>
      </c>
      <c r="B34" s="164"/>
      <c r="C34" s="164"/>
      <c r="D34" s="165"/>
      <c r="E34" s="69" t="s">
        <v>23</v>
      </c>
      <c r="F34" s="66" t="s">
        <v>54</v>
      </c>
      <c r="G34" s="95" t="s">
        <v>22</v>
      </c>
      <c r="H34" s="96"/>
      <c r="I34" s="87" t="str">
        <f t="shared" si="2"/>
        <v>Mantenimiento del control</v>
      </c>
      <c r="J34" s="84">
        <f t="shared" si="5"/>
        <v>40</v>
      </c>
      <c r="K34" s="89">
        <v>0.23456789</v>
      </c>
      <c r="L34" s="84">
        <f t="shared" si="6"/>
        <v>40.234567890000001</v>
      </c>
      <c r="M34" s="47"/>
      <c r="N34" s="47"/>
      <c r="O34" s="47"/>
      <c r="P34" s="47"/>
      <c r="Q34" s="47"/>
      <c r="R34" s="47"/>
      <c r="S34" s="47"/>
      <c r="T34" s="47"/>
      <c r="U34" s="47"/>
      <c r="V34" s="47"/>
      <c r="W34" s="47"/>
      <c r="X34" s="47"/>
      <c r="Y34" s="47"/>
      <c r="Z34" s="47"/>
      <c r="AA34" s="47"/>
      <c r="AB34" s="47"/>
      <c r="AC34" s="47"/>
      <c r="AD34" s="47"/>
      <c r="AE34" s="47"/>
      <c r="AF34" s="47"/>
    </row>
    <row r="35" spans="1:32" s="48" customFormat="1" ht="60.75" customHeight="1" x14ac:dyDescent="0.25">
      <c r="A35" s="82" t="str">
        <f>4&amp;E35</f>
        <v>4a</v>
      </c>
      <c r="B35" s="166" t="s">
        <v>55</v>
      </c>
      <c r="C35" s="153" t="s">
        <v>44</v>
      </c>
      <c r="D35" s="167" t="s">
        <v>56</v>
      </c>
      <c r="E35" s="62" t="s">
        <v>18</v>
      </c>
      <c r="F35" s="63" t="s">
        <v>57</v>
      </c>
      <c r="G35" s="91" t="s">
        <v>22</v>
      </c>
      <c r="H35" s="92"/>
      <c r="I35" s="83" t="str">
        <f t="shared" si="2"/>
        <v>Mantenimiento del control</v>
      </c>
      <c r="J35" s="84">
        <f t="shared" si="5"/>
        <v>40</v>
      </c>
      <c r="K35" s="89">
        <v>0.23456789119999999</v>
      </c>
      <c r="L35" s="84">
        <f t="shared" si="6"/>
        <v>40.234567891200001</v>
      </c>
      <c r="M35" s="47"/>
      <c r="N35" s="47"/>
      <c r="O35" s="47"/>
      <c r="P35" s="47"/>
      <c r="Q35" s="47"/>
    </row>
    <row r="36" spans="1:32" s="48" customFormat="1" ht="57.75" customHeight="1" x14ac:dyDescent="0.25">
      <c r="A36" s="82" t="str">
        <f t="shared" ref="A36:A37" si="8">4&amp;E36</f>
        <v>4b</v>
      </c>
      <c r="B36" s="166"/>
      <c r="C36" s="153"/>
      <c r="D36" s="167"/>
      <c r="E36" s="64" t="s">
        <v>20</v>
      </c>
      <c r="F36" s="66" t="s">
        <v>58</v>
      </c>
      <c r="G36" s="95" t="s">
        <v>59</v>
      </c>
      <c r="H36" s="96"/>
      <c r="I36" s="87" t="str">
        <f t="shared" si="2"/>
        <v>Oportunidad de mejora</v>
      </c>
      <c r="J36" s="84">
        <f t="shared" si="5"/>
        <v>30</v>
      </c>
      <c r="K36" s="89">
        <v>0.23456789122999999</v>
      </c>
      <c r="L36" s="84">
        <f t="shared" si="6"/>
        <v>30.23456789123</v>
      </c>
      <c r="M36" s="47"/>
      <c r="N36" s="47"/>
      <c r="O36" s="47"/>
      <c r="P36" s="47"/>
      <c r="Q36" s="47"/>
    </row>
    <row r="37" spans="1:32" s="48" customFormat="1" ht="49.5" customHeight="1" thickBot="1" x14ac:dyDescent="0.3">
      <c r="A37" s="82" t="str">
        <f t="shared" si="8"/>
        <v>4c</v>
      </c>
      <c r="B37" s="166"/>
      <c r="C37" s="153"/>
      <c r="D37" s="167"/>
      <c r="E37" s="64" t="s">
        <v>23</v>
      </c>
      <c r="F37" s="66" t="s">
        <v>60</v>
      </c>
      <c r="G37" s="95" t="s">
        <v>22</v>
      </c>
      <c r="H37" s="96"/>
      <c r="I37" s="87" t="str">
        <f t="shared" si="2"/>
        <v>Mantenimiento del control</v>
      </c>
      <c r="J37" s="84">
        <f t="shared" si="5"/>
        <v>40</v>
      </c>
      <c r="K37" s="89">
        <v>0.23456789123399999</v>
      </c>
      <c r="L37" s="84">
        <f t="shared" si="6"/>
        <v>40.234567891234001</v>
      </c>
      <c r="M37" s="47"/>
      <c r="N37" s="47"/>
      <c r="O37" s="47"/>
      <c r="P37" s="47"/>
      <c r="Q37" s="47"/>
    </row>
    <row r="38" spans="1:32" s="48" customFormat="1" ht="85.5" customHeight="1" x14ac:dyDescent="0.25">
      <c r="A38" s="82" t="str">
        <f>5&amp;E38</f>
        <v>5a</v>
      </c>
      <c r="B38" s="168" t="s">
        <v>61</v>
      </c>
      <c r="C38" s="155" t="s">
        <v>62</v>
      </c>
      <c r="D38" s="171" t="s">
        <v>63</v>
      </c>
      <c r="E38" s="62" t="s">
        <v>18</v>
      </c>
      <c r="F38" s="70" t="s">
        <v>64</v>
      </c>
      <c r="G38" s="99" t="s">
        <v>22</v>
      </c>
      <c r="H38" s="100"/>
      <c r="I38" s="90" t="str">
        <f t="shared" si="2"/>
        <v>Mantenimiento del control</v>
      </c>
      <c r="J38" s="84">
        <f>+IF(G38="Si",60,IF(G38="En proceso",50,40))</f>
        <v>60</v>
      </c>
      <c r="K38" s="84">
        <v>0.31</v>
      </c>
      <c r="L38" s="84">
        <f t="shared" si="3"/>
        <v>60.31</v>
      </c>
    </row>
    <row r="39" spans="1:32" s="48" customFormat="1" ht="63" x14ac:dyDescent="0.25">
      <c r="A39" s="82" t="str">
        <f t="shared" ref="A39:A42" si="9">5&amp;E39</f>
        <v>5b</v>
      </c>
      <c r="B39" s="169"/>
      <c r="C39" s="156"/>
      <c r="D39" s="172"/>
      <c r="E39" s="64" t="s">
        <v>20</v>
      </c>
      <c r="F39" s="66" t="s">
        <v>65</v>
      </c>
      <c r="G39" s="95" t="s">
        <v>22</v>
      </c>
      <c r="H39" s="96"/>
      <c r="I39" s="87" t="str">
        <f t="shared" si="2"/>
        <v>Mantenimiento del control</v>
      </c>
      <c r="J39" s="84">
        <f>+IF(G39="Si",60,IF(G39="En proceso",50,40))</f>
        <v>60</v>
      </c>
      <c r="K39" s="84">
        <v>0.32300000000000001</v>
      </c>
      <c r="L39" s="84">
        <f t="shared" si="3"/>
        <v>60.323</v>
      </c>
    </row>
    <row r="40" spans="1:32" s="48" customFormat="1" ht="47.25" x14ac:dyDescent="0.25">
      <c r="A40" s="82" t="str">
        <f t="shared" si="9"/>
        <v>5c</v>
      </c>
      <c r="B40" s="169"/>
      <c r="C40" s="156"/>
      <c r="D40" s="172"/>
      <c r="E40" s="64" t="s">
        <v>23</v>
      </c>
      <c r="F40" s="66" t="s">
        <v>66</v>
      </c>
      <c r="G40" s="95" t="s">
        <v>22</v>
      </c>
      <c r="H40" s="96"/>
      <c r="I40" s="87" t="str">
        <f t="shared" si="2"/>
        <v>Mantenimiento del control</v>
      </c>
      <c r="J40" s="84">
        <f>+IF(G40="Si",60,IF(G40="En proceso",50,40))</f>
        <v>60</v>
      </c>
      <c r="K40" s="84">
        <v>0.32400000000000001</v>
      </c>
      <c r="L40" s="84">
        <f t="shared" si="3"/>
        <v>60.323999999999998</v>
      </c>
    </row>
    <row r="41" spans="1:32" s="48" customFormat="1" ht="94.5" x14ac:dyDescent="0.25">
      <c r="A41" s="82" t="str">
        <f t="shared" si="9"/>
        <v>5d</v>
      </c>
      <c r="B41" s="169"/>
      <c r="C41" s="156"/>
      <c r="D41" s="172"/>
      <c r="E41" s="64" t="s">
        <v>25</v>
      </c>
      <c r="F41" s="66" t="s">
        <v>67</v>
      </c>
      <c r="G41" s="95" t="s">
        <v>22</v>
      </c>
      <c r="H41" s="96"/>
      <c r="I41" s="87" t="str">
        <f t="shared" si="2"/>
        <v>Mantenimiento del control</v>
      </c>
      <c r="J41" s="84">
        <f>+IF(G41="Si",60,IF(G41="En proceso",50,40))</f>
        <v>60</v>
      </c>
      <c r="K41" s="84">
        <v>0.32500000000000001</v>
      </c>
      <c r="L41" s="84">
        <f t="shared" si="3"/>
        <v>60.325000000000003</v>
      </c>
    </row>
    <row r="42" spans="1:32" s="48" customFormat="1" ht="48" thickBot="1" x14ac:dyDescent="0.3">
      <c r="A42" s="82" t="str">
        <f t="shared" si="9"/>
        <v>5e</v>
      </c>
      <c r="B42" s="170"/>
      <c r="C42" s="157"/>
      <c r="D42" s="173"/>
      <c r="E42" s="67" t="s">
        <v>27</v>
      </c>
      <c r="F42" s="68" t="s">
        <v>68</v>
      </c>
      <c r="G42" s="97" t="s">
        <v>22</v>
      </c>
      <c r="H42" s="98"/>
      <c r="I42" s="88" t="str">
        <f t="shared" si="2"/>
        <v>Mantenimiento del control</v>
      </c>
      <c r="J42" s="84">
        <f>+IF(G42="Si",60,IF(G42="En proceso",50,40))</f>
        <v>60</v>
      </c>
      <c r="K42" s="84">
        <v>0.32600000000000001</v>
      </c>
      <c r="L42" s="84">
        <f t="shared" si="3"/>
        <v>60.326000000000001</v>
      </c>
    </row>
    <row r="43" spans="1:32" s="48" customFormat="1" ht="40.5" customHeight="1" x14ac:dyDescent="0.25">
      <c r="A43" s="82" t="str">
        <f>6&amp;E43</f>
        <v>6a</v>
      </c>
      <c r="B43" s="178" t="s">
        <v>69</v>
      </c>
      <c r="C43" s="158" t="s">
        <v>70</v>
      </c>
      <c r="D43" s="175" t="s">
        <v>71</v>
      </c>
      <c r="E43" s="62" t="s">
        <v>18</v>
      </c>
      <c r="F43" s="63" t="s">
        <v>72</v>
      </c>
      <c r="G43" s="91" t="s">
        <v>22</v>
      </c>
      <c r="H43" s="92"/>
      <c r="I43" s="83" t="str">
        <f t="shared" si="2"/>
        <v>Mantenimiento del control</v>
      </c>
      <c r="J43" s="84">
        <f t="shared" ref="J43:J49" si="10">+IF(G43="Si",80,IF(G43="En proceso",70,60))</f>
        <v>80</v>
      </c>
      <c r="K43" s="84">
        <v>0.41199999999999998</v>
      </c>
      <c r="L43" s="84">
        <f t="shared" si="3"/>
        <v>80.412000000000006</v>
      </c>
    </row>
    <row r="44" spans="1:32" s="48" customFormat="1" ht="33" customHeight="1" x14ac:dyDescent="0.25">
      <c r="A44" s="82" t="str">
        <f t="shared" ref="A44:A49" si="11">6&amp;E44</f>
        <v>6b</v>
      </c>
      <c r="B44" s="179"/>
      <c r="C44" s="159"/>
      <c r="D44" s="176"/>
      <c r="E44" s="64" t="s">
        <v>20</v>
      </c>
      <c r="F44" s="66" t="s">
        <v>73</v>
      </c>
      <c r="G44" s="95" t="s">
        <v>22</v>
      </c>
      <c r="H44" s="96"/>
      <c r="I44" s="87" t="str">
        <f t="shared" si="2"/>
        <v>Mantenimiento del control</v>
      </c>
      <c r="J44" s="84">
        <f t="shared" si="10"/>
        <v>80</v>
      </c>
      <c r="K44" s="84">
        <v>0.4123</v>
      </c>
      <c r="L44" s="84">
        <f t="shared" si="3"/>
        <v>80.412300000000002</v>
      </c>
    </row>
    <row r="45" spans="1:32" s="48" customFormat="1" ht="47.25" x14ac:dyDescent="0.25">
      <c r="A45" s="82" t="str">
        <f t="shared" si="11"/>
        <v>6c</v>
      </c>
      <c r="B45" s="179"/>
      <c r="C45" s="159"/>
      <c r="D45" s="176"/>
      <c r="E45" s="64" t="s">
        <v>23</v>
      </c>
      <c r="F45" s="66" t="s">
        <v>74</v>
      </c>
      <c r="G45" s="95" t="s">
        <v>22</v>
      </c>
      <c r="H45" s="96"/>
      <c r="I45" s="87" t="str">
        <f t="shared" si="2"/>
        <v>Mantenimiento del control</v>
      </c>
      <c r="J45" s="84">
        <f t="shared" si="10"/>
        <v>80</v>
      </c>
      <c r="K45" s="84">
        <v>0.41233999999999998</v>
      </c>
      <c r="L45" s="84">
        <f t="shared" si="3"/>
        <v>80.41234</v>
      </c>
    </row>
    <row r="46" spans="1:32" s="48" customFormat="1" ht="31.5" x14ac:dyDescent="0.25">
      <c r="A46" s="82" t="str">
        <f t="shared" si="11"/>
        <v>6d</v>
      </c>
      <c r="B46" s="179"/>
      <c r="C46" s="159"/>
      <c r="D46" s="176"/>
      <c r="E46" s="64" t="s">
        <v>25</v>
      </c>
      <c r="F46" s="66" t="s">
        <v>75</v>
      </c>
      <c r="G46" s="95" t="s">
        <v>22</v>
      </c>
      <c r="H46" s="96"/>
      <c r="I46" s="87" t="str">
        <f t="shared" si="2"/>
        <v>Mantenimiento del control</v>
      </c>
      <c r="J46" s="84">
        <f t="shared" si="10"/>
        <v>80</v>
      </c>
      <c r="K46" s="84">
        <v>0.41234500000000002</v>
      </c>
      <c r="L46" s="84">
        <f t="shared" si="3"/>
        <v>80.412345000000002</v>
      </c>
    </row>
    <row r="47" spans="1:32" s="48" customFormat="1" ht="63" x14ac:dyDescent="0.25">
      <c r="A47" s="82" t="str">
        <f t="shared" si="11"/>
        <v>6e</v>
      </c>
      <c r="B47" s="179"/>
      <c r="C47" s="159"/>
      <c r="D47" s="176"/>
      <c r="E47" s="64" t="s">
        <v>27</v>
      </c>
      <c r="F47" s="66" t="s">
        <v>76</v>
      </c>
      <c r="G47" s="95" t="s">
        <v>22</v>
      </c>
      <c r="H47" s="96"/>
      <c r="I47" s="87" t="str">
        <f t="shared" si="2"/>
        <v>Mantenimiento del control</v>
      </c>
      <c r="J47" s="84">
        <f t="shared" si="10"/>
        <v>80</v>
      </c>
      <c r="K47" s="84">
        <v>0.41234559999999998</v>
      </c>
      <c r="L47" s="84">
        <f t="shared" si="3"/>
        <v>80.412345599999995</v>
      </c>
    </row>
    <row r="48" spans="1:32" s="48" customFormat="1" ht="63" x14ac:dyDescent="0.25">
      <c r="A48" s="82" t="str">
        <f t="shared" si="11"/>
        <v>6f</v>
      </c>
      <c r="B48" s="179"/>
      <c r="C48" s="159"/>
      <c r="D48" s="176"/>
      <c r="E48" s="64" t="s">
        <v>29</v>
      </c>
      <c r="F48" s="66" t="s">
        <v>77</v>
      </c>
      <c r="G48" s="95" t="s">
        <v>22</v>
      </c>
      <c r="H48" s="96"/>
      <c r="I48" s="87" t="str">
        <f t="shared" si="2"/>
        <v>Mantenimiento del control</v>
      </c>
      <c r="J48" s="84">
        <f t="shared" si="10"/>
        <v>80</v>
      </c>
      <c r="K48" s="84">
        <v>0.41234567</v>
      </c>
      <c r="L48" s="84">
        <f t="shared" si="3"/>
        <v>80.412345669999993</v>
      </c>
    </row>
    <row r="49" spans="1:17" s="48" customFormat="1" ht="48" thickBot="1" x14ac:dyDescent="0.3">
      <c r="A49" s="82" t="str">
        <f t="shared" si="11"/>
        <v>6g</v>
      </c>
      <c r="B49" s="180"/>
      <c r="C49" s="160"/>
      <c r="D49" s="177"/>
      <c r="E49" s="67" t="s">
        <v>31</v>
      </c>
      <c r="F49" s="68" t="s">
        <v>78</v>
      </c>
      <c r="G49" s="97" t="s">
        <v>22</v>
      </c>
      <c r="H49" s="98"/>
      <c r="I49" s="88" t="str">
        <f t="shared" si="2"/>
        <v>Mantenimiento del control</v>
      </c>
      <c r="J49" s="84">
        <f t="shared" si="10"/>
        <v>80</v>
      </c>
      <c r="K49" s="84">
        <v>0.41234567799999999</v>
      </c>
      <c r="L49" s="84">
        <f t="shared" si="3"/>
        <v>80.412345677999994</v>
      </c>
    </row>
    <row r="50" spans="1:17" s="48" customFormat="1" ht="54.75" customHeight="1" x14ac:dyDescent="0.25">
      <c r="A50" s="82" t="str">
        <f>7&amp;E50</f>
        <v>7a</v>
      </c>
      <c r="B50" s="146" t="s">
        <v>79</v>
      </c>
      <c r="C50" s="161" t="s">
        <v>80</v>
      </c>
      <c r="D50" s="143" t="s">
        <v>81</v>
      </c>
      <c r="E50" s="62" t="s">
        <v>18</v>
      </c>
      <c r="F50" s="63" t="s">
        <v>82</v>
      </c>
      <c r="G50" s="91" t="s">
        <v>22</v>
      </c>
      <c r="H50" s="92"/>
      <c r="I50" s="83" t="str">
        <f t="shared" si="2"/>
        <v>Mantenimiento del control</v>
      </c>
      <c r="J50" s="84">
        <f>+IF(G50="Si",120,IF(G50="En proceso",100,80))</f>
        <v>120</v>
      </c>
      <c r="K50" s="84">
        <v>0.85099999999999998</v>
      </c>
      <c r="L50" s="84">
        <f t="shared" si="3"/>
        <v>120.851</v>
      </c>
    </row>
    <row r="51" spans="1:17" s="48" customFormat="1" ht="94.5" x14ac:dyDescent="0.25">
      <c r="A51" s="82" t="str">
        <f t="shared" ref="A51:A53" si="12">7&amp;E51</f>
        <v>7d</v>
      </c>
      <c r="B51" s="147"/>
      <c r="C51" s="162"/>
      <c r="D51" s="144"/>
      <c r="E51" s="64" t="s">
        <v>25</v>
      </c>
      <c r="F51" s="66" t="s">
        <v>83</v>
      </c>
      <c r="G51" s="95" t="s">
        <v>22</v>
      </c>
      <c r="H51" s="96"/>
      <c r="I51" s="87" t="str">
        <f t="shared" si="2"/>
        <v>Mantenimiento del control</v>
      </c>
      <c r="J51" s="84">
        <f t="shared" ref="J51:J59" si="13">+IF(G51="Si",120,IF(G51="En proceso",100,80))</f>
        <v>120</v>
      </c>
      <c r="K51" s="84">
        <v>0.85119999999999996</v>
      </c>
      <c r="L51" s="84">
        <f t="shared" si="3"/>
        <v>120.85120000000001</v>
      </c>
    </row>
    <row r="52" spans="1:17" s="48" customFormat="1" ht="47.25" x14ac:dyDescent="0.25">
      <c r="A52" s="82" t="str">
        <f t="shared" si="12"/>
        <v>7f</v>
      </c>
      <c r="B52" s="147"/>
      <c r="C52" s="162"/>
      <c r="D52" s="144"/>
      <c r="E52" s="64" t="s">
        <v>29</v>
      </c>
      <c r="F52" s="66" t="s">
        <v>84</v>
      </c>
      <c r="G52" s="95" t="s">
        <v>22</v>
      </c>
      <c r="H52" s="96"/>
      <c r="I52" s="87" t="str">
        <f t="shared" si="2"/>
        <v>Mantenimiento del control</v>
      </c>
      <c r="J52" s="84">
        <f t="shared" si="13"/>
        <v>120</v>
      </c>
      <c r="K52" s="84">
        <v>0.85123000000000004</v>
      </c>
      <c r="L52" s="84">
        <f t="shared" si="3"/>
        <v>120.85123</v>
      </c>
    </row>
    <row r="53" spans="1:17" s="48" customFormat="1" ht="48" thickBot="1" x14ac:dyDescent="0.3">
      <c r="A53" s="82" t="str">
        <f t="shared" si="12"/>
        <v>7g</v>
      </c>
      <c r="B53" s="148"/>
      <c r="C53" s="163"/>
      <c r="D53" s="181"/>
      <c r="E53" s="67" t="s">
        <v>31</v>
      </c>
      <c r="F53" s="68" t="s">
        <v>85</v>
      </c>
      <c r="G53" s="97" t="s">
        <v>22</v>
      </c>
      <c r="H53" s="98"/>
      <c r="I53" s="88" t="str">
        <f t="shared" si="2"/>
        <v>Mantenimiento del control</v>
      </c>
      <c r="J53" s="84">
        <f t="shared" si="13"/>
        <v>120</v>
      </c>
      <c r="K53" s="84">
        <v>0.85123400000000005</v>
      </c>
      <c r="L53" s="84">
        <f t="shared" si="3"/>
        <v>120.85123400000001</v>
      </c>
    </row>
    <row r="54" spans="1:17" s="48" customFormat="1" ht="102.75" customHeight="1" thickBot="1" x14ac:dyDescent="0.3">
      <c r="A54" s="82" t="str">
        <f>8&amp;E54</f>
        <v>8h</v>
      </c>
      <c r="B54" s="141" t="s">
        <v>86</v>
      </c>
      <c r="C54" s="142" t="s">
        <v>80</v>
      </c>
      <c r="D54" s="57" t="s">
        <v>87</v>
      </c>
      <c r="E54" s="62" t="s">
        <v>33</v>
      </c>
      <c r="F54" s="63" t="s">
        <v>88</v>
      </c>
      <c r="G54" s="91" t="s">
        <v>22</v>
      </c>
      <c r="H54" s="92"/>
      <c r="I54" s="83" t="str">
        <f t="shared" si="2"/>
        <v>Mantenimiento del control</v>
      </c>
      <c r="J54" s="84">
        <f t="shared" si="13"/>
        <v>120</v>
      </c>
      <c r="K54" s="84">
        <v>0.85123450000000001</v>
      </c>
      <c r="L54" s="84">
        <f t="shared" si="3"/>
        <v>120.8512345</v>
      </c>
    </row>
    <row r="55" spans="1:17" s="48" customFormat="1" ht="54.75" customHeight="1" x14ac:dyDescent="0.25">
      <c r="A55" s="82" t="str">
        <f>9&amp;E55</f>
        <v>9a</v>
      </c>
      <c r="B55" s="146" t="s">
        <v>89</v>
      </c>
      <c r="C55" s="161" t="s">
        <v>80</v>
      </c>
      <c r="D55" s="143" t="s">
        <v>90</v>
      </c>
      <c r="E55" s="62" t="s">
        <v>18</v>
      </c>
      <c r="F55" s="63" t="s">
        <v>91</v>
      </c>
      <c r="G55" s="91" t="s">
        <v>22</v>
      </c>
      <c r="H55" s="92"/>
      <c r="I55" s="83" t="str">
        <f t="shared" si="2"/>
        <v>Mantenimiento del control</v>
      </c>
      <c r="J55" s="84">
        <f t="shared" si="13"/>
        <v>120</v>
      </c>
      <c r="K55" s="89">
        <v>0.85123455999999997</v>
      </c>
      <c r="L55" s="84">
        <f t="shared" si="3"/>
        <v>120.85123455999999</v>
      </c>
      <c r="M55" s="47"/>
      <c r="N55" s="47"/>
      <c r="O55" s="47"/>
      <c r="P55" s="47"/>
      <c r="Q55" s="47"/>
    </row>
    <row r="56" spans="1:17" s="48" customFormat="1" ht="55.5" customHeight="1" x14ac:dyDescent="0.25">
      <c r="A56" s="82" t="str">
        <f t="shared" ref="A56:A59" si="14">9&amp;E56</f>
        <v>9b</v>
      </c>
      <c r="B56" s="147"/>
      <c r="C56" s="162"/>
      <c r="D56" s="144"/>
      <c r="E56" s="64" t="s">
        <v>20</v>
      </c>
      <c r="F56" s="66" t="s">
        <v>92</v>
      </c>
      <c r="G56" s="95" t="s">
        <v>22</v>
      </c>
      <c r="H56" s="96"/>
      <c r="I56" s="87" t="str">
        <f t="shared" si="2"/>
        <v>Mantenimiento del control</v>
      </c>
      <c r="J56" s="84">
        <f t="shared" si="13"/>
        <v>120</v>
      </c>
      <c r="K56" s="89">
        <v>0.851234567</v>
      </c>
      <c r="L56" s="84">
        <f t="shared" si="3"/>
        <v>120.85123456700001</v>
      </c>
      <c r="M56" s="47"/>
      <c r="N56" s="47"/>
      <c r="O56" s="47"/>
      <c r="P56" s="47"/>
      <c r="Q56" s="47"/>
    </row>
    <row r="57" spans="1:17" s="48" customFormat="1" ht="77.25" customHeight="1" x14ac:dyDescent="0.25">
      <c r="A57" s="82" t="str">
        <f t="shared" si="14"/>
        <v>9c</v>
      </c>
      <c r="B57" s="147"/>
      <c r="C57" s="162"/>
      <c r="D57" s="144"/>
      <c r="E57" s="64" t="s">
        <v>23</v>
      </c>
      <c r="F57" s="66" t="s">
        <v>93</v>
      </c>
      <c r="G57" s="95" t="s">
        <v>59</v>
      </c>
      <c r="H57" s="96"/>
      <c r="I57" s="87" t="str">
        <f t="shared" si="2"/>
        <v>Oportunidad de mejora</v>
      </c>
      <c r="J57" s="84">
        <f t="shared" si="13"/>
        <v>100</v>
      </c>
      <c r="K57" s="89">
        <v>0.85123456779999995</v>
      </c>
      <c r="L57" s="84">
        <f t="shared" si="3"/>
        <v>100.85123456780001</v>
      </c>
      <c r="M57" s="47"/>
      <c r="N57" s="47"/>
      <c r="O57" s="47"/>
      <c r="P57" s="47"/>
      <c r="Q57" s="47"/>
    </row>
    <row r="58" spans="1:17" s="48" customFormat="1" ht="77.25" customHeight="1" x14ac:dyDescent="0.25">
      <c r="A58" s="82" t="str">
        <f t="shared" si="14"/>
        <v>9d</v>
      </c>
      <c r="B58" s="147"/>
      <c r="C58" s="162"/>
      <c r="D58" s="144"/>
      <c r="E58" s="64" t="s">
        <v>25</v>
      </c>
      <c r="F58" s="66" t="s">
        <v>94</v>
      </c>
      <c r="G58" s="95" t="s">
        <v>59</v>
      </c>
      <c r="H58" s="96"/>
      <c r="I58" s="87" t="str">
        <f t="shared" si="2"/>
        <v>Oportunidad de mejora</v>
      </c>
      <c r="J58" s="84">
        <f t="shared" si="13"/>
        <v>100</v>
      </c>
      <c r="K58" s="89">
        <v>0.85123456788999996</v>
      </c>
      <c r="L58" s="84">
        <f t="shared" si="3"/>
        <v>100.85123456789</v>
      </c>
      <c r="M58" s="47"/>
      <c r="N58" s="47"/>
      <c r="O58" s="47"/>
      <c r="P58" s="47"/>
      <c r="Q58" s="47"/>
    </row>
    <row r="59" spans="1:17" s="48" customFormat="1" ht="77.25" customHeight="1" thickBot="1" x14ac:dyDescent="0.3">
      <c r="A59" s="82" t="str">
        <f t="shared" si="14"/>
        <v>9e</v>
      </c>
      <c r="B59" s="148"/>
      <c r="C59" s="162"/>
      <c r="D59" s="145"/>
      <c r="E59" s="67" t="s">
        <v>27</v>
      </c>
      <c r="F59" s="68" t="s">
        <v>95</v>
      </c>
      <c r="G59" s="97" t="s">
        <v>59</v>
      </c>
      <c r="H59" s="98"/>
      <c r="I59" s="88" t="str">
        <f t="shared" si="2"/>
        <v>Oportunidad de mejora</v>
      </c>
      <c r="J59" s="84">
        <f t="shared" si="13"/>
        <v>100</v>
      </c>
      <c r="K59" s="89">
        <v>0.85123456789100005</v>
      </c>
      <c r="L59" s="84">
        <f t="shared" si="3"/>
        <v>100.851234567891</v>
      </c>
      <c r="M59" s="47"/>
      <c r="N59" s="47"/>
      <c r="O59" s="47"/>
      <c r="P59" s="47"/>
      <c r="Q59" s="47"/>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paperSize="41"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C70" zoomScale="66" zoomScaleNormal="66" workbookViewId="0">
      <selection activeCell="J19" sqref="J19:J30"/>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32" t="s">
        <v>96</v>
      </c>
      <c r="D7" s="233"/>
      <c r="E7" s="233"/>
      <c r="F7" s="233"/>
      <c r="G7" s="233"/>
      <c r="H7" s="233"/>
      <c r="I7" s="233"/>
      <c r="J7" s="233"/>
      <c r="K7" s="234"/>
    </row>
    <row r="8" spans="1:11" s="1" customFormat="1" ht="15.75" thickBot="1" x14ac:dyDescent="0.3">
      <c r="C8" s="39"/>
      <c r="D8" s="39"/>
      <c r="E8" s="40"/>
      <c r="F8" s="40"/>
      <c r="G8" s="40"/>
      <c r="H8" s="40"/>
      <c r="I8" s="49"/>
      <c r="J8" s="40"/>
      <c r="K8" s="40"/>
    </row>
    <row r="9" spans="1:11" ht="21" thickBot="1" x14ac:dyDescent="0.3">
      <c r="A9" s="1"/>
      <c r="B9" s="1"/>
      <c r="C9" s="235" t="s">
        <v>2</v>
      </c>
      <c r="D9" s="236"/>
      <c r="E9" s="236" t="s">
        <v>3</v>
      </c>
      <c r="F9" s="237"/>
      <c r="G9" s="40"/>
      <c r="H9" s="40"/>
      <c r="I9" s="49"/>
      <c r="J9" s="40"/>
      <c r="K9" s="40"/>
    </row>
    <row r="10" spans="1:11" ht="54" customHeight="1" x14ac:dyDescent="0.25">
      <c r="A10" s="1"/>
      <c r="B10" s="1"/>
      <c r="C10" s="238" t="s">
        <v>4</v>
      </c>
      <c r="D10" s="239"/>
      <c r="E10" s="240" t="s">
        <v>5</v>
      </c>
      <c r="F10" s="241"/>
      <c r="G10" s="41"/>
      <c r="H10" s="42">
        <v>1</v>
      </c>
      <c r="I10" s="49"/>
      <c r="J10" s="40"/>
      <c r="K10" s="40"/>
    </row>
    <row r="11" spans="1:11" ht="46.5" customHeight="1" x14ac:dyDescent="0.25">
      <c r="A11" s="1"/>
      <c r="B11" s="1"/>
      <c r="C11" s="215" t="s">
        <v>6</v>
      </c>
      <c r="D11" s="216"/>
      <c r="E11" s="217" t="s">
        <v>97</v>
      </c>
      <c r="F11" s="218"/>
      <c r="G11" s="43" t="s">
        <v>98</v>
      </c>
      <c r="H11" s="42">
        <v>0.75</v>
      </c>
      <c r="I11" s="49"/>
      <c r="J11" s="40"/>
      <c r="K11" s="40"/>
    </row>
    <row r="12" spans="1:11" ht="70.5" customHeight="1" thickBot="1" x14ac:dyDescent="0.3">
      <c r="A12" s="1"/>
      <c r="B12" s="1"/>
      <c r="C12" s="195" t="s">
        <v>7</v>
      </c>
      <c r="D12" s="196"/>
      <c r="E12" s="197" t="s">
        <v>99</v>
      </c>
      <c r="F12" s="198"/>
      <c r="G12" s="44"/>
      <c r="H12" s="42">
        <v>0.25</v>
      </c>
      <c r="I12" s="49"/>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24" t="s">
        <v>100</v>
      </c>
      <c r="D17" s="226" t="s">
        <v>101</v>
      </c>
      <c r="E17" s="227"/>
      <c r="F17" s="228" t="s">
        <v>102</v>
      </c>
      <c r="G17" s="230" t="s">
        <v>103</v>
      </c>
      <c r="H17" s="38"/>
      <c r="I17" s="219" t="s">
        <v>104</v>
      </c>
      <c r="J17" s="219" t="s">
        <v>105</v>
      </c>
    </row>
    <row r="18" spans="1:10" ht="36" customHeight="1" thickBot="1" x14ac:dyDescent="0.3">
      <c r="A18" s="1"/>
      <c r="B18" s="1"/>
      <c r="C18" s="225"/>
      <c r="D18" s="101" t="s">
        <v>106</v>
      </c>
      <c r="E18" s="102" t="s">
        <v>11</v>
      </c>
      <c r="F18" s="229"/>
      <c r="G18" s="231"/>
      <c r="H18" s="38"/>
      <c r="I18" s="220"/>
      <c r="J18" s="220"/>
    </row>
    <row r="19" spans="1:10" ht="65.25" customHeight="1" x14ac:dyDescent="0.25">
      <c r="A19" s="1"/>
      <c r="B19" s="1"/>
      <c r="C19" s="120">
        <v>1</v>
      </c>
      <c r="D19" s="221" t="s">
        <v>16</v>
      </c>
      <c r="E19" s="103" t="str">
        <f>+IFERROR(INDEX(Hoja1!$E$2:$E$45,MATCH('Análisis Resultados'!C19,Hoja1!$H$2:$H$45,0)),"")</f>
        <v>Documento interno o adopción del MECI actualizado</v>
      </c>
      <c r="F19" s="104" t="str">
        <f>+IFERROR(VLOOKUP(C19,Hoja1!$H$2:$I$45,2,0),"")</f>
        <v>Si</v>
      </c>
      <c r="G19" s="105"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19" s="18"/>
      <c r="I19" s="121">
        <f>+IF(F19="Si",1,IF(F19="En proceso",0.5,0))</f>
        <v>1</v>
      </c>
      <c r="J19" s="199">
        <f>+AVERAGE(I19:I30)</f>
        <v>1</v>
      </c>
    </row>
    <row r="20" spans="1:10" ht="57" x14ac:dyDescent="0.25">
      <c r="A20" s="1"/>
      <c r="B20" s="1"/>
      <c r="C20" s="120">
        <v>2</v>
      </c>
      <c r="D20" s="222"/>
      <c r="E20" s="106" t="str">
        <f>+IFERROR(INDEX(Hoja1!$E$2:$E$45,MATCH('Análisis Resultados'!C20,Hoja1!$H$2:$H$45,0)),"")</f>
        <v>Un documento tal como un código de ética, integridad u otro que formalice los estándares de conducta, los principios institucionales o los valores del servicio público</v>
      </c>
      <c r="F20" s="107" t="str">
        <f>+IFERROR(VLOOKUP(C20,Hoja1!$H$2:$I$45,2,0),"")</f>
        <v>Si</v>
      </c>
      <c r="G20" s="108"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0" s="18"/>
      <c r="I20" s="122">
        <f t="shared" ref="I20:I62" si="1">+IF(F20="Si",1,IF(F20="En proceso",0.5,0))</f>
        <v>1</v>
      </c>
      <c r="J20" s="200"/>
    </row>
    <row r="21" spans="1:10" ht="45" x14ac:dyDescent="0.25">
      <c r="A21" s="1"/>
      <c r="B21" s="1"/>
      <c r="C21" s="120">
        <v>3</v>
      </c>
      <c r="D21" s="222"/>
      <c r="E21" s="106" t="str">
        <f>+IFERROR(INDEX(Hoja1!$E$2:$E$45,MATCH('Análisis Resultados'!C21,Hoja1!$H$2:$H$45,0)),"")</f>
        <v>Planes, programas y proyectos de acuerdo con las normas que rigen y atendiendo con su propósito fundamental institucional (misión)</v>
      </c>
      <c r="F21" s="107" t="str">
        <f>+IFERROR(VLOOKUP(C21,Hoja1!$H$2:$I$45,2,0),"")</f>
        <v>Si</v>
      </c>
      <c r="G21" s="108" t="str">
        <f t="shared" si="0"/>
        <v>Existe requerimiento pero se requiere actividades  dirigidas a su mantenimiento dentro del marco de las lineas de defensa.</v>
      </c>
      <c r="H21" s="18"/>
      <c r="I21" s="122">
        <f t="shared" si="1"/>
        <v>1</v>
      </c>
      <c r="J21" s="200"/>
    </row>
    <row r="22" spans="1:10" ht="56.25" customHeight="1" x14ac:dyDescent="0.25">
      <c r="A22" s="1"/>
      <c r="B22" s="1"/>
      <c r="C22" s="120">
        <v>4</v>
      </c>
      <c r="D22" s="222"/>
      <c r="E22" s="106" t="str">
        <f>+IFERROR(INDEX(Hoja1!$E$2:$E$45,MATCH('Análisis Resultados'!C22,Hoja1!$H$2:$H$45,0)),"")</f>
        <v>Una estructura organizacional formalizada (organigrama)</v>
      </c>
      <c r="F22" s="107" t="str">
        <f>+IFERROR(VLOOKUP(C22,Hoja1!$H$2:$I$45,2,0),"")</f>
        <v>Si</v>
      </c>
      <c r="G22" s="108" t="str">
        <f t="shared" si="0"/>
        <v>Existe requerimiento pero se requiere actividades  dirigidas a su mantenimiento dentro del marco de las lineas de defensa.</v>
      </c>
      <c r="H22" s="18"/>
      <c r="I22" s="122">
        <f t="shared" si="1"/>
        <v>1</v>
      </c>
      <c r="J22" s="200"/>
    </row>
    <row r="23" spans="1:10" ht="45" x14ac:dyDescent="0.25">
      <c r="A23" s="1"/>
      <c r="B23" s="1"/>
      <c r="C23" s="120">
        <v>5</v>
      </c>
      <c r="D23" s="222"/>
      <c r="E23" s="106" t="str">
        <f>+IFERROR(INDEX(Hoja1!$E$2:$E$45,MATCH('Análisis Resultados'!C23,Hoja1!$H$2:$H$45,0)),"")</f>
        <v>Un manual de funciones que describa los empleos de la entidad</v>
      </c>
      <c r="F23" s="107" t="str">
        <f>+IFERROR(VLOOKUP(C23,Hoja1!$H$2:$I$45,2,0),"")</f>
        <v>Si</v>
      </c>
      <c r="G23" s="108" t="str">
        <f t="shared" si="0"/>
        <v>Existe requerimiento pero se requiere actividades  dirigidas a su mantenimiento dentro del marco de las lineas de defensa.</v>
      </c>
      <c r="H23" s="18"/>
      <c r="I23" s="122">
        <f t="shared" si="1"/>
        <v>1</v>
      </c>
      <c r="J23" s="200"/>
    </row>
    <row r="24" spans="1:10" ht="45" x14ac:dyDescent="0.25">
      <c r="A24" s="1"/>
      <c r="B24" s="1"/>
      <c r="C24" s="120">
        <v>6</v>
      </c>
      <c r="D24" s="222"/>
      <c r="E24" s="106" t="str">
        <f>+IFERROR(INDEX(Hoja1!$E$2:$E$45,MATCH('Análisis Resultados'!C24,Hoja1!$H$2:$H$45,0)),"")</f>
        <v>La documentación de sus procesos y procedimientos o bien una lista de actividades principales que permitan conocer el estado de su gestión</v>
      </c>
      <c r="F24" s="107" t="str">
        <f>+IFERROR(VLOOKUP(C24,Hoja1!$H$2:$I$45,2,0),"")</f>
        <v>Si</v>
      </c>
      <c r="G24" s="108" t="str">
        <f t="shared" si="0"/>
        <v>Existe requerimiento pero se requiere actividades  dirigidas a su mantenimiento dentro del marco de las lineas de defensa.</v>
      </c>
      <c r="H24" s="18"/>
      <c r="I24" s="122">
        <f t="shared" si="1"/>
        <v>1</v>
      </c>
      <c r="J24" s="200"/>
    </row>
    <row r="25" spans="1:10" ht="45" x14ac:dyDescent="0.25">
      <c r="A25" s="1"/>
      <c r="B25" s="1"/>
      <c r="C25" s="120">
        <v>7</v>
      </c>
      <c r="D25" s="222"/>
      <c r="E25" s="106" t="str">
        <f>+IFERROR(INDEX(Hoja1!$E$2:$E$45,MATCH('Análisis Resultados'!C25,Hoja1!$H$2:$H$45,0)),"")</f>
        <v>Vinculación de los servidores públicos de acuerdo con el marco normativo que les rige (carrera administrativa, libre nombramiento y remoción, entre otros)</v>
      </c>
      <c r="F25" s="107" t="str">
        <f>+IFERROR(VLOOKUP(C25,Hoja1!$H$2:$I$45,2,0),"")</f>
        <v>Si</v>
      </c>
      <c r="G25" s="108" t="str">
        <f t="shared" si="0"/>
        <v>Existe requerimiento pero se requiere actividades  dirigidas a su mantenimiento dentro del marco de las lineas de defensa.</v>
      </c>
      <c r="H25" s="18"/>
      <c r="I25" s="122">
        <f t="shared" si="1"/>
        <v>1</v>
      </c>
      <c r="J25" s="200"/>
    </row>
    <row r="26" spans="1:10" ht="45" x14ac:dyDescent="0.25">
      <c r="A26" s="1"/>
      <c r="B26" s="1"/>
      <c r="C26" s="120">
        <v>8</v>
      </c>
      <c r="D26" s="222"/>
      <c r="E26" s="106" t="str">
        <f>+IFERROR(INDEX(Hoja1!$E$2:$E$45,MATCH('Análisis Resultados'!C26,Hoja1!$H$2:$H$45,0)),"")</f>
        <v>Procesos de inducción, capacitación y bienestar social para sus servidores públicos, de manera directa o en asociación con otras entidades municipales</v>
      </c>
      <c r="F26" s="107" t="str">
        <f>+IFERROR(VLOOKUP(C26,Hoja1!$H$2:$I$45,2,0),"")</f>
        <v>Si</v>
      </c>
      <c r="G26" s="108" t="str">
        <f t="shared" si="0"/>
        <v>Existe requerimiento pero se requiere actividades  dirigidas a su mantenimiento dentro del marco de las lineas de defensa.</v>
      </c>
      <c r="H26" s="18"/>
      <c r="I26" s="122">
        <f t="shared" si="1"/>
        <v>1</v>
      </c>
      <c r="J26" s="200"/>
    </row>
    <row r="27" spans="1:10" ht="45" x14ac:dyDescent="0.25">
      <c r="A27" s="1"/>
      <c r="B27" s="1"/>
      <c r="C27" s="120">
        <v>9</v>
      </c>
      <c r="D27" s="222"/>
      <c r="E27" s="106" t="str">
        <f>+IFERROR(INDEX(Hoja1!$E$2:$E$45,MATCH('Análisis Resultados'!C27,Hoja1!$H$2:$H$45,0)),"")</f>
        <v>Evaluación a los servidores públicos de acuerdo con el marco normativo que le rige</v>
      </c>
      <c r="F27" s="107" t="str">
        <f>+IFERROR(VLOOKUP(C27,Hoja1!$H$2:$I$45,2,0),"")</f>
        <v>Si</v>
      </c>
      <c r="G27" s="108" t="str">
        <f t="shared" si="0"/>
        <v>Existe requerimiento pero se requiere actividades  dirigidas a su mantenimiento dentro del marco de las lineas de defensa.</v>
      </c>
      <c r="H27" s="18"/>
      <c r="I27" s="122">
        <f t="shared" si="1"/>
        <v>1</v>
      </c>
      <c r="J27" s="200"/>
    </row>
    <row r="28" spans="1:10" ht="45" x14ac:dyDescent="0.25">
      <c r="A28" s="1"/>
      <c r="B28" s="1"/>
      <c r="C28" s="120">
        <v>10</v>
      </c>
      <c r="D28" s="222"/>
      <c r="E28" s="106" t="str">
        <f>+IFERROR(INDEX(Hoja1!$E$2:$E$45,MATCH('Análisis Resultados'!C28,Hoja1!$H$2:$H$45,0)),"")</f>
        <v>Procesos de desvinculación de servidores de acuerdo con lo previsto en la Constitución Política y las leyes</v>
      </c>
      <c r="F28" s="107" t="str">
        <f>+IFERROR(VLOOKUP(C28,Hoja1!$H$2:$I$45,2,0),"")</f>
        <v>Si</v>
      </c>
      <c r="G28" s="108" t="str">
        <f t="shared" si="0"/>
        <v>Existe requerimiento pero se requiere actividades  dirigidas a su mantenimiento dentro del marco de las lineas de defensa.</v>
      </c>
      <c r="H28" s="18"/>
      <c r="I28" s="122">
        <f t="shared" si="1"/>
        <v>1</v>
      </c>
      <c r="J28" s="200"/>
    </row>
    <row r="29" spans="1:10" ht="45" x14ac:dyDescent="0.25">
      <c r="A29" s="1"/>
      <c r="B29" s="1"/>
      <c r="C29" s="120">
        <v>11</v>
      </c>
      <c r="D29" s="222"/>
      <c r="E29" s="106" t="str">
        <f>+IFERROR(INDEX(Hoja1!$E$2:$E$45,MATCH('Análisis Resultados'!C29,Hoja1!$H$2:$H$45,0)),"")</f>
        <v>Mecanismos de rendición de cuentas a la ciudadanía</v>
      </c>
      <c r="F29" s="107" t="str">
        <f>+IFERROR(VLOOKUP(C29,Hoja1!$H$2:$I$45,2,0),"")</f>
        <v>Si</v>
      </c>
      <c r="G29" s="108"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22">
        <f t="shared" si="1"/>
        <v>1</v>
      </c>
      <c r="J29" s="200"/>
    </row>
    <row r="30" spans="1:10" ht="45.75" thickBot="1" x14ac:dyDescent="0.3">
      <c r="A30" s="1"/>
      <c r="B30" s="1"/>
      <c r="C30" s="120">
        <v>12</v>
      </c>
      <c r="D30" s="223"/>
      <c r="E30" s="109" t="str">
        <f>+IFERROR(INDEX(Hoja1!$E$2:$E$45,MATCH('Análisis Resultados'!C30,Hoja1!$H$2:$H$45,0)),"")</f>
        <v>Presentación oportuna de sus informes de gestión a las autoridades competentes</v>
      </c>
      <c r="F30" s="110" t="str">
        <f>+IFERROR(VLOOKUP(C30,Hoja1!$H$2:$I$45,2,0),"")</f>
        <v>Si</v>
      </c>
      <c r="G30" s="111" t="str">
        <f t="shared" si="0"/>
        <v>Existe requerimiento pero se requiere actividades  dirigidas a su mantenimiento dentro del marco de las lineas de defensa.</v>
      </c>
      <c r="H30" s="18"/>
      <c r="I30" s="123">
        <f t="shared" si="1"/>
        <v>1</v>
      </c>
      <c r="J30" s="201"/>
    </row>
    <row r="31" spans="1:10" ht="45" customHeight="1" x14ac:dyDescent="0.25">
      <c r="A31" s="1"/>
      <c r="B31" s="1"/>
      <c r="C31" s="120">
        <v>13</v>
      </c>
      <c r="D31" s="213" t="s">
        <v>44</v>
      </c>
      <c r="E31" s="103" t="str">
        <f>+IFERROR(INDEX(Hoja1!$E$2:$E$45,MATCH('Análisis Resultados'!C31,Hoja1!$H$2:$H$45,0)),"")</f>
        <v>Cada líder del equipo autónomamente toma las acciones para solucionarlos.</v>
      </c>
      <c r="F31" s="104" t="str">
        <f>+IFERROR(VLOOKUP(C31,Hoja1!$H$2:$I$45,2,0),"")</f>
        <v>En proceso</v>
      </c>
      <c r="G31" s="105" t="str">
        <f t="shared" si="0"/>
        <v>Se encuentra en proceso, pero requiere continuar con acciones dirigidas a contar con dicho aspecto de control.</v>
      </c>
      <c r="H31" s="18"/>
      <c r="I31" s="121">
        <f t="shared" si="1"/>
        <v>0.5</v>
      </c>
      <c r="J31" s="193">
        <f>+AVERAGE(I31:I40)</f>
        <v>0.95</v>
      </c>
    </row>
    <row r="32" spans="1:10" ht="57" customHeight="1" x14ac:dyDescent="0.25">
      <c r="A32" s="1"/>
      <c r="B32" s="1"/>
      <c r="C32" s="120">
        <v>14</v>
      </c>
      <c r="D32" s="214"/>
      <c r="E32" s="106" t="str">
        <f>+IFERROR(INDEX(Hoja1!$E$2:$E$45,MATCH('Análisis Resultados'!C32,Hoja1!$H$2:$H$45,0)),"")</f>
        <v>La identificación de cambios en su entorno que pueden generar consecuencias negativas en su gestión</v>
      </c>
      <c r="F32" s="107" t="str">
        <f>+IFERROR(VLOOKUP(C32,Hoja1!$H$2:$I$45,2,0),"")</f>
        <v>Si</v>
      </c>
      <c r="G32" s="108" t="str">
        <f t="shared" si="0"/>
        <v>Existe requerimiento pero se requiere actividades  dirigidas a su mantenimiento dentro del marco de las lineas de defensa.</v>
      </c>
      <c r="H32" s="18"/>
      <c r="I32" s="122">
        <f t="shared" si="1"/>
        <v>1</v>
      </c>
      <c r="J32" s="194"/>
    </row>
    <row r="33" spans="1:10" ht="54" customHeight="1" x14ac:dyDescent="0.25">
      <c r="A33" s="1"/>
      <c r="B33" s="1"/>
      <c r="C33" s="120">
        <v>15</v>
      </c>
      <c r="D33" s="214"/>
      <c r="E33" s="106" t="str">
        <f>+IFERROR(INDEX(Hoja1!$E$2:$E$45,MATCH('Análisis Resultados'!C33,Hoja1!$H$2:$H$45,0)),"")</f>
        <v>La identificación de aquellos problemas o aspectos que pueden afectar el cumplimiento de los planes de la entidad y en general su gestión institucional (riesgos)</v>
      </c>
      <c r="F33" s="107" t="str">
        <f>+IFERROR(VLOOKUP(C33,Hoja1!$H$2:$I$45,2,0),"")</f>
        <v>Si</v>
      </c>
      <c r="G33" s="108" t="str">
        <f t="shared" si="0"/>
        <v>Existe requerimiento pero se requiere actividades  dirigidas a su mantenimiento dentro del marco de las lineas de defensa.</v>
      </c>
      <c r="H33" s="18"/>
      <c r="I33" s="122">
        <f t="shared" si="1"/>
        <v>1</v>
      </c>
      <c r="J33" s="194"/>
    </row>
    <row r="34" spans="1:10" ht="45" x14ac:dyDescent="0.25">
      <c r="A34" s="1"/>
      <c r="B34" s="1"/>
      <c r="C34" s="120">
        <v>16</v>
      </c>
      <c r="D34" s="214"/>
      <c r="E34" s="106" t="str">
        <f>+IFERROR(INDEX(Hoja1!$E$2:$E$45,MATCH('Análisis Resultados'!C34,Hoja1!$H$2:$H$45,0)),"")</f>
        <v>La identificación  de los riesgos relacionados con posibles actos de corrupción en el ejercicio de sus funciones</v>
      </c>
      <c r="F34" s="107" t="str">
        <f>+IFERROR(VLOOKUP(C34,Hoja1!$H$2:$I$45,2,0),"")</f>
        <v>Si</v>
      </c>
      <c r="G34" s="108" t="str">
        <f t="shared" si="0"/>
        <v>Existe requerimiento pero se requiere actividades  dirigidas a su mantenimiento dentro del marco de las lineas de defensa.</v>
      </c>
      <c r="H34" s="18"/>
      <c r="I34" s="122">
        <f t="shared" si="1"/>
        <v>1</v>
      </c>
      <c r="J34" s="194"/>
    </row>
    <row r="35" spans="1:10" ht="67.5" customHeight="1" x14ac:dyDescent="0.25">
      <c r="A35" s="1"/>
      <c r="B35" s="1"/>
      <c r="C35" s="120">
        <v>17</v>
      </c>
      <c r="D35" s="214"/>
      <c r="E35" s="106" t="str">
        <f>+IFERROR(INDEX(Hoja1!$E$2:$E$45,MATCH('Análisis Resultados'!C35,Hoja1!$H$2:$H$45,0)),"")</f>
        <v>Si su capacidad e infraestructura lo permite, identificación de riesgos asociados a las tecnologías de la información y las comunicaciones</v>
      </c>
      <c r="F35" s="107" t="str">
        <f>+IFERROR(VLOOKUP(C35,Hoja1!$H$2:$I$45,2,0),"")</f>
        <v>Si</v>
      </c>
      <c r="G35" s="108" t="str">
        <f t="shared" si="0"/>
        <v>Existe requerimiento pero se requiere actividades  dirigidas a su mantenimiento dentro del marco de las lineas de defensa.</v>
      </c>
      <c r="H35" s="18"/>
      <c r="I35" s="122">
        <f t="shared" si="1"/>
        <v>1</v>
      </c>
      <c r="J35" s="194"/>
    </row>
    <row r="36" spans="1:10" ht="45" x14ac:dyDescent="0.25">
      <c r="A36" s="1"/>
      <c r="B36" s="1"/>
      <c r="C36" s="120">
        <v>18</v>
      </c>
      <c r="D36" s="214"/>
      <c r="E36" s="106" t="str">
        <f>+IFERROR(INDEX(Hoja1!$E$2:$E$45,MATCH('Análisis Resultados'!C36,Hoja1!$H$2:$H$45,0)),"")</f>
        <v>Hacen seguimiento a los problemas (riesgos)  que pueden afectar el cumplimiento de sus procesos, programas o proyectos a cargo</v>
      </c>
      <c r="F36" s="107" t="str">
        <f>+IFERROR(VLOOKUP(C36,Hoja1!$H$2:$I$45,2,0),"")</f>
        <v>Si</v>
      </c>
      <c r="G36" s="108" t="str">
        <f t="shared" si="0"/>
        <v>Existe requerimiento pero se requiere actividades  dirigidas a su mantenimiento dentro del marco de las lineas de defensa.</v>
      </c>
      <c r="H36" s="18"/>
      <c r="I36" s="122">
        <f t="shared" si="1"/>
        <v>1</v>
      </c>
      <c r="J36" s="194"/>
    </row>
    <row r="37" spans="1:10" ht="57" customHeight="1" x14ac:dyDescent="0.25">
      <c r="A37" s="1"/>
      <c r="B37" s="1"/>
      <c r="C37" s="120">
        <v>19</v>
      </c>
      <c r="D37" s="214"/>
      <c r="E37" s="106" t="str">
        <f>+IFERROR(INDEX(Hoja1!$E$2:$E$45,MATCH('Análisis Resultados'!C37,Hoja1!$H$2:$H$45,0)),"")</f>
        <v>Informan de manera periódica a quien corresponda sobre el desempeño de las actividades de gestión de riesgos</v>
      </c>
      <c r="F37" s="107" t="str">
        <f>+IFERROR(VLOOKUP(C37,Hoja1!$H$2:$I$45,2,0),"")</f>
        <v>Si</v>
      </c>
      <c r="G37" s="108" t="str">
        <f t="shared" si="0"/>
        <v>Existe requerimiento pero se requiere actividades  dirigidas a su mantenimiento dentro del marco de las lineas de defensa.</v>
      </c>
      <c r="H37" s="18"/>
      <c r="I37" s="122">
        <f t="shared" si="1"/>
        <v>1</v>
      </c>
      <c r="J37" s="194"/>
    </row>
    <row r="38" spans="1:10" ht="45" x14ac:dyDescent="0.25">
      <c r="A38" s="1"/>
      <c r="B38" s="1"/>
      <c r="C38" s="120">
        <v>20</v>
      </c>
      <c r="D38" s="214"/>
      <c r="E38" s="106" t="str">
        <f>+IFERROR(INDEX(Hoja1!$E$2:$E$45,MATCH('Análisis Resultados'!C38,Hoja1!$H$2:$H$45,0)),"")</f>
        <v>Identifican deficiencias en las maneras de  controlar los riesgos o problemas en sus procesos, programas o proyectos, y propone los ajustes necesarios</v>
      </c>
      <c r="F38" s="107" t="str">
        <f>+IFERROR(VLOOKUP(C38,Hoja1!$H$2:$I$45,2,0),"")</f>
        <v>Si</v>
      </c>
      <c r="G38" s="108" t="str">
        <f t="shared" si="0"/>
        <v>Existe requerimiento pero se requiere actividades  dirigidas a su mantenimiento dentro del marco de las lineas de defensa.</v>
      </c>
      <c r="H38" s="18"/>
      <c r="I38" s="122">
        <f t="shared" si="1"/>
        <v>1</v>
      </c>
      <c r="J38" s="194"/>
    </row>
    <row r="39" spans="1:10" ht="45" x14ac:dyDescent="0.25">
      <c r="A39" s="1"/>
      <c r="B39" s="1"/>
      <c r="C39" s="120">
        <v>21</v>
      </c>
      <c r="D39" s="214"/>
      <c r="E39" s="106" t="str">
        <f>+IFERROR(INDEX(Hoja1!$E$2:$E$45,MATCH('Análisis Resultados'!C39,Hoja1!$H$2:$H$45,0)),"")</f>
        <v>Se definen espacios de reunión para conocerlos y proponer acciones para su solución</v>
      </c>
      <c r="F39" s="107" t="str">
        <f>+IFERROR(VLOOKUP(C39,Hoja1!$H$2:$I$45,2,0),"")</f>
        <v>Si</v>
      </c>
      <c r="G39" s="108" t="str">
        <f t="shared" si="0"/>
        <v>Existe requerimiento pero se requiere actividades  dirigidas a su mantenimiento dentro del marco de las lineas de defensa.</v>
      </c>
      <c r="H39" s="18"/>
      <c r="I39" s="122">
        <f t="shared" si="1"/>
        <v>1</v>
      </c>
      <c r="J39" s="194"/>
    </row>
    <row r="40" spans="1:10" ht="45.75" thickBot="1" x14ac:dyDescent="0.3">
      <c r="A40" s="1"/>
      <c r="B40" s="1"/>
      <c r="C40" s="120">
        <v>22</v>
      </c>
      <c r="D40" s="214"/>
      <c r="E40" s="112" t="str">
        <f>+IFERROR(INDEX(Hoja1!$E$2:$E$45,MATCH('Análisis Resultados'!C40,Hoja1!$H$2:$H$45,0)),"")</f>
        <v>Solamente hasta que un organismo de control actúa se definen acciones de mejora.</v>
      </c>
      <c r="F40" s="113" t="str">
        <f>+IFERROR(VLOOKUP(C40,Hoja1!$H$2:$I$45,2,0),"")</f>
        <v>Si</v>
      </c>
      <c r="G40" s="114" t="str">
        <f t="shared" si="0"/>
        <v>Existe requerimiento pero se requiere actividades  dirigidas a su mantenimiento dentro del marco de las lineas de defensa.</v>
      </c>
      <c r="H40" s="18"/>
      <c r="I40" s="124">
        <f t="shared" si="1"/>
        <v>1</v>
      </c>
      <c r="J40" s="194"/>
    </row>
    <row r="41" spans="1:10" ht="87.75" customHeight="1" x14ac:dyDescent="0.25">
      <c r="A41" s="1"/>
      <c r="B41" s="1"/>
      <c r="C41" s="120">
        <v>23</v>
      </c>
      <c r="D41" s="209" t="s">
        <v>62</v>
      </c>
      <c r="E41" s="103" t="str">
        <f>+IFERROR(INDEX(Hoja1!$E$2:$E$45,MATCH('Análisis Resultados'!C41,Hoja1!$H$2:$H$45,0)),"")</f>
        <v>La definición de acciones o actividades para para dar tratamiento a los problemas identificados (mitigación de riesgos), incluyendo aquellos asociados a posibles actos de corrupción</v>
      </c>
      <c r="F41" s="104" t="str">
        <f>+IFERROR(VLOOKUP(C41,Hoja1!$H$2:$I$45,2,0),"")</f>
        <v>Si</v>
      </c>
      <c r="G41" s="105" t="str">
        <f t="shared" si="0"/>
        <v>Existe requerimiento pero se requiere actividades  dirigidas a su mantenimiento dentro del marco de las lineas de defensa.</v>
      </c>
      <c r="H41" s="18"/>
      <c r="I41" s="121">
        <f t="shared" si="1"/>
        <v>1</v>
      </c>
      <c r="J41" s="193">
        <f>+AVERAGE(I41:I45)</f>
        <v>1</v>
      </c>
    </row>
    <row r="42" spans="1:10" ht="57" x14ac:dyDescent="0.25">
      <c r="A42" s="1"/>
      <c r="B42" s="1"/>
      <c r="C42" s="120">
        <v>24</v>
      </c>
      <c r="D42" s="210"/>
      <c r="E42" s="106" t="str">
        <f>+IFERROR(INDEX(Hoja1!$E$2:$E$45,MATCH('Análisis Resultados'!C42,Hoja1!$H$2:$H$45,0)),"")</f>
        <v>Mecanismos de verificación de si se están o no mitigando los riesgos, o en su defecto, elaboración de planes de contingencia para subsanar sus consecuencias</v>
      </c>
      <c r="F42" s="107" t="str">
        <f>+IFERROR(VLOOKUP(C42,Hoja1!$H$2:$I$45,2,0),"")</f>
        <v>Si</v>
      </c>
      <c r="G42" s="108" t="str">
        <f t="shared" si="0"/>
        <v>Existe requerimiento pero se requiere actividades  dirigidas a su mantenimiento dentro del marco de las lineas de defensa.</v>
      </c>
      <c r="H42" s="18"/>
      <c r="I42" s="122">
        <f t="shared" si="1"/>
        <v>1</v>
      </c>
      <c r="J42" s="194"/>
    </row>
    <row r="43" spans="1:10" ht="85.5" customHeight="1" x14ac:dyDescent="0.25">
      <c r="A43" s="1"/>
      <c r="B43" s="1"/>
      <c r="C43" s="120">
        <v>25</v>
      </c>
      <c r="D43" s="210"/>
      <c r="E43" s="106" t="str">
        <f>+IFERROR(INDEX(Hoja1!$E$2:$E$45,MATCH('Análisis Resultados'!C43,Hoja1!$H$2:$H$45,0)),"")</f>
        <v>Planes, acciones o estrategias que permitan subsanar las consecuencias de la materialización de los riesgos, cuando se presentan</v>
      </c>
      <c r="F43" s="107" t="str">
        <f>+IFERROR(VLOOKUP(C43,Hoja1!$H$2:$I$45,2,0),"")</f>
        <v>Si</v>
      </c>
      <c r="G43" s="108" t="str">
        <f t="shared" si="0"/>
        <v>Existe requerimiento pero se requiere actividades  dirigidas a su mantenimiento dentro del marco de las lineas de defensa.</v>
      </c>
      <c r="H43" s="18"/>
      <c r="I43" s="122">
        <f t="shared" si="1"/>
        <v>1</v>
      </c>
      <c r="J43" s="194"/>
    </row>
    <row r="44" spans="1:10" ht="57" customHeight="1" x14ac:dyDescent="0.25">
      <c r="A44" s="1"/>
      <c r="B44" s="1"/>
      <c r="C44" s="120">
        <v>26</v>
      </c>
      <c r="D44" s="210"/>
      <c r="E44" s="106"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07" t="str">
        <f>+IFERROR(VLOOKUP(C44,Hoja1!$H$2:$I$45,2,0),"")</f>
        <v>Si</v>
      </c>
      <c r="G44" s="108" t="str">
        <f t="shared" si="0"/>
        <v>Existe requerimiento pero se requiere actividades  dirigidas a su mantenimiento dentro del marco de las lineas de defensa.</v>
      </c>
      <c r="H44" s="18"/>
      <c r="I44" s="122">
        <f t="shared" si="1"/>
        <v>1</v>
      </c>
      <c r="J44" s="194"/>
    </row>
    <row r="45" spans="1:10" ht="57" customHeight="1" thickBot="1" x14ac:dyDescent="0.3">
      <c r="A45" s="1"/>
      <c r="B45" s="1"/>
      <c r="C45" s="120">
        <v>27</v>
      </c>
      <c r="D45" s="211"/>
      <c r="E45" s="109" t="str">
        <f>+IFERROR(INDEX(Hoja1!$E$2:$E$45,MATCH('Análisis Resultados'!C45,Hoja1!$H$2:$H$45,0)),"")</f>
        <v>Un plan anticorrupción y de servicio al ciudadano con los temas que le aplican, publicado en algún medio para conocimiento de la ciudadanía</v>
      </c>
      <c r="F45" s="110" t="str">
        <f>+IFERROR(VLOOKUP(C45,Hoja1!$H$2:$I$45,2,0),"")</f>
        <v>Si</v>
      </c>
      <c r="G45" s="111" t="str">
        <f t="shared" si="0"/>
        <v>Existe requerimiento pero se requiere actividades  dirigidas a su mantenimiento dentro del marco de las lineas de defensa.</v>
      </c>
      <c r="H45" s="18"/>
      <c r="I45" s="123">
        <f t="shared" si="1"/>
        <v>1</v>
      </c>
      <c r="J45" s="212"/>
    </row>
    <row r="46" spans="1:10" ht="63.75" customHeight="1" x14ac:dyDescent="0.25">
      <c r="A46" s="1"/>
      <c r="B46" s="1"/>
      <c r="C46" s="120">
        <v>28</v>
      </c>
      <c r="D46" s="208" t="s">
        <v>70</v>
      </c>
      <c r="E46" s="115" t="str">
        <f>+IFERROR(INDEX(Hoja1!$E$2:$E$45,MATCH('Análisis Resultados'!C46,Hoja1!$H$2:$H$45,0)),"")</f>
        <v>Responsables de la información institucional</v>
      </c>
      <c r="F46" s="116" t="str">
        <f>+IFERROR(VLOOKUP(C46,Hoja1!$H$2:$I$45,2,0),"")</f>
        <v>Si</v>
      </c>
      <c r="G46" s="117" t="str">
        <f t="shared" si="0"/>
        <v>Existe requerimiento pero se requiere actividades  dirigidas a su mantenimiento dentro del marco de las lineas de defensa.</v>
      </c>
      <c r="H46" s="18"/>
      <c r="I46" s="125">
        <f t="shared" si="1"/>
        <v>1</v>
      </c>
      <c r="J46" s="194">
        <f>+AVERAGE(I46:I52)</f>
        <v>1</v>
      </c>
    </row>
    <row r="47" spans="1:10" ht="92.25" customHeight="1" x14ac:dyDescent="0.25">
      <c r="A47" s="1"/>
      <c r="B47" s="1"/>
      <c r="C47" s="120">
        <v>29</v>
      </c>
      <c r="D47" s="208"/>
      <c r="E47" s="106" t="str">
        <f>+IFERROR(INDEX(Hoja1!$E$2:$E$45,MATCH('Análisis Resultados'!C47,Hoja1!$H$2:$H$45,0)),"")</f>
        <v>Canales de comunicación con los ciudadanos</v>
      </c>
      <c r="F47" s="107" t="str">
        <f>+IFERROR(VLOOKUP(C47,Hoja1!$H$2:$I$45,2,0),"")</f>
        <v>Si</v>
      </c>
      <c r="G47" s="118" t="str">
        <f t="shared" si="0"/>
        <v>Existe requerimiento pero se requiere actividades  dirigidas a su mantenimiento dentro del marco de las lineas de defensa.</v>
      </c>
      <c r="H47" s="18"/>
      <c r="I47" s="126">
        <f t="shared" si="1"/>
        <v>1</v>
      </c>
      <c r="J47" s="194"/>
    </row>
    <row r="48" spans="1:10" ht="66.75" customHeight="1" x14ac:dyDescent="0.25">
      <c r="A48" s="1"/>
      <c r="B48" s="1"/>
      <c r="C48" s="120">
        <v>30</v>
      </c>
      <c r="D48" s="208"/>
      <c r="E48" s="106" t="str">
        <f>+IFERROR(INDEX(Hoja1!$E$2:$E$45,MATCH('Análisis Resultados'!C48,Hoja1!$H$2:$H$45,0)),"")</f>
        <v>Canales de comunicación o mecanismos de reporte de información a otros organismos gubernamentales o de control</v>
      </c>
      <c r="F48" s="107" t="str">
        <f>+IFERROR(VLOOKUP(C48,Hoja1!$H$2:$I$45,2,0),"")</f>
        <v>Si</v>
      </c>
      <c r="G48" s="118" t="str">
        <f t="shared" si="0"/>
        <v>Existe requerimiento pero se requiere actividades  dirigidas a su mantenimiento dentro del marco de las lineas de defensa.</v>
      </c>
      <c r="H48" s="18"/>
      <c r="I48" s="126">
        <f t="shared" si="1"/>
        <v>1</v>
      </c>
      <c r="J48" s="194"/>
    </row>
    <row r="49" spans="1:10" ht="60" customHeight="1" x14ac:dyDescent="0.25">
      <c r="A49" s="1"/>
      <c r="B49" s="1"/>
      <c r="C49" s="120">
        <v>31</v>
      </c>
      <c r="D49" s="208"/>
      <c r="E49" s="106" t="str">
        <f>+IFERROR(INDEX(Hoja1!$E$2:$E$45,MATCH('Análisis Resultados'!C49,Hoja1!$H$2:$H$45,0)),"")</f>
        <v xml:space="preserve">Lineamientos para dar tratamiento a la información de carácter reservado </v>
      </c>
      <c r="F49" s="107" t="str">
        <f>+IFERROR(VLOOKUP(C49,Hoja1!$H$2:$I$45,2,0),"")</f>
        <v>Si</v>
      </c>
      <c r="G49" s="118" t="str">
        <f t="shared" si="0"/>
        <v>Existe requerimiento pero se requiere actividades  dirigidas a su mantenimiento dentro del marco de las lineas de defensa.</v>
      </c>
      <c r="H49" s="18"/>
      <c r="I49" s="126">
        <f t="shared" si="1"/>
        <v>1</v>
      </c>
      <c r="J49" s="194"/>
    </row>
    <row r="50" spans="1:10" ht="57" customHeight="1" x14ac:dyDescent="0.25">
      <c r="A50" s="1"/>
      <c r="B50" s="1"/>
      <c r="C50" s="120">
        <v>32</v>
      </c>
      <c r="D50" s="208"/>
      <c r="E50" s="106" t="str">
        <f>+IFERROR(INDEX(Hoja1!$E$2:$E$45,MATCH('Análisis Resultados'!C50,Hoja1!$H$2:$H$45,0)),"")</f>
        <v>Identificación de información que produce en el marco de su gestión (Para los ciudadanos, organismos de control, organismos gubernamentales, entre otros)</v>
      </c>
      <c r="F50" s="107" t="str">
        <f>+IFERROR(VLOOKUP(C50,Hoja1!$H$2:$I$45,2,0),"")</f>
        <v>Si</v>
      </c>
      <c r="G50" s="118" t="str">
        <f t="shared" si="0"/>
        <v>Existe requerimiento pero se requiere actividades  dirigidas a su mantenimiento dentro del marco de las lineas de defensa.</v>
      </c>
      <c r="H50" s="18"/>
      <c r="I50" s="126">
        <f t="shared" si="1"/>
        <v>1</v>
      </c>
      <c r="J50" s="194"/>
    </row>
    <row r="51" spans="1:10" ht="57" customHeight="1" x14ac:dyDescent="0.25">
      <c r="A51" s="1"/>
      <c r="B51" s="1"/>
      <c r="C51" s="120">
        <v>33</v>
      </c>
      <c r="D51" s="208"/>
      <c r="E51" s="106" t="str">
        <f>+IFERROR(INDEX(Hoja1!$E$2:$E$45,MATCH('Análisis Resultados'!C51,Hoja1!$H$2:$H$45,0)),"")</f>
        <v>Identificación de información necesaria para la operación de la entidad (normograma, presupuesto, talento humano, infraestructura física y tecnológica)</v>
      </c>
      <c r="F51" s="107" t="str">
        <f>+IFERROR(VLOOKUP(C51,Hoja1!$H$2:$I$45,2,0),"")</f>
        <v>Si</v>
      </c>
      <c r="G51" s="118" t="str">
        <f t="shared" si="0"/>
        <v>Existe requerimiento pero se requiere actividades  dirigidas a su mantenimiento dentro del marco de las lineas de defensa.</v>
      </c>
      <c r="H51" s="18"/>
      <c r="I51" s="126">
        <f t="shared" si="1"/>
        <v>1</v>
      </c>
      <c r="J51" s="194"/>
    </row>
    <row r="52" spans="1:10" ht="45.75" thickBot="1" x14ac:dyDescent="0.3">
      <c r="A52" s="1"/>
      <c r="B52" s="1"/>
      <c r="C52" s="120">
        <v>34</v>
      </c>
      <c r="D52" s="208"/>
      <c r="E52" s="112" t="str">
        <f>+IFERROR(INDEX(Hoja1!$E$2:$E$45,MATCH('Análisis Resultados'!C52,Hoja1!$H$2:$H$45,0)),"")</f>
        <v>Si su capacidad e infraestructura lo permite, tecnologías de la información y las comunicaciones que soporten estos procesos</v>
      </c>
      <c r="F52" s="113" t="str">
        <f>+IFERROR(VLOOKUP(C52,Hoja1!$H$2:$I$45,2,0),"")</f>
        <v>Si</v>
      </c>
      <c r="G52" s="119" t="str">
        <f t="shared" si="0"/>
        <v>Existe requerimiento pero se requiere actividades  dirigidas a su mantenimiento dentro del marco de las lineas de defensa.</v>
      </c>
      <c r="H52" s="18"/>
      <c r="I52" s="127">
        <f t="shared" si="1"/>
        <v>1</v>
      </c>
      <c r="J52" s="194"/>
    </row>
    <row r="53" spans="1:10" ht="41.25" customHeight="1" x14ac:dyDescent="0.25">
      <c r="A53" s="1"/>
      <c r="B53" s="1"/>
      <c r="C53" s="120">
        <v>35</v>
      </c>
      <c r="D53" s="202" t="s">
        <v>80</v>
      </c>
      <c r="E53" s="103" t="str">
        <f>+IFERROR(INDEX(Hoja1!$E$2:$E$45,MATCH('Análisis Resultados'!C53,Hoja1!$H$2:$H$45,0)),"")</f>
        <v>Diseñar acciones adecuadas para controlar los problemas que afectan el cumplimiento de las metas y objetivos institucionales (riesgos).</v>
      </c>
      <c r="F53" s="104" t="str">
        <f>+IFERROR(VLOOKUP(C53,Hoja1!$H$2:$I$45,2,0),"")</f>
        <v>En proceso</v>
      </c>
      <c r="G53" s="105" t="str">
        <f t="shared" si="0"/>
        <v>Se encuentra en proceso, pero requiere continuar con acciones dirigidas a contar con dicho aspecto de control.</v>
      </c>
      <c r="H53" s="18"/>
      <c r="I53" s="121">
        <f t="shared" si="1"/>
        <v>0.5</v>
      </c>
      <c r="J53" s="205">
        <f>+AVERAGE(I53:I62)</f>
        <v>0.85</v>
      </c>
    </row>
    <row r="54" spans="1:10" ht="58.5" customHeight="1" x14ac:dyDescent="0.25">
      <c r="A54" s="1"/>
      <c r="B54" s="1"/>
      <c r="C54" s="120">
        <v>36</v>
      </c>
      <c r="D54" s="203"/>
      <c r="E54" s="106" t="str">
        <f>+IFERROR(INDEX(Hoja1!$E$2:$E$45,MATCH('Análisis Resultados'!C54,Hoja1!$H$2:$H$45,0)),"")</f>
        <v>Ejecutar las acciones de acuerdo a como se diseñaron previamente.</v>
      </c>
      <c r="F54" s="107" t="str">
        <f>+IFERROR(VLOOKUP(C54,Hoja1!$H$2:$I$45,2,0),"")</f>
        <v>En proceso</v>
      </c>
      <c r="G54" s="108" t="str">
        <f t="shared" si="0"/>
        <v>Se encuentra en proceso, pero requiere continuar con acciones dirigidas a contar con dicho aspecto de control.</v>
      </c>
      <c r="H54" s="18"/>
      <c r="I54" s="122">
        <f t="shared" si="1"/>
        <v>0.5</v>
      </c>
      <c r="J54" s="206"/>
    </row>
    <row r="55" spans="1:10" s="1" customFormat="1" ht="84.75" customHeight="1" x14ac:dyDescent="0.25">
      <c r="C55" s="120">
        <v>37</v>
      </c>
      <c r="D55" s="203"/>
      <c r="E55" s="106" t="str">
        <f>+IFERROR(INDEX(Hoja1!$E$2:$E$45,MATCH('Análisis Resultados'!C55,Hoja1!$H$2:$H$45,0)),"")</f>
        <v>No se gestionan los problemas que afectan el cumplimiento de las funciones y objetivos institucionales(riesgos).</v>
      </c>
      <c r="F55" s="107" t="str">
        <f>+IFERROR(VLOOKUP(C55,Hoja1!$H$2:$I$45,2,0),"")</f>
        <v>En proceso</v>
      </c>
      <c r="G55" s="108" t="str">
        <f t="shared" si="0"/>
        <v>Se encuentra en proceso, pero requiere continuar con acciones dirigidas a contar con dicho aspecto de control.</v>
      </c>
      <c r="H55" s="6"/>
      <c r="I55" s="122">
        <f t="shared" si="1"/>
        <v>0.5</v>
      </c>
      <c r="J55" s="206"/>
    </row>
    <row r="56" spans="1:10" s="1" customFormat="1" ht="78.75" customHeight="1" x14ac:dyDescent="0.25">
      <c r="C56" s="120">
        <v>38</v>
      </c>
      <c r="D56" s="203"/>
      <c r="E56" s="106" t="str">
        <f>+IFERROR(INDEX(Hoja1!$E$2:$E$45,MATCH('Análisis Resultados'!C56,Hoja1!$H$2:$H$45,0)),"")</f>
        <v>Mecanismos de evaluación de la gestión (cronogramas, indicadores, listas de chequeo u otros)</v>
      </c>
      <c r="F56" s="107" t="str">
        <f>+IFERROR(VLOOKUP(C56,Hoja1!$H$2:$I$45,2,0),"")</f>
        <v>Si</v>
      </c>
      <c r="G56" s="108" t="str">
        <f t="shared" si="0"/>
        <v>Existe requerimiento pero se requiere actividades  dirigidas a su mantenimiento dentro del marco de las lineas de defensa.</v>
      </c>
      <c r="H56" s="6"/>
      <c r="I56" s="122">
        <f t="shared" si="1"/>
        <v>1</v>
      </c>
      <c r="J56" s="206"/>
    </row>
    <row r="57" spans="1:10" s="1" customFormat="1" ht="54.75" customHeight="1" x14ac:dyDescent="0.25">
      <c r="C57" s="120">
        <v>39</v>
      </c>
      <c r="D57" s="203"/>
      <c r="E57" s="106" t="str">
        <f>+IFERROR(INDEX(Hoja1!$E$2:$E$45,MATCH('Análisis Resultados'!C57,Hoja1!$H$2:$H$45,0)),"")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7" s="107" t="str">
        <f>+IFERROR(VLOOKUP(C57,Hoja1!$H$2:$I$45,2,0),"")</f>
        <v>Si</v>
      </c>
      <c r="G57" s="108" t="str">
        <f t="shared" si="0"/>
        <v>Existe requerimiento pero se requiere actividades  dirigidas a su mantenimiento dentro del marco de las lineas de defensa.</v>
      </c>
      <c r="H57" s="6"/>
      <c r="I57" s="122">
        <f t="shared" si="1"/>
        <v>1</v>
      </c>
      <c r="J57" s="206"/>
    </row>
    <row r="58" spans="1:10" s="1" customFormat="1" ht="68.25" customHeight="1" x14ac:dyDescent="0.25">
      <c r="C58" s="120">
        <v>40</v>
      </c>
      <c r="D58" s="203"/>
      <c r="E58" s="106" t="str">
        <f>+IFERROR(INDEX(Hoja1!$E$2:$E$45,MATCH('Análisis Resultados'!C58,Hoja1!$H$2:$H$45,0)),"")</f>
        <v>Medidas correctivas en caso de detectarse deficiencias en los ejercicios de evaluación, seguimiento o auditoría</v>
      </c>
      <c r="F58" s="107" t="str">
        <f>+IFERROR(VLOOKUP(C58,Hoja1!$H$2:$I$45,2,0),"")</f>
        <v>Si</v>
      </c>
      <c r="G58" s="108" t="str">
        <f t="shared" si="0"/>
        <v>Existe requerimiento pero se requiere actividades  dirigidas a su mantenimiento dentro del marco de las lineas de defensa.</v>
      </c>
      <c r="H58" s="6"/>
      <c r="I58" s="122">
        <f t="shared" si="1"/>
        <v>1</v>
      </c>
      <c r="J58" s="206"/>
    </row>
    <row r="59" spans="1:10" s="1" customFormat="1" ht="45" customHeight="1" x14ac:dyDescent="0.25">
      <c r="C59" s="120">
        <v>41</v>
      </c>
      <c r="D59" s="203"/>
      <c r="E59" s="106" t="str">
        <f>+IFERROR(INDEX(Hoja1!$E$2:$E$45,MATCH('Análisis Resultados'!C59,Hoja1!$H$2:$H$45,0)),"")</f>
        <v>Seguimiento a los planes de mejoramiento suscritos con instancias de control internas o externas</v>
      </c>
      <c r="F59" s="107" t="str">
        <f>+IFERROR(VLOOKUP(C59,Hoja1!$H$2:$I$45,2,0),"")</f>
        <v>Si</v>
      </c>
      <c r="G59" s="108" t="str">
        <f t="shared" si="0"/>
        <v>Existe requerimiento pero se requiere actividades  dirigidas a su mantenimiento dentro del marco de las lineas de defensa.</v>
      </c>
      <c r="H59" s="6"/>
      <c r="I59" s="122">
        <f t="shared" si="1"/>
        <v>1</v>
      </c>
      <c r="J59" s="206"/>
    </row>
    <row r="60" spans="1:10" s="1" customFormat="1" ht="51.75" customHeight="1" x14ac:dyDescent="0.25">
      <c r="C60" s="120">
        <v>42</v>
      </c>
      <c r="D60" s="203"/>
      <c r="E60" s="106" t="str">
        <f>+IFERROR(INDEX(Hoja1!$E$2:$E$45,MATCH('Análisis Resultados'!C60,Hoja1!$H$2:$H$45,0)),"")</f>
        <v>La entidad participa en el  Comité Municipal de Auditoría?</v>
      </c>
      <c r="F60" s="107" t="str">
        <f>+IFERROR(VLOOKUP(C60,Hoja1!$H$2:$I$45,2,0),"")</f>
        <v>Si</v>
      </c>
      <c r="G60" s="108" t="str">
        <f t="shared" si="0"/>
        <v>Existe requerimiento pero se requiere actividades  dirigidas a su mantenimiento dentro del marco de las lineas de defensa.</v>
      </c>
      <c r="H60" s="6"/>
      <c r="I60" s="122">
        <f t="shared" si="1"/>
        <v>1</v>
      </c>
      <c r="J60" s="206"/>
    </row>
    <row r="61" spans="1:10" s="1" customFormat="1" ht="84" customHeight="1" x14ac:dyDescent="0.25">
      <c r="C61" s="120">
        <v>43</v>
      </c>
      <c r="D61" s="203"/>
      <c r="E61" s="106" t="str">
        <f>+IFERROR(INDEX(Hoja1!$E$2:$E$45,MATCH('Análisis Resultados'!C61,Hoja1!$H$2:$H$45,0)),"")</f>
        <v>Evitar que los problemas (riesgos) obstaculicen el cumplimiento de los objetivos.</v>
      </c>
      <c r="F61" s="107" t="str">
        <f>+IFERROR(VLOOKUP(C61,Hoja1!$H$2:$I$45,2,0),"")</f>
        <v>Si</v>
      </c>
      <c r="G61" s="108" t="str">
        <f t="shared" si="0"/>
        <v>Existe requerimiento pero se requiere actividades  dirigidas a su mantenimiento dentro del marco de las lineas de defensa.</v>
      </c>
      <c r="H61" s="6"/>
      <c r="I61" s="122">
        <f t="shared" si="1"/>
        <v>1</v>
      </c>
      <c r="J61" s="206"/>
    </row>
    <row r="62" spans="1:10" s="1" customFormat="1" ht="60" customHeight="1" thickBot="1" x14ac:dyDescent="0.3">
      <c r="C62" s="120">
        <v>44</v>
      </c>
      <c r="D62" s="204"/>
      <c r="E62" s="109" t="str">
        <f>+IFERROR(INDEX(Hoja1!$E$2:$E$45,MATCH('Análisis Resultados'!C62,Hoja1!$H$2:$H$45,0)),"")</f>
        <v>Controlar los puntos críticos en los procesos.</v>
      </c>
      <c r="F62" s="110" t="str">
        <f>+IFERROR(VLOOKUP(C62,Hoja1!$H$2:$I$45,2,0),"")</f>
        <v>Si</v>
      </c>
      <c r="G62" s="111" t="str">
        <f t="shared" si="0"/>
        <v>Existe requerimiento pero se requiere actividades  dirigidas a su mantenimiento dentro del marco de las lineas de defensa.</v>
      </c>
      <c r="H62" s="6"/>
      <c r="I62" s="123">
        <f t="shared" si="1"/>
        <v>1</v>
      </c>
      <c r="J62" s="207"/>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zoomScale="70" zoomScaleNormal="70" workbookViewId="0">
      <selection activeCell="F21" sqref="F21:M21"/>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246" t="s">
        <v>107</v>
      </c>
      <c r="F4" s="248" t="s">
        <v>174</v>
      </c>
      <c r="G4" s="248"/>
      <c r="H4" s="248"/>
      <c r="I4" s="248"/>
      <c r="J4" s="248"/>
      <c r="K4" s="248"/>
      <c r="L4" s="248"/>
      <c r="M4" s="248"/>
      <c r="N4" s="7"/>
      <c r="O4" s="7"/>
      <c r="P4" s="8"/>
      <c r="Q4" s="1"/>
    </row>
    <row r="5" spans="1:17" ht="45.75" customHeight="1" x14ac:dyDescent="0.3">
      <c r="A5" s="1"/>
      <c r="B5" s="5"/>
      <c r="C5" s="6"/>
      <c r="D5" s="6"/>
      <c r="E5" s="247"/>
      <c r="F5" s="248"/>
      <c r="G5" s="248"/>
      <c r="H5" s="248"/>
      <c r="I5" s="248"/>
      <c r="J5" s="248"/>
      <c r="K5" s="248"/>
      <c r="L5" s="248"/>
      <c r="M5" s="248"/>
      <c r="N5" s="7"/>
      <c r="O5" s="7"/>
      <c r="P5" s="8"/>
      <c r="Q5" s="1"/>
    </row>
    <row r="6" spans="1:17" ht="66.75" customHeight="1" x14ac:dyDescent="0.3">
      <c r="A6" s="1"/>
      <c r="B6" s="5"/>
      <c r="C6" s="6"/>
      <c r="D6" s="6"/>
      <c r="E6" s="77" t="s">
        <v>108</v>
      </c>
      <c r="F6" s="249" t="s">
        <v>183</v>
      </c>
      <c r="G6" s="250"/>
      <c r="H6" s="250"/>
      <c r="I6" s="250"/>
      <c r="J6" s="250"/>
      <c r="K6" s="250"/>
      <c r="L6" s="250"/>
      <c r="M6" s="251"/>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252" t="s">
        <v>109</v>
      </c>
      <c r="J8" s="253"/>
      <c r="K8" s="254"/>
      <c r="L8" s="6"/>
      <c r="M8" s="128">
        <f>+AVERAGE(G26,G28,G30,G32,G34)</f>
        <v>0.96</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255" t="s">
        <v>110</v>
      </c>
      <c r="D18" s="256"/>
      <c r="E18" s="256"/>
      <c r="F18" s="256"/>
      <c r="G18" s="256"/>
      <c r="H18" s="256"/>
      <c r="I18" s="256"/>
      <c r="J18" s="256"/>
      <c r="K18" s="256"/>
      <c r="L18" s="256"/>
      <c r="M18" s="257"/>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258" t="s">
        <v>111</v>
      </c>
      <c r="D20" s="259"/>
      <c r="E20" s="131" t="s">
        <v>22</v>
      </c>
      <c r="F20" s="260" t="s">
        <v>175</v>
      </c>
      <c r="G20" s="261"/>
      <c r="H20" s="261"/>
      <c r="I20" s="261"/>
      <c r="J20" s="261"/>
      <c r="K20" s="261"/>
      <c r="L20" s="261"/>
      <c r="M20" s="262"/>
      <c r="N20" s="15"/>
      <c r="O20" s="15"/>
      <c r="P20" s="8"/>
      <c r="Q20" s="1"/>
    </row>
    <row r="21" spans="1:17" ht="126.75" customHeight="1" x14ac:dyDescent="0.25">
      <c r="A21" s="1"/>
      <c r="B21" s="5"/>
      <c r="C21" s="242" t="s">
        <v>112</v>
      </c>
      <c r="D21" s="243"/>
      <c r="E21" s="132" t="s">
        <v>22</v>
      </c>
      <c r="F21" s="263" t="s">
        <v>176</v>
      </c>
      <c r="G21" s="263"/>
      <c r="H21" s="263"/>
      <c r="I21" s="263"/>
      <c r="J21" s="263"/>
      <c r="K21" s="263"/>
      <c r="L21" s="263"/>
      <c r="M21" s="264"/>
      <c r="N21" s="15"/>
      <c r="O21" s="15"/>
      <c r="P21" s="8"/>
      <c r="Q21" s="1"/>
    </row>
    <row r="22" spans="1:17" ht="151.5" customHeight="1" thickBot="1" x14ac:dyDescent="0.3">
      <c r="A22" s="1"/>
      <c r="B22" s="5"/>
      <c r="C22" s="244" t="s">
        <v>113</v>
      </c>
      <c r="D22" s="245"/>
      <c r="E22" s="133" t="s">
        <v>22</v>
      </c>
      <c r="F22" s="265" t="s">
        <v>177</v>
      </c>
      <c r="G22" s="265"/>
      <c r="H22" s="265"/>
      <c r="I22" s="265"/>
      <c r="J22" s="265"/>
      <c r="K22" s="265"/>
      <c r="L22" s="265"/>
      <c r="M22" s="266"/>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80" t="s">
        <v>114</v>
      </c>
      <c r="D24" s="81"/>
      <c r="E24" s="80" t="s">
        <v>115</v>
      </c>
      <c r="F24" s="81"/>
      <c r="G24" s="80" t="s">
        <v>116</v>
      </c>
      <c r="H24" s="81"/>
      <c r="I24" s="270" t="s">
        <v>117</v>
      </c>
      <c r="J24" s="270"/>
      <c r="K24" s="270"/>
      <c r="L24" s="270"/>
      <c r="M24" s="270"/>
      <c r="N24" s="33"/>
      <c r="O24" s="33"/>
      <c r="P24" s="8"/>
      <c r="Q24" s="17"/>
    </row>
    <row r="25" spans="1:17" ht="13.5" customHeight="1" thickBot="1" x14ac:dyDescent="0.3">
      <c r="A25" s="1"/>
      <c r="B25" s="5"/>
      <c r="C25" s="32"/>
      <c r="D25" s="18"/>
      <c r="E25" s="18"/>
      <c r="F25" s="18"/>
      <c r="G25" s="18"/>
      <c r="H25" s="18"/>
      <c r="I25" s="274"/>
      <c r="J25" s="274"/>
      <c r="K25" s="274"/>
      <c r="L25" s="274"/>
      <c r="M25" s="274"/>
      <c r="N25" s="34"/>
      <c r="O25" s="34"/>
      <c r="P25" s="8"/>
      <c r="Q25" s="1"/>
    </row>
    <row r="26" spans="1:17" ht="155.25" customHeight="1" thickBot="1" x14ac:dyDescent="0.3">
      <c r="A26" s="1"/>
      <c r="B26" s="5"/>
      <c r="C26" s="71" t="s">
        <v>16</v>
      </c>
      <c r="D26" s="19"/>
      <c r="E26" s="129" t="str">
        <f>+IF(Hoja1!K2&gt;=0.5,"Si","No")</f>
        <v>Si</v>
      </c>
      <c r="F26" s="20"/>
      <c r="G26" s="130">
        <f>+Hoja1!K2</f>
        <v>1</v>
      </c>
      <c r="H26" s="20"/>
      <c r="I26" s="271" t="s">
        <v>178</v>
      </c>
      <c r="J26" s="272"/>
      <c r="K26" s="272"/>
      <c r="L26" s="272"/>
      <c r="M26" s="273"/>
      <c r="N26" s="35"/>
      <c r="O26" s="36"/>
      <c r="P26" s="21"/>
      <c r="Q26" s="22"/>
    </row>
    <row r="27" spans="1:17" ht="27" thickBot="1" x14ac:dyDescent="0.45">
      <c r="A27" s="1"/>
      <c r="B27" s="5"/>
      <c r="C27" s="72"/>
      <c r="D27" s="23"/>
      <c r="E27" s="79"/>
      <c r="F27" s="18"/>
      <c r="G27" s="24"/>
      <c r="H27" s="18"/>
      <c r="I27" s="275"/>
      <c r="J27" s="275"/>
      <c r="K27" s="275"/>
      <c r="L27" s="275"/>
      <c r="M27" s="275"/>
      <c r="N27" s="37"/>
      <c r="O27" s="37"/>
      <c r="P27" s="8"/>
      <c r="Q27" s="1"/>
    </row>
    <row r="28" spans="1:17" ht="162" customHeight="1" thickBot="1" x14ac:dyDescent="0.3">
      <c r="A28" s="1"/>
      <c r="B28" s="5"/>
      <c r="C28" s="73" t="s">
        <v>118</v>
      </c>
      <c r="D28" s="19"/>
      <c r="E28" s="129" t="str">
        <f>+IF(Hoja1!K14&gt;=0.5,"Si","No")</f>
        <v>Si</v>
      </c>
      <c r="F28" s="18"/>
      <c r="G28" s="130">
        <f>+Hoja1!K14</f>
        <v>0.95</v>
      </c>
      <c r="H28" s="18"/>
      <c r="I28" s="267" t="s">
        <v>179</v>
      </c>
      <c r="J28" s="268"/>
      <c r="K28" s="268"/>
      <c r="L28" s="268"/>
      <c r="M28" s="269"/>
      <c r="N28" s="35"/>
      <c r="O28" s="35"/>
      <c r="P28" s="8"/>
      <c r="Q28" s="1"/>
    </row>
    <row r="29" spans="1:17" ht="27" thickBot="1" x14ac:dyDescent="0.45">
      <c r="A29" s="1"/>
      <c r="B29" s="5"/>
      <c r="C29" s="72"/>
      <c r="D29" s="23"/>
      <c r="E29" s="79"/>
      <c r="F29" s="18"/>
      <c r="G29" s="24"/>
      <c r="H29" s="18"/>
      <c r="I29" s="275"/>
      <c r="J29" s="275"/>
      <c r="K29" s="275"/>
      <c r="L29" s="275"/>
      <c r="M29" s="275"/>
      <c r="N29" s="37"/>
      <c r="O29" s="37"/>
      <c r="P29" s="8"/>
      <c r="Q29" s="1"/>
    </row>
    <row r="30" spans="1:17" ht="123" customHeight="1" thickBot="1" x14ac:dyDescent="0.3">
      <c r="A30" s="1"/>
      <c r="B30" s="5"/>
      <c r="C30" s="74" t="s">
        <v>119</v>
      </c>
      <c r="D30" s="19"/>
      <c r="E30" s="129" t="str">
        <f>+IF(Hoja1!K24&gt;=0.5,"Si","No")</f>
        <v>Si</v>
      </c>
      <c r="F30" s="18"/>
      <c r="G30" s="130">
        <f>+Hoja1!K24</f>
        <v>1</v>
      </c>
      <c r="H30" s="18"/>
      <c r="I30" s="267" t="s">
        <v>180</v>
      </c>
      <c r="J30" s="268"/>
      <c r="K30" s="268"/>
      <c r="L30" s="268"/>
      <c r="M30" s="269"/>
      <c r="N30" s="35"/>
      <c r="O30" s="35"/>
      <c r="P30" s="8"/>
      <c r="Q30" s="1"/>
    </row>
    <row r="31" spans="1:17" ht="27" thickBot="1" x14ac:dyDescent="0.45">
      <c r="A31" s="1"/>
      <c r="B31" s="5"/>
      <c r="C31" s="72"/>
      <c r="D31" s="23"/>
      <c r="E31" s="79"/>
      <c r="F31" s="18"/>
      <c r="G31" s="24"/>
      <c r="H31" s="18"/>
      <c r="I31" s="275"/>
      <c r="J31" s="275"/>
      <c r="K31" s="275"/>
      <c r="L31" s="275"/>
      <c r="M31" s="275"/>
      <c r="N31" s="37"/>
      <c r="O31" s="37"/>
      <c r="P31" s="8"/>
      <c r="Q31" s="1"/>
    </row>
    <row r="32" spans="1:17" ht="206.25" customHeight="1" thickBot="1" x14ac:dyDescent="0.3">
      <c r="A32" s="1"/>
      <c r="B32" s="5"/>
      <c r="C32" s="75" t="s">
        <v>70</v>
      </c>
      <c r="D32" s="19"/>
      <c r="E32" s="129" t="str">
        <f>+IF(Hoja1!K29&gt;=0.5,"Si","No")</f>
        <v>Si</v>
      </c>
      <c r="F32" s="18"/>
      <c r="G32" s="130">
        <f>+Hoja1!K29</f>
        <v>1</v>
      </c>
      <c r="H32" s="18"/>
      <c r="I32" s="267" t="s">
        <v>181</v>
      </c>
      <c r="J32" s="268"/>
      <c r="K32" s="268"/>
      <c r="L32" s="268"/>
      <c r="M32" s="269"/>
      <c r="N32" s="35"/>
      <c r="O32" s="35"/>
      <c r="P32" s="8"/>
      <c r="Q32" s="1"/>
    </row>
    <row r="33" spans="1:17" ht="27" thickBot="1" x14ac:dyDescent="0.45">
      <c r="A33" s="1"/>
      <c r="B33" s="5"/>
      <c r="C33" s="72"/>
      <c r="D33" s="23"/>
      <c r="E33" s="79"/>
      <c r="F33" s="18"/>
      <c r="G33" s="24"/>
      <c r="H33" s="18"/>
      <c r="I33" s="275"/>
      <c r="J33" s="275"/>
      <c r="K33" s="275"/>
      <c r="L33" s="275"/>
      <c r="M33" s="275"/>
      <c r="N33" s="37"/>
      <c r="O33" s="37"/>
      <c r="P33" s="8"/>
      <c r="Q33" s="1"/>
    </row>
    <row r="34" spans="1:17" ht="213.75" customHeight="1" thickBot="1" x14ac:dyDescent="0.3">
      <c r="A34" s="1"/>
      <c r="B34" s="5"/>
      <c r="C34" s="76" t="s">
        <v>120</v>
      </c>
      <c r="D34" s="19"/>
      <c r="E34" s="78" t="str">
        <f>+IF(Hoja1!K36&gt;=0.5,"Si","No")</f>
        <v>Si</v>
      </c>
      <c r="F34" s="18"/>
      <c r="G34" s="130">
        <f>+Hoja1!K36</f>
        <v>0.85</v>
      </c>
      <c r="H34" s="18"/>
      <c r="I34" s="267" t="s">
        <v>182</v>
      </c>
      <c r="J34" s="268"/>
      <c r="K34" s="268"/>
      <c r="L34" s="268"/>
      <c r="M34" s="269"/>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paperSize="41"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34" t="s">
        <v>9</v>
      </c>
      <c r="B1" s="134" t="s">
        <v>0</v>
      </c>
      <c r="C1" s="135" t="s">
        <v>1</v>
      </c>
      <c r="D1" s="136" t="s">
        <v>10</v>
      </c>
      <c r="E1" s="136" t="s">
        <v>11</v>
      </c>
      <c r="F1" s="136" t="s">
        <v>121</v>
      </c>
      <c r="G1" s="137" t="s">
        <v>122</v>
      </c>
      <c r="H1" s="137" t="s">
        <v>123</v>
      </c>
      <c r="I1" s="137" t="s">
        <v>102</v>
      </c>
      <c r="J1" s="137" t="s">
        <v>124</v>
      </c>
      <c r="K1" s="137" t="s">
        <v>125</v>
      </c>
    </row>
    <row r="2" spans="1:11" x14ac:dyDescent="0.25">
      <c r="A2" s="138" t="s">
        <v>126</v>
      </c>
      <c r="B2" s="138" t="str">
        <f>+VLOOKUP(A2,'Estado SCI'!$A$16:$C$59,3,0)</f>
        <v>AMBIENTE DE CONTROL</v>
      </c>
      <c r="C2" s="138" t="s">
        <v>17</v>
      </c>
      <c r="D2" s="138" t="s">
        <v>18</v>
      </c>
      <c r="E2" s="138" t="s">
        <v>19</v>
      </c>
      <c r="F2" s="138" t="str">
        <f>+VLOOKUP(A2,'Estado SCI'!$A$16:$I$59,9,0)</f>
        <v>Mantenimiento del control</v>
      </c>
      <c r="G2" s="138">
        <f>+VLOOKUP(A2,'Estado SCI'!$A$16:$L$59,12,0)</f>
        <v>20.123000000000001</v>
      </c>
      <c r="H2" s="138">
        <f t="shared" ref="H2:H45" si="0">+_xlfn.RANK.EQ(G2,$G$2:$G$45,1)</f>
        <v>1</v>
      </c>
      <c r="I2" s="138" t="str">
        <f>+IF(VLOOKUP(A2,'Estado SCI'!$A$16:$G$59,7,0)="","",VLOOKUP(A2,'Estado SCI'!$A$16:$G$59,7,0))</f>
        <v>Si</v>
      </c>
      <c r="J2" s="139">
        <f>+IF(I2="Si",1,IF(I2="En proceso",0.5,0))</f>
        <v>1</v>
      </c>
      <c r="K2" s="140">
        <f t="shared" ref="K2:K45" si="1">+AVERAGEIF($B$2:$B$45,B2,$J$2:$J$45)</f>
        <v>1</v>
      </c>
    </row>
    <row r="3" spans="1:11" x14ac:dyDescent="0.25">
      <c r="A3" s="138" t="s">
        <v>127</v>
      </c>
      <c r="B3" s="138" t="s">
        <v>16</v>
      </c>
      <c r="C3" s="138" t="s">
        <v>17</v>
      </c>
      <c r="D3" s="138" t="s">
        <v>20</v>
      </c>
      <c r="E3" s="138" t="s">
        <v>21</v>
      </c>
      <c r="F3" s="138" t="str">
        <f>+VLOOKUP(A3,'Estado SCI'!$A$16:$I$59,9,0)</f>
        <v>Mantenimiento del control</v>
      </c>
      <c r="G3" s="138">
        <f>+VLOOKUP(A3,'Estado SCI'!$A$16:$L$59,12,0)</f>
        <v>20.1234</v>
      </c>
      <c r="H3" s="138">
        <f t="shared" si="0"/>
        <v>2</v>
      </c>
      <c r="I3" s="138" t="str">
        <f>+IF(VLOOKUP(A3,'Estado SCI'!$A$16:$G$59,7,0)="","",VLOOKUP(A3,'Estado SCI'!$A$16:$G$59,7,0))</f>
        <v>Si</v>
      </c>
      <c r="J3" s="139">
        <f t="shared" ref="J3:J45" si="2">+IF(I3="Si",1,IF(I3="En proceso",0.5,0))</f>
        <v>1</v>
      </c>
      <c r="K3" s="140">
        <f t="shared" si="1"/>
        <v>1</v>
      </c>
    </row>
    <row r="4" spans="1:11" x14ac:dyDescent="0.25">
      <c r="A4" s="138" t="s">
        <v>128</v>
      </c>
      <c r="B4" s="138" t="s">
        <v>16</v>
      </c>
      <c r="C4" s="138" t="s">
        <v>17</v>
      </c>
      <c r="D4" s="138" t="s">
        <v>23</v>
      </c>
      <c r="E4" s="138" t="s">
        <v>24</v>
      </c>
      <c r="F4" s="138" t="str">
        <f>+VLOOKUP(A4,'Estado SCI'!$A$16:$I$59,9,0)</f>
        <v>Mantenimiento del control</v>
      </c>
      <c r="G4" s="138">
        <f>+VLOOKUP(A4,'Estado SCI'!$A$16:$L$59,12,0)</f>
        <v>20.123449999999998</v>
      </c>
      <c r="H4" s="138">
        <f t="shared" si="0"/>
        <v>3</v>
      </c>
      <c r="I4" s="138" t="str">
        <f>+IF(VLOOKUP(A4,'Estado SCI'!$A$16:$G$59,7,0)="","",VLOOKUP(A4,'Estado SCI'!$A$16:$G$59,7,0))</f>
        <v>Si</v>
      </c>
      <c r="J4" s="139">
        <f t="shared" si="2"/>
        <v>1</v>
      </c>
      <c r="K4" s="140">
        <f t="shared" si="1"/>
        <v>1</v>
      </c>
    </row>
    <row r="5" spans="1:11" x14ac:dyDescent="0.25">
      <c r="A5" s="138" t="s">
        <v>129</v>
      </c>
      <c r="B5" s="138" t="s">
        <v>16</v>
      </c>
      <c r="C5" s="138" t="s">
        <v>17</v>
      </c>
      <c r="D5" s="138" t="s">
        <v>25</v>
      </c>
      <c r="E5" s="138" t="s">
        <v>26</v>
      </c>
      <c r="F5" s="138" t="str">
        <f>+VLOOKUP(A5,'Estado SCI'!$A$16:$I$59,9,0)</f>
        <v>Mantenimiento del control</v>
      </c>
      <c r="G5" s="138">
        <f>+VLOOKUP(A5,'Estado SCI'!$A$16:$L$59,12,0)</f>
        <v>20.123456000000001</v>
      </c>
      <c r="H5" s="138">
        <f t="shared" si="0"/>
        <v>4</v>
      </c>
      <c r="I5" s="138" t="str">
        <f>+IF(VLOOKUP(A5,'Estado SCI'!$A$16:$G$59,7,0)="","",VLOOKUP(A5,'Estado SCI'!$A$16:$G$59,7,0))</f>
        <v>Si</v>
      </c>
      <c r="J5" s="139">
        <f t="shared" si="2"/>
        <v>1</v>
      </c>
      <c r="K5" s="140">
        <f t="shared" si="1"/>
        <v>1</v>
      </c>
    </row>
    <row r="6" spans="1:11" x14ac:dyDescent="0.25">
      <c r="A6" s="138" t="s">
        <v>130</v>
      </c>
      <c r="B6" s="138" t="s">
        <v>16</v>
      </c>
      <c r="C6" s="138" t="s">
        <v>17</v>
      </c>
      <c r="D6" s="138" t="s">
        <v>27</v>
      </c>
      <c r="E6" s="138" t="s">
        <v>28</v>
      </c>
      <c r="F6" s="138" t="str">
        <f>+VLOOKUP(A6,'Estado SCI'!$A$16:$I$59,9,0)</f>
        <v>Mantenimiento del control</v>
      </c>
      <c r="G6" s="138">
        <f>+VLOOKUP(A6,'Estado SCI'!$A$16:$L$59,12,0)</f>
        <v>20.123456780000001</v>
      </c>
      <c r="H6" s="138">
        <f t="shared" si="0"/>
        <v>5</v>
      </c>
      <c r="I6" s="138" t="str">
        <f>+IF(VLOOKUP(A6,'Estado SCI'!$A$16:$G$59,7,0)="","",VLOOKUP(A6,'Estado SCI'!$A$16:$G$59,7,0))</f>
        <v>Si</v>
      </c>
      <c r="J6" s="139">
        <f t="shared" si="2"/>
        <v>1</v>
      </c>
      <c r="K6" s="140">
        <f t="shared" si="1"/>
        <v>1</v>
      </c>
    </row>
    <row r="7" spans="1:11" x14ac:dyDescent="0.25">
      <c r="A7" s="138" t="s">
        <v>131</v>
      </c>
      <c r="B7" s="138" t="s">
        <v>16</v>
      </c>
      <c r="C7" s="138" t="s">
        <v>17</v>
      </c>
      <c r="D7" s="138" t="s">
        <v>29</v>
      </c>
      <c r="E7" s="138" t="s">
        <v>30</v>
      </c>
      <c r="F7" s="138" t="str">
        <f>+VLOOKUP(A7,'Estado SCI'!$A$16:$I$59,9,0)</f>
        <v>Mantenimiento del control</v>
      </c>
      <c r="G7" s="138">
        <f>+VLOOKUP(A7,'Estado SCI'!$A$16:$L$59,12,0)</f>
        <v>20.123456788999999</v>
      </c>
      <c r="H7" s="138">
        <f t="shared" si="0"/>
        <v>6</v>
      </c>
      <c r="I7" s="138" t="str">
        <f>+IF(VLOOKUP(A7,'Estado SCI'!$A$16:$G$59,7,0)="","",VLOOKUP(A7,'Estado SCI'!$A$16:$G$59,7,0))</f>
        <v>Si</v>
      </c>
      <c r="J7" s="139">
        <f t="shared" si="2"/>
        <v>1</v>
      </c>
      <c r="K7" s="140">
        <f t="shared" si="1"/>
        <v>1</v>
      </c>
    </row>
    <row r="8" spans="1:11" x14ac:dyDescent="0.25">
      <c r="A8" s="138" t="s">
        <v>132</v>
      </c>
      <c r="B8" s="138" t="s">
        <v>16</v>
      </c>
      <c r="C8" s="138" t="s">
        <v>17</v>
      </c>
      <c r="D8" s="138" t="s">
        <v>31</v>
      </c>
      <c r="E8" s="138" t="s">
        <v>32</v>
      </c>
      <c r="F8" s="138" t="str">
        <f>+VLOOKUP(A8,'Estado SCI'!$A$16:$I$59,9,0)</f>
        <v>Mantenimiento del control</v>
      </c>
      <c r="G8" s="138">
        <f>+VLOOKUP(A8,'Estado SCI'!$A$16:$L$59,12,0)</f>
        <v>20.1234567891</v>
      </c>
      <c r="H8" s="138">
        <f t="shared" si="0"/>
        <v>7</v>
      </c>
      <c r="I8" s="138" t="str">
        <f>+IF(VLOOKUP(A8,'Estado SCI'!$A$16:$G$59,7,0)="","",VLOOKUP(A8,'Estado SCI'!$A$16:$G$59,7,0))</f>
        <v>Si</v>
      </c>
      <c r="J8" s="139">
        <f t="shared" si="2"/>
        <v>1</v>
      </c>
      <c r="K8" s="140">
        <f t="shared" si="1"/>
        <v>1</v>
      </c>
    </row>
    <row r="9" spans="1:11" x14ac:dyDescent="0.25">
      <c r="A9" s="138" t="s">
        <v>133</v>
      </c>
      <c r="B9" s="138" t="s">
        <v>16</v>
      </c>
      <c r="C9" s="138" t="s">
        <v>17</v>
      </c>
      <c r="D9" s="138" t="s">
        <v>33</v>
      </c>
      <c r="E9" s="138" t="s">
        <v>34</v>
      </c>
      <c r="F9" s="138" t="str">
        <f>+VLOOKUP(A9,'Estado SCI'!$A$16:$I$59,9,0)</f>
        <v>Mantenimiento del control</v>
      </c>
      <c r="G9" s="138">
        <f>+VLOOKUP(A9,'Estado SCI'!$A$16:$L$59,12,0)</f>
        <v>20.123456789119999</v>
      </c>
      <c r="H9" s="138">
        <f t="shared" si="0"/>
        <v>8</v>
      </c>
      <c r="I9" s="138" t="str">
        <f>+IF(VLOOKUP(A9,'Estado SCI'!$A$16:$G$59,7,0)="","",VLOOKUP(A9,'Estado SCI'!$A$16:$G$59,7,0))</f>
        <v>Si</v>
      </c>
      <c r="J9" s="139">
        <f t="shared" si="2"/>
        <v>1</v>
      </c>
      <c r="K9" s="140">
        <f t="shared" si="1"/>
        <v>1</v>
      </c>
    </row>
    <row r="10" spans="1:11" x14ac:dyDescent="0.25">
      <c r="A10" s="138" t="s">
        <v>134</v>
      </c>
      <c r="B10" s="138" t="s">
        <v>16</v>
      </c>
      <c r="C10" s="138" t="s">
        <v>17</v>
      </c>
      <c r="D10" s="138" t="s">
        <v>35</v>
      </c>
      <c r="E10" s="138" t="s">
        <v>36</v>
      </c>
      <c r="F10" s="138" t="str">
        <f>+VLOOKUP(A10,'Estado SCI'!$A$16:$I$59,9,0)</f>
        <v>Mantenimiento del control</v>
      </c>
      <c r="G10" s="138">
        <f>+VLOOKUP(A10,'Estado SCI'!$A$16:$L$59,12,0)</f>
        <v>20.123456789123001</v>
      </c>
      <c r="H10" s="138">
        <f t="shared" si="0"/>
        <v>9</v>
      </c>
      <c r="I10" s="138" t="str">
        <f>+IF(VLOOKUP(A10,'Estado SCI'!$A$16:$G$59,7,0)="","",VLOOKUP(A10,'Estado SCI'!$A$16:$G$59,7,0))</f>
        <v>Si</v>
      </c>
      <c r="J10" s="139">
        <f t="shared" si="2"/>
        <v>1</v>
      </c>
      <c r="K10" s="140">
        <f t="shared" si="1"/>
        <v>1</v>
      </c>
    </row>
    <row r="11" spans="1:11" x14ac:dyDescent="0.25">
      <c r="A11" s="138" t="s">
        <v>135</v>
      </c>
      <c r="B11" s="138" t="s">
        <v>16</v>
      </c>
      <c r="C11" s="138" t="s">
        <v>17</v>
      </c>
      <c r="D11" s="138" t="s">
        <v>37</v>
      </c>
      <c r="E11" s="138" t="s">
        <v>38</v>
      </c>
      <c r="F11" s="138" t="str">
        <f>+VLOOKUP(A11,'Estado SCI'!$A$16:$I$59,9,0)</f>
        <v>Mantenimiento del control</v>
      </c>
      <c r="G11" s="138">
        <f>+VLOOKUP(A11,'Estado SCI'!$A$16:$L$59,12,0)</f>
        <v>20.123456789123399</v>
      </c>
      <c r="H11" s="138">
        <f t="shared" si="0"/>
        <v>10</v>
      </c>
      <c r="I11" s="138" t="str">
        <f>+IF(VLOOKUP(A11,'Estado SCI'!$A$16:$G$59,7,0)="","",VLOOKUP(A11,'Estado SCI'!$A$16:$G$59,7,0))</f>
        <v>Si</v>
      </c>
      <c r="J11" s="139">
        <f t="shared" si="2"/>
        <v>1</v>
      </c>
      <c r="K11" s="140">
        <f t="shared" si="1"/>
        <v>1</v>
      </c>
    </row>
    <row r="12" spans="1:11" x14ac:dyDescent="0.25">
      <c r="A12" s="138" t="s">
        <v>136</v>
      </c>
      <c r="B12" s="138" t="s">
        <v>16</v>
      </c>
      <c r="C12" s="138" t="s">
        <v>17</v>
      </c>
      <c r="D12" s="138" t="s">
        <v>39</v>
      </c>
      <c r="E12" s="138" t="s">
        <v>40</v>
      </c>
      <c r="F12" s="138" t="str">
        <f>+VLOOKUP(A12,'Estado SCI'!$A$16:$I$59,9,0)</f>
        <v>Mantenimiento del control</v>
      </c>
      <c r="G12" s="138">
        <f>+VLOOKUP(A12,'Estado SCI'!$A$16:$L$59,12,0)</f>
        <v>20.123456789123448</v>
      </c>
      <c r="H12" s="138">
        <f t="shared" si="0"/>
        <v>11</v>
      </c>
      <c r="I12" s="138" t="str">
        <f>+IF(VLOOKUP(A12,'Estado SCI'!$A$16:$G$59,7,0)="","",VLOOKUP(A12,'Estado SCI'!$A$16:$G$59,7,0))</f>
        <v>Si</v>
      </c>
      <c r="J12" s="139">
        <f t="shared" si="2"/>
        <v>1</v>
      </c>
      <c r="K12" s="140">
        <f t="shared" si="1"/>
        <v>1</v>
      </c>
    </row>
    <row r="13" spans="1:11" x14ac:dyDescent="0.25">
      <c r="A13" s="138" t="s">
        <v>137</v>
      </c>
      <c r="B13" s="138" t="s">
        <v>16</v>
      </c>
      <c r="C13" s="138" t="s">
        <v>17</v>
      </c>
      <c r="D13" s="138" t="s">
        <v>41</v>
      </c>
      <c r="E13" s="138" t="s">
        <v>42</v>
      </c>
      <c r="F13" s="138" t="str">
        <f>+VLOOKUP(A13,'Estado SCI'!$A$16:$I$59,9,0)</f>
        <v>Mantenimiento del control</v>
      </c>
      <c r="G13" s="138">
        <f>+VLOOKUP(A13,'Estado SCI'!$A$16:$L$59,12,0)</f>
        <v>20.123456789123455</v>
      </c>
      <c r="H13" s="138">
        <f t="shared" si="0"/>
        <v>12</v>
      </c>
      <c r="I13" s="138" t="str">
        <f>+IF(VLOOKUP(A13,'Estado SCI'!$A$16:$G$59,7,0)="","",VLOOKUP(A13,'Estado SCI'!$A$16:$G$59,7,0))</f>
        <v>Si</v>
      </c>
      <c r="J13" s="139">
        <f t="shared" si="2"/>
        <v>1</v>
      </c>
      <c r="K13" s="140">
        <f t="shared" si="1"/>
        <v>1</v>
      </c>
    </row>
    <row r="14" spans="1:11" ht="15" customHeight="1" x14ac:dyDescent="0.25">
      <c r="A14" s="138" t="s">
        <v>138</v>
      </c>
      <c r="B14" s="138" t="str">
        <f>+VLOOKUP(A14,'Estado SCI'!$A$16:$C$59,3,0)</f>
        <v>EVALUACION DEL RIESGO</v>
      </c>
      <c r="C14" s="138" t="s">
        <v>45</v>
      </c>
      <c r="D14" s="138" t="s">
        <v>18</v>
      </c>
      <c r="E14" s="138" t="s">
        <v>139</v>
      </c>
      <c r="F14" s="138" t="str">
        <f>+VLOOKUP(A14,'Estado SCI'!$A$16:$I$59,9,0)</f>
        <v>Mantenimiento del control</v>
      </c>
      <c r="G14" s="138">
        <f>+VLOOKUP(A14,'Estado SCI'!$A$16:$L$59,12,0)</f>
        <v>40.229999999999997</v>
      </c>
      <c r="H14" s="138">
        <f t="shared" si="0"/>
        <v>14</v>
      </c>
      <c r="I14" s="138" t="str">
        <f>+IF(VLOOKUP(A14,'Estado SCI'!$A$16:$G$59,7,0)="","",VLOOKUP(A14,'Estado SCI'!$A$16:$G$59,7,0))</f>
        <v>Si</v>
      </c>
      <c r="J14" s="139">
        <f t="shared" si="2"/>
        <v>1</v>
      </c>
      <c r="K14" s="140">
        <f t="shared" si="1"/>
        <v>0.95</v>
      </c>
    </row>
    <row r="15" spans="1:11" ht="15" customHeight="1" x14ac:dyDescent="0.25">
      <c r="A15" s="138" t="s">
        <v>140</v>
      </c>
      <c r="B15" s="138" t="s">
        <v>44</v>
      </c>
      <c r="C15" s="138" t="s">
        <v>45</v>
      </c>
      <c r="D15" s="138" t="s">
        <v>20</v>
      </c>
      <c r="E15" s="138" t="s">
        <v>141</v>
      </c>
      <c r="F15" s="138" t="str">
        <f>+VLOOKUP(A15,'Estado SCI'!$A$16:$I$59,9,0)</f>
        <v>Mantenimiento del control</v>
      </c>
      <c r="G15" s="138">
        <f>+VLOOKUP(A15,'Estado SCI'!$A$16:$L$59,12,0)</f>
        <v>40.234000000000002</v>
      </c>
      <c r="H15" s="138">
        <f t="shared" si="0"/>
        <v>15</v>
      </c>
      <c r="I15" s="138" t="str">
        <f>+IF(VLOOKUP(A15,'Estado SCI'!$A$16:$G$59,7,0)="","",VLOOKUP(A15,'Estado SCI'!$A$16:$G$59,7,0))</f>
        <v>Si</v>
      </c>
      <c r="J15" s="139">
        <f t="shared" si="2"/>
        <v>1</v>
      </c>
      <c r="K15" s="140">
        <f t="shared" si="1"/>
        <v>0.95</v>
      </c>
    </row>
    <row r="16" spans="1:11" ht="15" customHeight="1" x14ac:dyDescent="0.25">
      <c r="A16" s="138" t="s">
        <v>142</v>
      </c>
      <c r="B16" s="138" t="s">
        <v>44</v>
      </c>
      <c r="C16" s="138" t="s">
        <v>45</v>
      </c>
      <c r="D16" s="138" t="s">
        <v>23</v>
      </c>
      <c r="E16" s="138" t="s">
        <v>143</v>
      </c>
      <c r="F16" s="138" t="str">
        <f>+VLOOKUP(A16,'Estado SCI'!$A$16:$I$59,9,0)</f>
        <v>Mantenimiento del control</v>
      </c>
      <c r="G16" s="138">
        <f>+VLOOKUP(A16,'Estado SCI'!$A$16:$L$59,12,0)</f>
        <v>40.234499999999997</v>
      </c>
      <c r="H16" s="138">
        <f t="shared" si="0"/>
        <v>16</v>
      </c>
      <c r="I16" s="138" t="str">
        <f>+IF(VLOOKUP(A16,'Estado SCI'!$A$16:$G$59,7,0)="","",VLOOKUP(A16,'Estado SCI'!$A$16:$G$59,7,0))</f>
        <v>Si</v>
      </c>
      <c r="J16" s="139">
        <f t="shared" si="2"/>
        <v>1</v>
      </c>
      <c r="K16" s="140">
        <f t="shared" si="1"/>
        <v>0.95</v>
      </c>
    </row>
    <row r="17" spans="1:11" ht="15.75" customHeight="1" x14ac:dyDescent="0.25">
      <c r="A17" s="138" t="s">
        <v>144</v>
      </c>
      <c r="B17" s="138" t="s">
        <v>44</v>
      </c>
      <c r="C17" s="138" t="s">
        <v>45</v>
      </c>
      <c r="D17" s="138" t="s">
        <v>25</v>
      </c>
      <c r="E17" s="138" t="s">
        <v>49</v>
      </c>
      <c r="F17" s="138" t="str">
        <f>+VLOOKUP(A17,'Estado SCI'!$A$16:$I$59,9,0)</f>
        <v>Mantenimiento del control</v>
      </c>
      <c r="G17" s="138">
        <f>+VLOOKUP(A17,'Estado SCI'!$A$16:$L$59,12,0)</f>
        <v>40.234560000000002</v>
      </c>
      <c r="H17" s="138">
        <f t="shared" si="0"/>
        <v>17</v>
      </c>
      <c r="I17" s="138" t="str">
        <f>+IF(VLOOKUP(A17,'Estado SCI'!$A$16:$G$59,7,0)="","",VLOOKUP(A17,'Estado SCI'!$A$16:$G$59,7,0))</f>
        <v>Si</v>
      </c>
      <c r="J17" s="139">
        <f t="shared" si="2"/>
        <v>1</v>
      </c>
      <c r="K17" s="140">
        <f t="shared" si="1"/>
        <v>0.95</v>
      </c>
    </row>
    <row r="18" spans="1:11" ht="15" customHeight="1" x14ac:dyDescent="0.25">
      <c r="A18" s="138" t="s">
        <v>145</v>
      </c>
      <c r="B18" s="138" t="s">
        <v>44</v>
      </c>
      <c r="C18" s="138" t="s">
        <v>63</v>
      </c>
      <c r="D18" s="138" t="s">
        <v>18</v>
      </c>
      <c r="E18" s="138" t="s">
        <v>52</v>
      </c>
      <c r="F18" s="138" t="str">
        <f>+VLOOKUP(A18,'Estado SCI'!$A$16:$I$59,9,0)</f>
        <v>Mantenimiento del control</v>
      </c>
      <c r="G18" s="138">
        <f>+VLOOKUP(A18,'Estado SCI'!$A$16:$L$59,12,0)</f>
        <v>40.234566999999998</v>
      </c>
      <c r="H18" s="138">
        <f t="shared" si="0"/>
        <v>18</v>
      </c>
      <c r="I18" s="138" t="str">
        <f>+IF(VLOOKUP(A18,'Estado SCI'!$A$16:$G$59,7,0)="","",VLOOKUP(A18,'Estado SCI'!$A$16:$G$59,7,0))</f>
        <v>Si</v>
      </c>
      <c r="J18" s="139">
        <f t="shared" si="2"/>
        <v>1</v>
      </c>
      <c r="K18" s="140">
        <f t="shared" si="1"/>
        <v>0.95</v>
      </c>
    </row>
    <row r="19" spans="1:11" ht="15" customHeight="1" x14ac:dyDescent="0.25">
      <c r="A19" s="138" t="s">
        <v>146</v>
      </c>
      <c r="B19" s="138" t="s">
        <v>44</v>
      </c>
      <c r="C19" s="138" t="s">
        <v>63</v>
      </c>
      <c r="D19" s="138" t="s">
        <v>20</v>
      </c>
      <c r="E19" s="138" t="s">
        <v>53</v>
      </c>
      <c r="F19" s="138" t="str">
        <f>+VLOOKUP(A19,'Estado SCI'!$A$16:$I$59,9,0)</f>
        <v>Mantenimiento del control</v>
      </c>
      <c r="G19" s="138">
        <f>+VLOOKUP(A19,'Estado SCI'!$A$16:$L$59,12,0)</f>
        <v>40.234567800000001</v>
      </c>
      <c r="H19" s="138">
        <f t="shared" si="0"/>
        <v>19</v>
      </c>
      <c r="I19" s="138" t="str">
        <f>+IF(VLOOKUP(A19,'Estado SCI'!$A$16:$G$59,7,0)="","",VLOOKUP(A19,'Estado SCI'!$A$16:$G$59,7,0))</f>
        <v>Si</v>
      </c>
      <c r="J19" s="139">
        <f t="shared" si="2"/>
        <v>1</v>
      </c>
      <c r="K19" s="140">
        <f t="shared" si="1"/>
        <v>0.95</v>
      </c>
    </row>
    <row r="20" spans="1:11" ht="15" customHeight="1" x14ac:dyDescent="0.25">
      <c r="A20" s="138" t="s">
        <v>147</v>
      </c>
      <c r="B20" s="138" t="s">
        <v>44</v>
      </c>
      <c r="C20" s="138" t="s">
        <v>63</v>
      </c>
      <c r="D20" s="138" t="s">
        <v>23</v>
      </c>
      <c r="E20" s="138" t="s">
        <v>54</v>
      </c>
      <c r="F20" s="138" t="str">
        <f>+VLOOKUP(A20,'Estado SCI'!$A$16:$I$59,9,0)</f>
        <v>Mantenimiento del control</v>
      </c>
      <c r="G20" s="138">
        <f>+VLOOKUP(A20,'Estado SCI'!$A$16:$L$59,12,0)</f>
        <v>40.234567890000001</v>
      </c>
      <c r="H20" s="138">
        <f t="shared" si="0"/>
        <v>20</v>
      </c>
      <c r="I20" s="138" t="str">
        <f>+IF(VLOOKUP(A20,'Estado SCI'!$A$16:$G$59,7,0)="","",VLOOKUP(A20,'Estado SCI'!$A$16:$G$59,7,0))</f>
        <v>Si</v>
      </c>
      <c r="J20" s="139">
        <f t="shared" si="2"/>
        <v>1</v>
      </c>
      <c r="K20" s="140">
        <f t="shared" si="1"/>
        <v>0.95</v>
      </c>
    </row>
    <row r="21" spans="1:11" ht="15.75" customHeight="1" x14ac:dyDescent="0.25">
      <c r="A21" s="138" t="s">
        <v>148</v>
      </c>
      <c r="B21" s="138" t="s">
        <v>44</v>
      </c>
      <c r="C21" s="138" t="s">
        <v>63</v>
      </c>
      <c r="D21" s="138" t="s">
        <v>18</v>
      </c>
      <c r="E21" s="138" t="s">
        <v>57</v>
      </c>
      <c r="F21" s="138" t="str">
        <f>+VLOOKUP(A21,'Estado SCI'!$A$16:$I$59,9,0)</f>
        <v>Mantenimiento del control</v>
      </c>
      <c r="G21" s="138">
        <f>+VLOOKUP(A21,'Estado SCI'!$A$16:$L$59,12,0)</f>
        <v>40.234567891200001</v>
      </c>
      <c r="H21" s="138">
        <f t="shared" si="0"/>
        <v>21</v>
      </c>
      <c r="I21" s="138" t="str">
        <f>+IF(VLOOKUP(A21,'Estado SCI'!$A$16:$G$59,7,0)="","",VLOOKUP(A21,'Estado SCI'!$A$16:$G$59,7,0))</f>
        <v>Si</v>
      </c>
      <c r="J21" s="139">
        <f t="shared" si="2"/>
        <v>1</v>
      </c>
      <c r="K21" s="140">
        <f t="shared" si="1"/>
        <v>0.95</v>
      </c>
    </row>
    <row r="22" spans="1:11" ht="15" customHeight="1" x14ac:dyDescent="0.25">
      <c r="A22" s="138" t="s">
        <v>149</v>
      </c>
      <c r="B22" s="138" t="s">
        <v>44</v>
      </c>
      <c r="C22" s="138" t="s">
        <v>71</v>
      </c>
      <c r="D22" s="138" t="s">
        <v>20</v>
      </c>
      <c r="E22" s="138" t="s">
        <v>58</v>
      </c>
      <c r="F22" s="138" t="str">
        <f>+VLOOKUP(A22,'Estado SCI'!$A$16:$I$59,9,0)</f>
        <v>Oportunidad de mejora</v>
      </c>
      <c r="G22" s="138">
        <f>+VLOOKUP(A22,'Estado SCI'!$A$16:$L$59,12,0)</f>
        <v>30.23456789123</v>
      </c>
      <c r="H22" s="138">
        <f t="shared" si="0"/>
        <v>13</v>
      </c>
      <c r="I22" s="138" t="str">
        <f>+IF(VLOOKUP(A22,'Estado SCI'!$A$16:$G$59,7,0)="","",VLOOKUP(A22,'Estado SCI'!$A$16:$G$59,7,0))</f>
        <v>En proceso</v>
      </c>
      <c r="J22" s="139">
        <f t="shared" si="2"/>
        <v>0.5</v>
      </c>
      <c r="K22" s="140">
        <f t="shared" si="1"/>
        <v>0.95</v>
      </c>
    </row>
    <row r="23" spans="1:11" ht="15" customHeight="1" x14ac:dyDescent="0.25">
      <c r="A23" s="138" t="s">
        <v>150</v>
      </c>
      <c r="B23" s="138" t="s">
        <v>44</v>
      </c>
      <c r="C23" s="138" t="s">
        <v>71</v>
      </c>
      <c r="D23" s="138" t="s">
        <v>23</v>
      </c>
      <c r="E23" s="138" t="s">
        <v>60</v>
      </c>
      <c r="F23" s="138" t="str">
        <f>+VLOOKUP(A23,'Estado SCI'!$A$16:$I$59,9,0)</f>
        <v>Mantenimiento del control</v>
      </c>
      <c r="G23" s="138">
        <f>+VLOOKUP(A23,'Estado SCI'!$A$16:$L$59,12,0)</f>
        <v>40.234567891234001</v>
      </c>
      <c r="H23" s="138">
        <f t="shared" si="0"/>
        <v>22</v>
      </c>
      <c r="I23" s="138" t="str">
        <f>+IF(VLOOKUP(A23,'Estado SCI'!$A$16:$G$59,7,0)="","",VLOOKUP(A23,'Estado SCI'!$A$16:$G$59,7,0))</f>
        <v>Si</v>
      </c>
      <c r="J23" s="139">
        <f t="shared" si="2"/>
        <v>1</v>
      </c>
      <c r="K23" s="140">
        <f t="shared" si="1"/>
        <v>0.95</v>
      </c>
    </row>
    <row r="24" spans="1:11" ht="15" customHeight="1" x14ac:dyDescent="0.25">
      <c r="A24" s="138" t="s">
        <v>151</v>
      </c>
      <c r="B24" s="138" t="str">
        <f>+VLOOKUP(A24,'Estado SCI'!$A$16:$C$59,3,0)</f>
        <v>ACTIVIDADES DE CONTROL</v>
      </c>
      <c r="C24" s="138" t="s">
        <v>71</v>
      </c>
      <c r="D24" s="138" t="s">
        <v>18</v>
      </c>
      <c r="E24" s="138" t="s">
        <v>64</v>
      </c>
      <c r="F24" s="138" t="str">
        <f>+VLOOKUP(A24,'Estado SCI'!$A$16:$I$59,9,0)</f>
        <v>Mantenimiento del control</v>
      </c>
      <c r="G24" s="138">
        <f>+VLOOKUP(A24,'Estado SCI'!$A$16:$L$59,12,0)</f>
        <v>60.31</v>
      </c>
      <c r="H24" s="138">
        <f t="shared" si="0"/>
        <v>23</v>
      </c>
      <c r="I24" s="138" t="str">
        <f>+IF(VLOOKUP(A24,'Estado SCI'!$A$16:$G$59,7,0)="","",VLOOKUP(A24,'Estado SCI'!$A$16:$G$59,7,0))</f>
        <v>Si</v>
      </c>
      <c r="J24" s="139">
        <f t="shared" si="2"/>
        <v>1</v>
      </c>
      <c r="K24" s="140">
        <f t="shared" si="1"/>
        <v>1</v>
      </c>
    </row>
    <row r="25" spans="1:11" ht="15" customHeight="1" x14ac:dyDescent="0.25">
      <c r="A25" s="138" t="s">
        <v>152</v>
      </c>
      <c r="B25" s="138" t="s">
        <v>62</v>
      </c>
      <c r="C25" s="138" t="s">
        <v>71</v>
      </c>
      <c r="D25" s="138" t="s">
        <v>20</v>
      </c>
      <c r="E25" s="138" t="s">
        <v>65</v>
      </c>
      <c r="F25" s="138" t="str">
        <f>+VLOOKUP(A25,'Estado SCI'!$A$16:$I$59,9,0)</f>
        <v>Mantenimiento del control</v>
      </c>
      <c r="G25" s="138">
        <f>+VLOOKUP(A25,'Estado SCI'!$A$16:$L$59,12,0)</f>
        <v>60.323</v>
      </c>
      <c r="H25" s="138">
        <f t="shared" si="0"/>
        <v>24</v>
      </c>
      <c r="I25" s="138" t="str">
        <f>+IF(VLOOKUP(A25,'Estado SCI'!$A$16:$G$59,7,0)="","",VLOOKUP(A25,'Estado SCI'!$A$16:$G$59,7,0))</f>
        <v>Si</v>
      </c>
      <c r="J25" s="139">
        <f t="shared" si="2"/>
        <v>1</v>
      </c>
      <c r="K25" s="140">
        <f t="shared" si="1"/>
        <v>1</v>
      </c>
    </row>
    <row r="26" spans="1:11" ht="15" customHeight="1" x14ac:dyDescent="0.25">
      <c r="A26" s="138" t="s">
        <v>153</v>
      </c>
      <c r="B26" s="138" t="s">
        <v>62</v>
      </c>
      <c r="C26" s="138" t="s">
        <v>71</v>
      </c>
      <c r="D26" s="138" t="s">
        <v>23</v>
      </c>
      <c r="E26" s="138" t="s">
        <v>66</v>
      </c>
      <c r="F26" s="138" t="str">
        <f>+VLOOKUP(A26,'Estado SCI'!$A$16:$I$59,9,0)</f>
        <v>Mantenimiento del control</v>
      </c>
      <c r="G26" s="138">
        <f>+VLOOKUP(A26,'Estado SCI'!$A$16:$L$59,12,0)</f>
        <v>60.323999999999998</v>
      </c>
      <c r="H26" s="138">
        <f t="shared" si="0"/>
        <v>25</v>
      </c>
      <c r="I26" s="138" t="str">
        <f>+IF(VLOOKUP(A26,'Estado SCI'!$A$16:$G$59,7,0)="","",VLOOKUP(A26,'Estado SCI'!$A$16:$G$59,7,0))</f>
        <v>Si</v>
      </c>
      <c r="J26" s="139">
        <f t="shared" si="2"/>
        <v>1</v>
      </c>
      <c r="K26" s="140">
        <f t="shared" si="1"/>
        <v>1</v>
      </c>
    </row>
    <row r="27" spans="1:11" ht="15.75" customHeight="1" x14ac:dyDescent="0.25">
      <c r="A27" s="138" t="s">
        <v>154</v>
      </c>
      <c r="B27" s="138" t="s">
        <v>62</v>
      </c>
      <c r="C27" s="138" t="s">
        <v>71</v>
      </c>
      <c r="D27" s="138" t="s">
        <v>25</v>
      </c>
      <c r="E27" s="138" t="s">
        <v>67</v>
      </c>
      <c r="F27" s="138" t="str">
        <f>+VLOOKUP(A27,'Estado SCI'!$A$16:$I$59,9,0)</f>
        <v>Mantenimiento del control</v>
      </c>
      <c r="G27" s="138">
        <f>+VLOOKUP(A27,'Estado SCI'!$A$16:$L$59,12,0)</f>
        <v>60.325000000000003</v>
      </c>
      <c r="H27" s="138">
        <f t="shared" si="0"/>
        <v>26</v>
      </c>
      <c r="I27" s="138" t="str">
        <f>+IF(VLOOKUP(A27,'Estado SCI'!$A$16:$G$59,7,0)="","",VLOOKUP(A27,'Estado SCI'!$A$16:$G$59,7,0))</f>
        <v>Si</v>
      </c>
      <c r="J27" s="139">
        <f t="shared" si="2"/>
        <v>1</v>
      </c>
      <c r="K27" s="140">
        <f t="shared" si="1"/>
        <v>1</v>
      </c>
    </row>
    <row r="28" spans="1:11" ht="15" customHeight="1" x14ac:dyDescent="0.25">
      <c r="A28" s="138" t="s">
        <v>155</v>
      </c>
      <c r="B28" s="138" t="s">
        <v>62</v>
      </c>
      <c r="C28" s="138" t="s">
        <v>81</v>
      </c>
      <c r="D28" s="138" t="s">
        <v>27</v>
      </c>
      <c r="E28" s="138" t="s">
        <v>68</v>
      </c>
      <c r="F28" s="138" t="str">
        <f>+VLOOKUP(A28,'Estado SCI'!$A$16:$I$59,9,0)</f>
        <v>Mantenimiento del control</v>
      </c>
      <c r="G28" s="138">
        <f>+VLOOKUP(A28,'Estado SCI'!$A$16:$L$59,12,0)</f>
        <v>60.326000000000001</v>
      </c>
      <c r="H28" s="138">
        <f t="shared" si="0"/>
        <v>27</v>
      </c>
      <c r="I28" s="138" t="str">
        <f>+IF(VLOOKUP(A28,'Estado SCI'!$A$16:$G$59,7,0)="","",VLOOKUP(A28,'Estado SCI'!$A$16:$G$59,7,0))</f>
        <v>Si</v>
      </c>
      <c r="J28" s="139">
        <f t="shared" si="2"/>
        <v>1</v>
      </c>
      <c r="K28" s="140">
        <f t="shared" si="1"/>
        <v>1</v>
      </c>
    </row>
    <row r="29" spans="1:11" ht="15" customHeight="1" x14ac:dyDescent="0.25">
      <c r="A29" s="138" t="s">
        <v>156</v>
      </c>
      <c r="B29" s="138" t="str">
        <f>+VLOOKUP(A29,'Estado SCI'!$A$16:$C$59,3,0)</f>
        <v>INFORMACION Y COMUNICACIÓN</v>
      </c>
      <c r="C29" s="138" t="s">
        <v>81</v>
      </c>
      <c r="D29" s="138" t="s">
        <v>18</v>
      </c>
      <c r="E29" s="138" t="s">
        <v>72</v>
      </c>
      <c r="F29" s="138" t="str">
        <f>+VLOOKUP(A29,'Estado SCI'!$A$16:$I$59,9,0)</f>
        <v>Mantenimiento del control</v>
      </c>
      <c r="G29" s="138">
        <f>+VLOOKUP(A29,'Estado SCI'!$A$16:$L$59,12,0)</f>
        <v>80.412000000000006</v>
      </c>
      <c r="H29" s="138">
        <f t="shared" si="0"/>
        <v>28</v>
      </c>
      <c r="I29" s="138" t="str">
        <f>+IF(VLOOKUP(A29,'Estado SCI'!$A$16:$G$59,7,0)="","",VLOOKUP(A29,'Estado SCI'!$A$16:$G$59,7,0))</f>
        <v>Si</v>
      </c>
      <c r="J29" s="139">
        <f t="shared" si="2"/>
        <v>1</v>
      </c>
      <c r="K29" s="140">
        <f t="shared" si="1"/>
        <v>1</v>
      </c>
    </row>
    <row r="30" spans="1:11" ht="15" customHeight="1" x14ac:dyDescent="0.25">
      <c r="A30" s="138" t="s">
        <v>157</v>
      </c>
      <c r="B30" s="138" t="s">
        <v>70</v>
      </c>
      <c r="C30" s="138" t="s">
        <v>81</v>
      </c>
      <c r="D30" s="138" t="s">
        <v>20</v>
      </c>
      <c r="E30" s="138" t="s">
        <v>73</v>
      </c>
      <c r="F30" s="138" t="str">
        <f>+VLOOKUP(A30,'Estado SCI'!$A$16:$I$59,9,0)</f>
        <v>Mantenimiento del control</v>
      </c>
      <c r="G30" s="138">
        <f>+VLOOKUP(A30,'Estado SCI'!$A$16:$L$59,12,0)</f>
        <v>80.412300000000002</v>
      </c>
      <c r="H30" s="138">
        <f t="shared" si="0"/>
        <v>29</v>
      </c>
      <c r="I30" s="138" t="str">
        <f>+IF(VLOOKUP(A30,'Estado SCI'!$A$16:$G$59,7,0)="","",VLOOKUP(A30,'Estado SCI'!$A$16:$G$59,7,0))</f>
        <v>Si</v>
      </c>
      <c r="J30" s="139">
        <f t="shared" si="2"/>
        <v>1</v>
      </c>
      <c r="K30" s="140">
        <f t="shared" si="1"/>
        <v>1</v>
      </c>
    </row>
    <row r="31" spans="1:11" ht="15.75" customHeight="1" x14ac:dyDescent="0.25">
      <c r="A31" s="138" t="s">
        <v>158</v>
      </c>
      <c r="B31" s="138" t="s">
        <v>70</v>
      </c>
      <c r="C31" s="138" t="s">
        <v>81</v>
      </c>
      <c r="D31" s="138" t="s">
        <v>23</v>
      </c>
      <c r="E31" s="138" t="s">
        <v>74</v>
      </c>
      <c r="F31" s="138" t="str">
        <f>+VLOOKUP(A31,'Estado SCI'!$A$16:$I$59,9,0)</f>
        <v>Mantenimiento del control</v>
      </c>
      <c r="G31" s="138">
        <f>+VLOOKUP(A31,'Estado SCI'!$A$16:$L$59,12,0)</f>
        <v>80.41234</v>
      </c>
      <c r="H31" s="138">
        <f t="shared" si="0"/>
        <v>30</v>
      </c>
      <c r="I31" s="138" t="str">
        <f>+IF(VLOOKUP(A31,'Estado SCI'!$A$16:$G$59,7,0)="","",VLOOKUP(A31,'Estado SCI'!$A$16:$G$59,7,0))</f>
        <v>Si</v>
      </c>
      <c r="J31" s="139">
        <f t="shared" si="2"/>
        <v>1</v>
      </c>
      <c r="K31" s="140">
        <f t="shared" si="1"/>
        <v>1</v>
      </c>
    </row>
    <row r="32" spans="1:11" x14ac:dyDescent="0.25">
      <c r="A32" s="138" t="s">
        <v>159</v>
      </c>
      <c r="B32" s="138" t="s">
        <v>70</v>
      </c>
      <c r="C32" s="138" t="s">
        <v>87</v>
      </c>
      <c r="D32" s="138" t="s">
        <v>25</v>
      </c>
      <c r="E32" s="138" t="s">
        <v>75</v>
      </c>
      <c r="F32" s="138" t="str">
        <f>+VLOOKUP(A32,'Estado SCI'!$A$16:$I$59,9,0)</f>
        <v>Mantenimiento del control</v>
      </c>
      <c r="G32" s="138">
        <f>+VLOOKUP(A32,'Estado SCI'!$A$16:$L$59,12,0)</f>
        <v>80.412345000000002</v>
      </c>
      <c r="H32" s="138">
        <f t="shared" si="0"/>
        <v>31</v>
      </c>
      <c r="I32" s="138" t="str">
        <f>+IF(VLOOKUP(A32,'Estado SCI'!$A$16:$G$59,7,0)="","",VLOOKUP(A32,'Estado SCI'!$A$16:$G$59,7,0))</f>
        <v>Si</v>
      </c>
      <c r="J32" s="139">
        <f t="shared" si="2"/>
        <v>1</v>
      </c>
      <c r="K32" s="140">
        <f t="shared" si="1"/>
        <v>1</v>
      </c>
    </row>
    <row r="33" spans="1:11" x14ac:dyDescent="0.25">
      <c r="A33" s="138" t="s">
        <v>160</v>
      </c>
      <c r="B33" s="138" t="s">
        <v>70</v>
      </c>
      <c r="C33" s="138" t="s">
        <v>161</v>
      </c>
      <c r="D33" s="138" t="s">
        <v>27</v>
      </c>
      <c r="E33" s="138" t="s">
        <v>76</v>
      </c>
      <c r="F33" s="138" t="str">
        <f>+VLOOKUP(A33,'Estado SCI'!$A$16:$I$59,9,0)</f>
        <v>Mantenimiento del control</v>
      </c>
      <c r="G33" s="138">
        <f>+VLOOKUP(A33,'Estado SCI'!$A$16:$L$59,12,0)</f>
        <v>80.412345599999995</v>
      </c>
      <c r="H33" s="138">
        <f t="shared" si="0"/>
        <v>32</v>
      </c>
      <c r="I33" s="138" t="str">
        <f>+IF(VLOOKUP(A33,'Estado SCI'!$A$16:$G$59,7,0)="","",VLOOKUP(A33,'Estado SCI'!$A$16:$G$59,7,0))</f>
        <v>Si</v>
      </c>
      <c r="J33" s="139">
        <f t="shared" si="2"/>
        <v>1</v>
      </c>
      <c r="K33" s="140">
        <f t="shared" si="1"/>
        <v>1</v>
      </c>
    </row>
    <row r="34" spans="1:11" x14ac:dyDescent="0.25">
      <c r="A34" s="138" t="s">
        <v>162</v>
      </c>
      <c r="B34" s="138" t="s">
        <v>70</v>
      </c>
      <c r="C34" s="138" t="s">
        <v>161</v>
      </c>
      <c r="D34" s="138" t="s">
        <v>29</v>
      </c>
      <c r="E34" s="138" t="s">
        <v>77</v>
      </c>
      <c r="F34" s="138" t="str">
        <f>+VLOOKUP(A34,'Estado SCI'!$A$16:$I$59,9,0)</f>
        <v>Mantenimiento del control</v>
      </c>
      <c r="G34" s="138">
        <f>+VLOOKUP(A34,'Estado SCI'!$A$16:$L$59,12,0)</f>
        <v>80.412345669999993</v>
      </c>
      <c r="H34" s="138">
        <f t="shared" si="0"/>
        <v>33</v>
      </c>
      <c r="I34" s="138" t="str">
        <f>+IF(VLOOKUP(A34,'Estado SCI'!$A$16:$G$59,7,0)="","",VLOOKUP(A34,'Estado SCI'!$A$16:$G$59,7,0))</f>
        <v>Si</v>
      </c>
      <c r="J34" s="139">
        <f t="shared" si="2"/>
        <v>1</v>
      </c>
      <c r="K34" s="140">
        <f t="shared" si="1"/>
        <v>1</v>
      </c>
    </row>
    <row r="35" spans="1:11" x14ac:dyDescent="0.25">
      <c r="A35" s="138" t="s">
        <v>163</v>
      </c>
      <c r="B35" s="138" t="s">
        <v>70</v>
      </c>
      <c r="C35" s="138" t="s">
        <v>161</v>
      </c>
      <c r="D35" s="138" t="s">
        <v>31</v>
      </c>
      <c r="E35" s="138" t="s">
        <v>78</v>
      </c>
      <c r="F35" s="138" t="str">
        <f>+VLOOKUP(A35,'Estado SCI'!$A$16:$I$59,9,0)</f>
        <v>Mantenimiento del control</v>
      </c>
      <c r="G35" s="138">
        <f>+VLOOKUP(A35,'Estado SCI'!$A$16:$L$59,12,0)</f>
        <v>80.412345677999994</v>
      </c>
      <c r="H35" s="138">
        <f t="shared" si="0"/>
        <v>34</v>
      </c>
      <c r="I35" s="138" t="str">
        <f>+IF(VLOOKUP(A35,'Estado SCI'!$A$16:$G$59,7,0)="","",VLOOKUP(A35,'Estado SCI'!$A$16:$G$59,7,0))</f>
        <v>Si</v>
      </c>
      <c r="J35" s="139">
        <f t="shared" si="2"/>
        <v>1</v>
      </c>
      <c r="K35" s="140">
        <f t="shared" si="1"/>
        <v>1</v>
      </c>
    </row>
    <row r="36" spans="1:11" x14ac:dyDescent="0.25">
      <c r="A36" s="138" t="s">
        <v>164</v>
      </c>
      <c r="B36" s="138" t="str">
        <f>+VLOOKUP(A36,'Estado SCI'!$A$16:$C$59,3,0)</f>
        <v>ACTIVIDADES DE MONITOREO</v>
      </c>
      <c r="C36" s="138" t="s">
        <v>161</v>
      </c>
      <c r="D36" s="138" t="s">
        <v>18</v>
      </c>
      <c r="E36" s="138" t="s">
        <v>82</v>
      </c>
      <c r="F36" s="138" t="str">
        <f>+VLOOKUP(A36,'Estado SCI'!$A$16:$I$59,9,0)</f>
        <v>Mantenimiento del control</v>
      </c>
      <c r="G36" s="138">
        <f>+VLOOKUP(A36,'Estado SCI'!$A$16:$L$59,12,0)</f>
        <v>120.851</v>
      </c>
      <c r="H36" s="138">
        <f t="shared" si="0"/>
        <v>38</v>
      </c>
      <c r="I36" s="138" t="str">
        <f>+IF(VLOOKUP(A36,'Estado SCI'!$A$16:$G$59,7,0)="","",VLOOKUP(A36,'Estado SCI'!$A$16:$G$59,7,0))</f>
        <v>Si</v>
      </c>
      <c r="J36" s="139">
        <f t="shared" si="2"/>
        <v>1</v>
      </c>
      <c r="K36" s="140">
        <f t="shared" si="1"/>
        <v>0.85</v>
      </c>
    </row>
    <row r="37" spans="1:11" x14ac:dyDescent="0.25">
      <c r="A37" s="138" t="s">
        <v>165</v>
      </c>
      <c r="B37" s="138" t="s">
        <v>80</v>
      </c>
      <c r="C37" s="138" t="s">
        <v>161</v>
      </c>
      <c r="D37" s="138" t="s">
        <v>25</v>
      </c>
      <c r="E37" s="138" t="s">
        <v>83</v>
      </c>
      <c r="F37" s="138" t="str">
        <f>+VLOOKUP(A37,'Estado SCI'!$A$16:$I$59,9,0)</f>
        <v>Mantenimiento del control</v>
      </c>
      <c r="G37" s="138">
        <f>+VLOOKUP(A37,'Estado SCI'!$A$16:$L$59,12,0)</f>
        <v>120.85120000000001</v>
      </c>
      <c r="H37" s="138">
        <f t="shared" si="0"/>
        <v>39</v>
      </c>
      <c r="I37" s="138" t="str">
        <f>+IF(VLOOKUP(A37,'Estado SCI'!$A$16:$G$59,7,0)="","",VLOOKUP(A37,'Estado SCI'!$A$16:$G$59,7,0))</f>
        <v>Si</v>
      </c>
      <c r="J37" s="139">
        <f t="shared" si="2"/>
        <v>1</v>
      </c>
      <c r="K37" s="140">
        <f t="shared" si="1"/>
        <v>0.85</v>
      </c>
    </row>
    <row r="38" spans="1:11" x14ac:dyDescent="0.25">
      <c r="A38" s="138" t="s">
        <v>166</v>
      </c>
      <c r="B38" s="138" t="s">
        <v>80</v>
      </c>
      <c r="C38" s="138" t="s">
        <v>51</v>
      </c>
      <c r="D38" s="138" t="s">
        <v>29</v>
      </c>
      <c r="E38" s="138" t="s">
        <v>84</v>
      </c>
      <c r="F38" s="138" t="str">
        <f>+VLOOKUP(A38,'Estado SCI'!$A$16:$I$59,9,0)</f>
        <v>Mantenimiento del control</v>
      </c>
      <c r="G38" s="138">
        <f>+VLOOKUP(A38,'Estado SCI'!$A$16:$L$59,12,0)</f>
        <v>120.85123</v>
      </c>
      <c r="H38" s="138">
        <f t="shared" si="0"/>
        <v>40</v>
      </c>
      <c r="I38" s="138" t="str">
        <f>+IF(VLOOKUP(A38,'Estado SCI'!$A$16:$G$59,7,0)="","",VLOOKUP(A38,'Estado SCI'!$A$16:$G$59,7,0))</f>
        <v>Si</v>
      </c>
      <c r="J38" s="139">
        <f t="shared" si="2"/>
        <v>1</v>
      </c>
      <c r="K38" s="140">
        <f t="shared" si="1"/>
        <v>0.85</v>
      </c>
    </row>
    <row r="39" spans="1:11" x14ac:dyDescent="0.25">
      <c r="A39" s="138" t="s">
        <v>167</v>
      </c>
      <c r="B39" s="138" t="s">
        <v>80</v>
      </c>
      <c r="C39" s="138" t="s">
        <v>51</v>
      </c>
      <c r="D39" s="138" t="s">
        <v>31</v>
      </c>
      <c r="E39" s="138" t="s">
        <v>85</v>
      </c>
      <c r="F39" s="138" t="str">
        <f>+VLOOKUP(A39,'Estado SCI'!$A$16:$I$59,9,0)</f>
        <v>Mantenimiento del control</v>
      </c>
      <c r="G39" s="138">
        <f>+VLOOKUP(A39,'Estado SCI'!$A$16:$L$59,12,0)</f>
        <v>120.85123400000001</v>
      </c>
      <c r="H39" s="138">
        <f t="shared" si="0"/>
        <v>41</v>
      </c>
      <c r="I39" s="138" t="str">
        <f>+IF(VLOOKUP(A39,'Estado SCI'!$A$16:$G$59,7,0)="","",VLOOKUP(A39,'Estado SCI'!$A$16:$G$59,7,0))</f>
        <v>Si</v>
      </c>
      <c r="J39" s="139">
        <f t="shared" si="2"/>
        <v>1</v>
      </c>
      <c r="K39" s="140">
        <f t="shared" si="1"/>
        <v>0.85</v>
      </c>
    </row>
    <row r="40" spans="1:11" x14ac:dyDescent="0.25">
      <c r="A40" s="138" t="s">
        <v>168</v>
      </c>
      <c r="B40" s="138" t="s">
        <v>80</v>
      </c>
      <c r="C40" s="138" t="s">
        <v>51</v>
      </c>
      <c r="D40" s="138" t="s">
        <v>33</v>
      </c>
      <c r="E40" s="138" t="s">
        <v>88</v>
      </c>
      <c r="F40" s="138" t="str">
        <f>+VLOOKUP(A40,'Estado SCI'!$A$16:$I$59,9,0)</f>
        <v>Mantenimiento del control</v>
      </c>
      <c r="G40" s="138">
        <f>+VLOOKUP(A40,'Estado SCI'!$A$16:$L$59,12,0)</f>
        <v>120.8512345</v>
      </c>
      <c r="H40" s="138">
        <f t="shared" si="0"/>
        <v>42</v>
      </c>
      <c r="I40" s="138" t="str">
        <f>+IF(VLOOKUP(A40,'Estado SCI'!$A$16:$G$59,7,0)="","",VLOOKUP(A40,'Estado SCI'!$A$16:$G$59,7,0))</f>
        <v>Si</v>
      </c>
      <c r="J40" s="139">
        <f t="shared" si="2"/>
        <v>1</v>
      </c>
      <c r="K40" s="140">
        <f t="shared" si="1"/>
        <v>0.85</v>
      </c>
    </row>
    <row r="41" spans="1:11" x14ac:dyDescent="0.25">
      <c r="A41" s="138" t="s">
        <v>169</v>
      </c>
      <c r="B41" s="138" t="s">
        <v>80</v>
      </c>
      <c r="C41" s="138" t="s">
        <v>51</v>
      </c>
      <c r="D41" s="138" t="s">
        <v>18</v>
      </c>
      <c r="E41" s="138" t="s">
        <v>91</v>
      </c>
      <c r="F41" s="138" t="str">
        <f>+VLOOKUP(A41,'Estado SCI'!$A$16:$I$59,9,0)</f>
        <v>Mantenimiento del control</v>
      </c>
      <c r="G41" s="138">
        <f>+VLOOKUP(A41,'Estado SCI'!$A$16:$L$59,12,0)</f>
        <v>120.85123455999999</v>
      </c>
      <c r="H41" s="138">
        <f t="shared" si="0"/>
        <v>43</v>
      </c>
      <c r="I41" s="138" t="str">
        <f>+IF(VLOOKUP(A41,'Estado SCI'!$A$16:$G$59,7,0)="","",VLOOKUP(A41,'Estado SCI'!$A$16:$G$59,7,0))</f>
        <v>Si</v>
      </c>
      <c r="J41" s="139">
        <f t="shared" si="2"/>
        <v>1</v>
      </c>
      <c r="K41" s="140">
        <f t="shared" si="1"/>
        <v>0.85</v>
      </c>
    </row>
    <row r="42" spans="1:11" x14ac:dyDescent="0.25">
      <c r="A42" s="138" t="s">
        <v>170</v>
      </c>
      <c r="B42" s="138" t="s">
        <v>80</v>
      </c>
      <c r="C42" s="138" t="s">
        <v>56</v>
      </c>
      <c r="D42" s="138" t="s">
        <v>20</v>
      </c>
      <c r="E42" s="138" t="s">
        <v>92</v>
      </c>
      <c r="F42" s="138" t="str">
        <f>+VLOOKUP(A42,'Estado SCI'!$A$16:$I$59,9,0)</f>
        <v>Mantenimiento del control</v>
      </c>
      <c r="G42" s="138">
        <f>+VLOOKUP(A42,'Estado SCI'!$A$16:$L$59,12,0)</f>
        <v>120.85123456700001</v>
      </c>
      <c r="H42" s="138">
        <f t="shared" si="0"/>
        <v>44</v>
      </c>
      <c r="I42" s="138" t="str">
        <f>+IF(VLOOKUP(A42,'Estado SCI'!$A$16:$G$59,7,0)="","",VLOOKUP(A42,'Estado SCI'!$A$16:$G$59,7,0))</f>
        <v>Si</v>
      </c>
      <c r="J42" s="139">
        <f t="shared" si="2"/>
        <v>1</v>
      </c>
      <c r="K42" s="140">
        <f t="shared" si="1"/>
        <v>0.85</v>
      </c>
    </row>
    <row r="43" spans="1:11" x14ac:dyDescent="0.25">
      <c r="A43" s="138" t="s">
        <v>171</v>
      </c>
      <c r="B43" s="138" t="s">
        <v>80</v>
      </c>
      <c r="C43" s="138" t="s">
        <v>56</v>
      </c>
      <c r="D43" s="138" t="s">
        <v>23</v>
      </c>
      <c r="E43" s="138" t="s">
        <v>93</v>
      </c>
      <c r="F43" s="138" t="str">
        <f>+VLOOKUP(A43,'Estado SCI'!$A$16:$I$59,9,0)</f>
        <v>Oportunidad de mejora</v>
      </c>
      <c r="G43" s="138">
        <f>+VLOOKUP(A43,'Estado SCI'!$A$16:$L$59,12,0)</f>
        <v>100.85123456780001</v>
      </c>
      <c r="H43" s="138">
        <f t="shared" si="0"/>
        <v>35</v>
      </c>
      <c r="I43" s="138" t="str">
        <f>+IF(VLOOKUP(A43,'Estado SCI'!$A$16:$G$59,7,0)="","",VLOOKUP(A43,'Estado SCI'!$A$16:$G$59,7,0))</f>
        <v>En proceso</v>
      </c>
      <c r="J43" s="139">
        <f t="shared" si="2"/>
        <v>0.5</v>
      </c>
      <c r="K43" s="140">
        <f t="shared" si="1"/>
        <v>0.85</v>
      </c>
    </row>
    <row r="44" spans="1:11" x14ac:dyDescent="0.25">
      <c r="A44" s="138" t="s">
        <v>172</v>
      </c>
      <c r="B44" s="138" t="s">
        <v>80</v>
      </c>
      <c r="C44" s="138" t="s">
        <v>56</v>
      </c>
      <c r="D44" s="138" t="s">
        <v>25</v>
      </c>
      <c r="E44" s="138" t="s">
        <v>94</v>
      </c>
      <c r="F44" s="138" t="str">
        <f>+VLOOKUP(A44,'Estado SCI'!$A$16:$I$59,9,0)</f>
        <v>Oportunidad de mejora</v>
      </c>
      <c r="G44" s="138">
        <f>+VLOOKUP(A44,'Estado SCI'!$A$16:$L$59,12,0)</f>
        <v>100.85123456789</v>
      </c>
      <c r="H44" s="138">
        <f t="shared" si="0"/>
        <v>36</v>
      </c>
      <c r="I44" s="138" t="str">
        <f>+IF(VLOOKUP(A44,'Estado SCI'!$A$16:$G$59,7,0)="","",VLOOKUP(A44,'Estado SCI'!$A$16:$G$59,7,0))</f>
        <v>En proceso</v>
      </c>
      <c r="J44" s="139">
        <f t="shared" si="2"/>
        <v>0.5</v>
      </c>
      <c r="K44" s="140">
        <f t="shared" si="1"/>
        <v>0.85</v>
      </c>
    </row>
    <row r="45" spans="1:11" x14ac:dyDescent="0.25">
      <c r="A45" s="138" t="s">
        <v>173</v>
      </c>
      <c r="B45" s="138" t="s">
        <v>80</v>
      </c>
      <c r="C45" s="138" t="s">
        <v>56</v>
      </c>
      <c r="D45" s="138" t="s">
        <v>27</v>
      </c>
      <c r="E45" s="138" t="s">
        <v>95</v>
      </c>
      <c r="F45" s="138" t="str">
        <f>+VLOOKUP(A45,'Estado SCI'!$A$16:$I$59,9,0)</f>
        <v>Oportunidad de mejora</v>
      </c>
      <c r="G45" s="138">
        <f>+VLOOKUP(A45,'Estado SCI'!$A$16:$L$59,12,0)</f>
        <v>100.851234567891</v>
      </c>
      <c r="H45" s="138">
        <f t="shared" si="0"/>
        <v>37</v>
      </c>
      <c r="I45" s="138" t="str">
        <f>+IF(VLOOKUP(A45,'Estado SCI'!$A$16:$G$59,7,0)="","",VLOOKUP(A45,'Estado SCI'!$A$16:$G$59,7,0))</f>
        <v>En proceso</v>
      </c>
      <c r="J45" s="139">
        <f t="shared" si="2"/>
        <v>0.5</v>
      </c>
      <c r="K45" s="140">
        <f t="shared" si="1"/>
        <v>0.85</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Estado SCI</vt:lpstr>
      <vt:lpstr>Análisis Resultados</vt:lpstr>
      <vt:lpstr>Conclusión</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Admin</cp:lastModifiedBy>
  <cp:revision/>
  <cp:lastPrinted>2021-03-10T16:32:59Z</cp:lastPrinted>
  <dcterms:created xsi:type="dcterms:W3CDTF">2020-04-28T13:58:09Z</dcterms:created>
  <dcterms:modified xsi:type="dcterms:W3CDTF">2022-11-10T20:32:39Z</dcterms:modified>
  <cp:category/>
  <cp:contentStatus/>
</cp:coreProperties>
</file>