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1\"/>
    </mc:Choice>
  </mc:AlternateContent>
  <xr:revisionPtr revIDLastSave="0" documentId="13_ncr:1_{A270F0D2-A6B1-4041-9095-1EEBC96A56D4}" xr6:coauthVersionLast="47" xr6:coauthVersionMax="47" xr10:uidLastSave="{00000000-0000-0000-0000-000000000000}"/>
  <bookViews>
    <workbookView xWindow="-120" yWindow="-120" windowWidth="20730" windowHeight="11040" xr2:uid="{00000000-000D-0000-FFFF-FFFF00000000}"/>
  </bookViews>
  <sheets>
    <sheet name="POAI -MARZO-2021" sheetId="1" r:id="rId1"/>
    <sheet name="RESUMEN POR UNIDAD" sheetId="5" r:id="rId2"/>
  </sheets>
  <definedNames>
    <definedName name="_xlnm._FilterDatabase" localSheetId="0" hidden="1">'POAI -MARZO-2021'!$A$18:$BY$18</definedName>
    <definedName name="_xlnm._FilterDatabase" localSheetId="1" hidden="1">'RESUMEN POR UNIDAD'!$F$1:$F$186</definedName>
  </definedNames>
  <calcPr calcId="191029"/>
</workbook>
</file>

<file path=xl/calcChain.xml><?xml version="1.0" encoding="utf-8"?>
<calcChain xmlns="http://schemas.openxmlformats.org/spreadsheetml/2006/main">
  <c r="AD241" i="1" l="1"/>
  <c r="AB236" i="1"/>
  <c r="AB261" i="1"/>
  <c r="AI251" i="1" l="1"/>
  <c r="AI248" i="1"/>
  <c r="AF423" i="1"/>
  <c r="AF422" i="1"/>
  <c r="V140" i="1" l="1"/>
  <c r="AF140" i="1"/>
  <c r="AF139" i="1" l="1"/>
  <c r="V139" i="1"/>
  <c r="Z346" i="1" l="1"/>
  <c r="V141" i="1"/>
  <c r="Z387" i="1"/>
  <c r="AF135" i="1"/>
  <c r="V135" i="1"/>
  <c r="AF134" i="1"/>
  <c r="AF137" i="1"/>
  <c r="AF261" i="1"/>
  <c r="AF258" i="1"/>
  <c r="AI252" i="1"/>
  <c r="AG157" i="1"/>
  <c r="AG447" i="1"/>
  <c r="AG444" i="1"/>
  <c r="AG443" i="1"/>
  <c r="AG442" i="1"/>
  <c r="AF386" i="1"/>
  <c r="AF382" i="1"/>
  <c r="AF346" i="1"/>
  <c r="AB263" i="1"/>
  <c r="Y261" i="1"/>
  <c r="AB250" i="1"/>
  <c r="AB239" i="1"/>
  <c r="AF156" i="1"/>
  <c r="W110" i="1"/>
  <c r="AF69" i="1"/>
  <c r="AF47" i="1"/>
  <c r="AF41" i="1"/>
  <c r="AF40" i="1"/>
  <c r="C8" i="5" l="1"/>
  <c r="AA356" i="1" l="1"/>
  <c r="AA355" i="1"/>
  <c r="AA354" i="1"/>
  <c r="AA390" i="1" l="1"/>
  <c r="Y392" i="1" l="1"/>
  <c r="Y385" i="1" l="1"/>
  <c r="Y372" i="1"/>
  <c r="Y346" i="1"/>
  <c r="AF31" i="1" l="1"/>
  <c r="AF32" i="1"/>
  <c r="E54" i="5" l="1"/>
  <c r="D54" i="5"/>
  <c r="E182" i="5"/>
  <c r="D182" i="5"/>
  <c r="D181" i="5"/>
  <c r="C181" i="5"/>
  <c r="C180" i="5"/>
  <c r="B180" i="5"/>
  <c r="E177" i="5"/>
  <c r="D177" i="5"/>
  <c r="D176" i="5"/>
  <c r="C176" i="5"/>
  <c r="E175" i="5"/>
  <c r="D175" i="5"/>
  <c r="D174" i="5"/>
  <c r="C174" i="5"/>
  <c r="C173" i="5"/>
  <c r="B173" i="5"/>
  <c r="E172" i="5"/>
  <c r="D172" i="5"/>
  <c r="D171" i="5"/>
  <c r="C171" i="5"/>
  <c r="E170" i="5"/>
  <c r="D170" i="5"/>
  <c r="D169" i="5"/>
  <c r="C169" i="5"/>
  <c r="C168" i="5"/>
  <c r="B168" i="5" l="1"/>
  <c r="E165" i="5"/>
  <c r="D165" i="5"/>
  <c r="E164" i="5"/>
  <c r="D164" i="5"/>
  <c r="D163" i="5"/>
  <c r="C163" i="5"/>
  <c r="C162" i="5"/>
  <c r="B162" i="5"/>
  <c r="E157" i="5"/>
  <c r="D157" i="5"/>
  <c r="D156" i="5"/>
  <c r="C156" i="5"/>
  <c r="C155" i="5"/>
  <c r="B155" i="5"/>
  <c r="E154" i="5"/>
  <c r="E153" i="5"/>
  <c r="D154" i="5"/>
  <c r="D153" i="5"/>
  <c r="D152" i="5"/>
  <c r="C152" i="5"/>
  <c r="C151" i="5"/>
  <c r="B151" i="5"/>
  <c r="E150" i="5"/>
  <c r="E149" i="5"/>
  <c r="D150" i="5"/>
  <c r="D149" i="5"/>
  <c r="D148" i="5"/>
  <c r="C148" i="5"/>
  <c r="C147" i="5"/>
  <c r="B147" i="5"/>
  <c r="E144" i="5"/>
  <c r="E143" i="5"/>
  <c r="E142" i="5"/>
  <c r="D144" i="5"/>
  <c r="D143" i="5"/>
  <c r="D142" i="5"/>
  <c r="D141" i="5"/>
  <c r="C141" i="5"/>
  <c r="C140" i="5"/>
  <c r="B140" i="5"/>
  <c r="E137" i="5"/>
  <c r="E136" i="5"/>
  <c r="D137" i="5"/>
  <c r="D136" i="5"/>
  <c r="D135" i="5"/>
  <c r="C135" i="5"/>
  <c r="C134" i="5"/>
  <c r="B134" i="5"/>
  <c r="E133" i="5"/>
  <c r="D133" i="5"/>
  <c r="D132" i="5"/>
  <c r="C132" i="5"/>
  <c r="E131" i="5"/>
  <c r="D131" i="5"/>
  <c r="D130" i="5"/>
  <c r="C130" i="5"/>
  <c r="C129" i="5"/>
  <c r="B129" i="5"/>
  <c r="E128" i="5"/>
  <c r="E127" i="5"/>
  <c r="E126" i="5"/>
  <c r="D128" i="5"/>
  <c r="D127" i="5"/>
  <c r="D126" i="5"/>
  <c r="D125" i="5"/>
  <c r="C125" i="5"/>
  <c r="E124" i="5"/>
  <c r="D124" i="5"/>
  <c r="D123" i="5"/>
  <c r="C123" i="5"/>
  <c r="E122" i="5"/>
  <c r="D122" i="5"/>
  <c r="D121" i="5"/>
  <c r="C121" i="5"/>
  <c r="C120" i="5"/>
  <c r="B120" i="5"/>
  <c r="E117" i="5"/>
  <c r="D117" i="5"/>
  <c r="D116" i="5"/>
  <c r="C116" i="5"/>
  <c r="C115" i="5"/>
  <c r="B115" i="5"/>
  <c r="E114" i="5"/>
  <c r="E113" i="5"/>
  <c r="D114" i="5"/>
  <c r="D113" i="5"/>
  <c r="D112" i="5"/>
  <c r="C112" i="5"/>
  <c r="C111" i="5"/>
  <c r="B111" i="5"/>
  <c r="E108" i="5"/>
  <c r="E107" i="5"/>
  <c r="D108" i="5"/>
  <c r="D107" i="5"/>
  <c r="D106" i="5"/>
  <c r="C106" i="5"/>
  <c r="C105" i="5"/>
  <c r="B105" i="5"/>
  <c r="E102" i="5"/>
  <c r="E101" i="5"/>
  <c r="E100" i="5"/>
  <c r="E99" i="5"/>
  <c r="E98" i="5"/>
  <c r="D102" i="5"/>
  <c r="D101" i="5"/>
  <c r="D100" i="5"/>
  <c r="D99" i="5"/>
  <c r="D98" i="5"/>
  <c r="D97" i="5"/>
  <c r="C97" i="5"/>
  <c r="C96" i="5"/>
  <c r="B96" i="5"/>
  <c r="E95" i="5"/>
  <c r="D95" i="5"/>
  <c r="D94" i="5"/>
  <c r="C94" i="5"/>
  <c r="E93" i="5"/>
  <c r="E92" i="5"/>
  <c r="E91" i="5"/>
  <c r="E90" i="5"/>
  <c r="E89" i="5"/>
  <c r="E88" i="5"/>
  <c r="E87" i="5"/>
  <c r="D93" i="5"/>
  <c r="D92" i="5"/>
  <c r="D91" i="5"/>
  <c r="D90" i="5"/>
  <c r="D89" i="5"/>
  <c r="D88" i="5"/>
  <c r="D87" i="5"/>
  <c r="D86" i="5"/>
  <c r="C85" i="5"/>
  <c r="B85" i="5"/>
  <c r="E82" i="5"/>
  <c r="D82" i="5"/>
  <c r="D81" i="5"/>
  <c r="C81" i="5"/>
  <c r="E80" i="5"/>
  <c r="D80" i="5"/>
  <c r="D79" i="5"/>
  <c r="C79" i="5"/>
  <c r="C78" i="5"/>
  <c r="B78" i="5"/>
  <c r="D75" i="5"/>
  <c r="E75" i="5"/>
  <c r="E74" i="5"/>
  <c r="D74" i="5"/>
  <c r="D73" i="5"/>
  <c r="C73" i="5"/>
  <c r="C72" i="5"/>
  <c r="B72" i="5"/>
  <c r="E69" i="5"/>
  <c r="D69" i="5"/>
  <c r="D68" i="5"/>
  <c r="C68" i="5"/>
  <c r="C67" i="5"/>
  <c r="B67" i="5"/>
  <c r="E66" i="5"/>
  <c r="D66" i="5"/>
  <c r="D65" i="5"/>
  <c r="C65" i="5"/>
  <c r="E64" i="5"/>
  <c r="D64" i="5"/>
  <c r="D63" i="5"/>
  <c r="C63" i="5"/>
  <c r="C62" i="5"/>
  <c r="B62" i="5"/>
  <c r="E61" i="5"/>
  <c r="D61" i="5"/>
  <c r="D60" i="5"/>
  <c r="C60" i="5"/>
  <c r="E59" i="5"/>
  <c r="D59" i="5"/>
  <c r="E58" i="5"/>
  <c r="D58" i="5"/>
  <c r="D57" i="5"/>
  <c r="C57" i="5"/>
  <c r="E56" i="5"/>
  <c r="D56" i="5"/>
  <c r="D55" i="5"/>
  <c r="C55" i="5"/>
  <c r="E53" i="5"/>
  <c r="E52" i="5"/>
  <c r="D53" i="5"/>
  <c r="D52" i="5"/>
  <c r="D51" i="5"/>
  <c r="C51" i="5"/>
  <c r="C50" i="5"/>
  <c r="B50" i="5"/>
  <c r="E47" i="5"/>
  <c r="D47" i="5"/>
  <c r="E46" i="5"/>
  <c r="D46" i="5"/>
  <c r="D45" i="5"/>
  <c r="C45" i="5"/>
  <c r="C44" i="5"/>
  <c r="B44" i="5"/>
  <c r="E43" i="5"/>
  <c r="D43" i="5"/>
  <c r="E42" i="5"/>
  <c r="D42" i="5"/>
  <c r="D41" i="5"/>
  <c r="C41" i="5"/>
  <c r="E40" i="5"/>
  <c r="D40" i="5"/>
  <c r="D39" i="5"/>
  <c r="C39" i="5"/>
  <c r="E38" i="5"/>
  <c r="D38" i="5"/>
  <c r="D37" i="5"/>
  <c r="C37" i="5"/>
  <c r="C36" i="5"/>
  <c r="B36" i="5"/>
  <c r="E35" i="5"/>
  <c r="D35" i="5"/>
  <c r="D34" i="5"/>
  <c r="C34" i="5"/>
  <c r="E33" i="5"/>
  <c r="D33" i="5"/>
  <c r="D32" i="5"/>
  <c r="C32" i="5"/>
  <c r="E31" i="5"/>
  <c r="D31" i="5"/>
  <c r="D30" i="5"/>
  <c r="C30" i="5"/>
  <c r="E29" i="5"/>
  <c r="D29" i="5"/>
  <c r="D28" i="5"/>
  <c r="C28" i="5"/>
  <c r="E27" i="5"/>
  <c r="D27" i="5"/>
  <c r="D26" i="5"/>
  <c r="C26" i="5"/>
  <c r="C25" i="5"/>
  <c r="B25" i="5"/>
  <c r="E22" i="5"/>
  <c r="D22" i="5"/>
  <c r="D21" i="5"/>
  <c r="C21" i="5"/>
  <c r="C20" i="5"/>
  <c r="B20" i="5"/>
  <c r="E17" i="5"/>
  <c r="D17" i="5"/>
  <c r="E16" i="5"/>
  <c r="D16" i="5"/>
  <c r="D15" i="5"/>
  <c r="C15" i="5"/>
  <c r="C14" i="5"/>
  <c r="B14" i="5"/>
  <c r="D11" i="5"/>
  <c r="E10" i="5"/>
  <c r="D10" i="5"/>
  <c r="E11" i="5"/>
  <c r="D9" i="5"/>
  <c r="C9" i="5"/>
  <c r="B8" i="5"/>
  <c r="AI137" i="1" l="1"/>
  <c r="AF323" i="1" l="1"/>
  <c r="AF329" i="1" l="1"/>
  <c r="AI329" i="1" l="1"/>
  <c r="AI324" i="1"/>
  <c r="AI323" i="1"/>
  <c r="AI292" i="1"/>
  <c r="AF280" i="1" l="1"/>
  <c r="AG327" i="1" l="1"/>
  <c r="Z327" i="1"/>
  <c r="AA327" i="1"/>
  <c r="AB327" i="1"/>
  <c r="AC327" i="1"/>
  <c r="AD327" i="1"/>
  <c r="AE327" i="1"/>
  <c r="AH327" i="1"/>
  <c r="AJ327" i="1"/>
  <c r="Y327" i="1"/>
  <c r="AF307" i="1"/>
  <c r="AI330" i="1"/>
  <c r="AF327" i="1" l="1"/>
  <c r="AI328" i="1" l="1"/>
  <c r="AK327" i="1"/>
  <c r="X327" i="1"/>
  <c r="W327" i="1"/>
  <c r="V327" i="1"/>
  <c r="AI291" i="1"/>
  <c r="AI327" i="1" l="1"/>
  <c r="AB245" i="1"/>
  <c r="AI236" i="1"/>
  <c r="AF237" i="1"/>
  <c r="AI237" i="1" s="1"/>
  <c r="F137" i="5" l="1"/>
  <c r="AF271" i="1"/>
  <c r="AJ278" i="1" l="1"/>
  <c r="AK278" i="1"/>
  <c r="AG321" i="1"/>
  <c r="AH321" i="1"/>
  <c r="AJ321" i="1"/>
  <c r="AK321" i="1"/>
  <c r="AF321" i="1"/>
  <c r="AI326" i="1"/>
  <c r="AI325" i="1"/>
  <c r="AG123" i="1"/>
  <c r="AH123" i="1"/>
  <c r="AJ123" i="1"/>
  <c r="AK123" i="1"/>
  <c r="AF123" i="1"/>
  <c r="AI124" i="1"/>
  <c r="AI238" i="1" l="1"/>
  <c r="AI239" i="1"/>
  <c r="AI240" i="1"/>
  <c r="AI249" i="1"/>
  <c r="AI250" i="1"/>
  <c r="AF153" i="1" l="1"/>
  <c r="AH475" i="1" l="1"/>
  <c r="AH474" i="1" s="1"/>
  <c r="AH473" i="1" s="1"/>
  <c r="AH472" i="1" s="1"/>
  <c r="AG475" i="1"/>
  <c r="AG474" i="1" s="1"/>
  <c r="AG473" i="1" s="1"/>
  <c r="AG472" i="1" s="1"/>
  <c r="AF475" i="1"/>
  <c r="AF474" i="1" s="1"/>
  <c r="AF473" i="1" s="1"/>
  <c r="AF472" i="1" s="1"/>
  <c r="AE475" i="1"/>
  <c r="AE474" i="1" s="1"/>
  <c r="AE473" i="1" s="1"/>
  <c r="AE472" i="1" s="1"/>
  <c r="AD475" i="1"/>
  <c r="AD474" i="1" s="1"/>
  <c r="AD473" i="1" s="1"/>
  <c r="AD472" i="1" s="1"/>
  <c r="AC475" i="1"/>
  <c r="AC474" i="1" s="1"/>
  <c r="AC473" i="1" s="1"/>
  <c r="AC472" i="1" s="1"/>
  <c r="AB475" i="1"/>
  <c r="AB474" i="1" s="1"/>
  <c r="AB473" i="1" s="1"/>
  <c r="AB472" i="1" s="1"/>
  <c r="AA475" i="1"/>
  <c r="AA474" i="1" s="1"/>
  <c r="AA473" i="1" s="1"/>
  <c r="AA472" i="1" s="1"/>
  <c r="Z475" i="1"/>
  <c r="Z474" i="1" s="1"/>
  <c r="Z473" i="1" s="1"/>
  <c r="Z472" i="1" s="1"/>
  <c r="Y475" i="1"/>
  <c r="Y474" i="1" s="1"/>
  <c r="Y473" i="1" s="1"/>
  <c r="Y472" i="1" s="1"/>
  <c r="X475" i="1"/>
  <c r="X474" i="1" s="1"/>
  <c r="X473" i="1" s="1"/>
  <c r="X472" i="1" s="1"/>
  <c r="W475" i="1"/>
  <c r="W474" i="1" s="1"/>
  <c r="W473" i="1" s="1"/>
  <c r="W472" i="1" s="1"/>
  <c r="V475" i="1"/>
  <c r="V474" i="1" s="1"/>
  <c r="V473" i="1" s="1"/>
  <c r="V472" i="1" s="1"/>
  <c r="W463" i="1"/>
  <c r="W462" i="1" s="1"/>
  <c r="X463" i="1"/>
  <c r="X462" i="1" s="1"/>
  <c r="Y463" i="1"/>
  <c r="Y462" i="1" s="1"/>
  <c r="Z463" i="1"/>
  <c r="Z462" i="1" s="1"/>
  <c r="AA463" i="1"/>
  <c r="AA462" i="1" s="1"/>
  <c r="AB463" i="1"/>
  <c r="AB462" i="1" s="1"/>
  <c r="AC463" i="1"/>
  <c r="AC462" i="1" s="1"/>
  <c r="AD463" i="1"/>
  <c r="AD462" i="1" s="1"/>
  <c r="AE463" i="1"/>
  <c r="AE462" i="1" s="1"/>
  <c r="AF463" i="1"/>
  <c r="AF462" i="1" s="1"/>
  <c r="AG463" i="1"/>
  <c r="AG462" i="1" s="1"/>
  <c r="AH463" i="1"/>
  <c r="AH462" i="1" s="1"/>
  <c r="W460" i="1"/>
  <c r="W459" i="1" s="1"/>
  <c r="X460" i="1"/>
  <c r="X459" i="1" s="1"/>
  <c r="Y460" i="1"/>
  <c r="Y459" i="1" s="1"/>
  <c r="Z460" i="1"/>
  <c r="Z459" i="1" s="1"/>
  <c r="AA460" i="1"/>
  <c r="AA459" i="1" s="1"/>
  <c r="AB460" i="1"/>
  <c r="AB459" i="1" s="1"/>
  <c r="AC460" i="1"/>
  <c r="AC459" i="1" s="1"/>
  <c r="AD460" i="1"/>
  <c r="AD459" i="1" s="1"/>
  <c r="AE460" i="1"/>
  <c r="AE459" i="1" s="1"/>
  <c r="AF460" i="1"/>
  <c r="AF459" i="1" s="1"/>
  <c r="AG460" i="1"/>
  <c r="AG459" i="1" s="1"/>
  <c r="AH460" i="1"/>
  <c r="AH459" i="1" s="1"/>
  <c r="V463" i="1"/>
  <c r="V462" i="1" s="1"/>
  <c r="W456" i="1"/>
  <c r="W455" i="1" s="1"/>
  <c r="X456" i="1"/>
  <c r="X455" i="1" s="1"/>
  <c r="Y456" i="1"/>
  <c r="Y455" i="1" s="1"/>
  <c r="Z456" i="1"/>
  <c r="Z455" i="1" s="1"/>
  <c r="AA456" i="1"/>
  <c r="AA455" i="1" s="1"/>
  <c r="AB456" i="1"/>
  <c r="AB455" i="1" s="1"/>
  <c r="AC456" i="1"/>
  <c r="AC455" i="1" s="1"/>
  <c r="AD456" i="1"/>
  <c r="AD455" i="1" s="1"/>
  <c r="AE456" i="1"/>
  <c r="AE455" i="1" s="1"/>
  <c r="AF456" i="1"/>
  <c r="AF455" i="1" s="1"/>
  <c r="AG456" i="1"/>
  <c r="AG455" i="1" s="1"/>
  <c r="AH456" i="1"/>
  <c r="AH455" i="1" s="1"/>
  <c r="W453" i="1"/>
  <c r="W452" i="1" s="1"/>
  <c r="X453" i="1"/>
  <c r="X452" i="1" s="1"/>
  <c r="Y453" i="1"/>
  <c r="Y452" i="1" s="1"/>
  <c r="Z453" i="1"/>
  <c r="Z452" i="1" s="1"/>
  <c r="AA453" i="1"/>
  <c r="AA452" i="1" s="1"/>
  <c r="AB453" i="1"/>
  <c r="AB452" i="1" s="1"/>
  <c r="AC453" i="1"/>
  <c r="AC452" i="1" s="1"/>
  <c r="AD453" i="1"/>
  <c r="AD452" i="1" s="1"/>
  <c r="AE453" i="1"/>
  <c r="AE452" i="1" s="1"/>
  <c r="AF453" i="1"/>
  <c r="AF452" i="1" s="1"/>
  <c r="AG453" i="1"/>
  <c r="AG452" i="1" s="1"/>
  <c r="AH453" i="1"/>
  <c r="AH452" i="1" s="1"/>
  <c r="V456" i="1"/>
  <c r="V455" i="1" s="1"/>
  <c r="V453" i="1"/>
  <c r="V452" i="1" s="1"/>
  <c r="W446" i="1"/>
  <c r="X446" i="1"/>
  <c r="Y446" i="1"/>
  <c r="Z446" i="1"/>
  <c r="AA446" i="1"/>
  <c r="AB446" i="1"/>
  <c r="AC446" i="1"/>
  <c r="AD446" i="1"/>
  <c r="AE446" i="1"/>
  <c r="AF446" i="1"/>
  <c r="AG446" i="1"/>
  <c r="AH446" i="1"/>
  <c r="V446" i="1"/>
  <c r="W441" i="1"/>
  <c r="X441" i="1"/>
  <c r="Y441" i="1"/>
  <c r="Z441" i="1"/>
  <c r="AA441" i="1"/>
  <c r="AB441" i="1"/>
  <c r="AC441" i="1"/>
  <c r="AD441" i="1"/>
  <c r="AE441" i="1"/>
  <c r="AH441" i="1"/>
  <c r="V441" i="1"/>
  <c r="AH403" i="1"/>
  <c r="AG403" i="1"/>
  <c r="AF403" i="1"/>
  <c r="AE403" i="1"/>
  <c r="AD403" i="1"/>
  <c r="AC403" i="1"/>
  <c r="AB403" i="1"/>
  <c r="AA403" i="1"/>
  <c r="Z403" i="1"/>
  <c r="Y403" i="1"/>
  <c r="X403" i="1"/>
  <c r="W403" i="1"/>
  <c r="V403" i="1"/>
  <c r="W114" i="1"/>
  <c r="W113" i="1" s="1"/>
  <c r="X114" i="1"/>
  <c r="X113" i="1" s="1"/>
  <c r="Y114" i="1"/>
  <c r="Y113" i="1" s="1"/>
  <c r="Z114" i="1"/>
  <c r="Z113" i="1" s="1"/>
  <c r="AA114" i="1"/>
  <c r="AA113" i="1" s="1"/>
  <c r="AB114" i="1"/>
  <c r="AB113" i="1" s="1"/>
  <c r="AC114" i="1"/>
  <c r="AC113" i="1" s="1"/>
  <c r="AD114" i="1"/>
  <c r="AD113" i="1" s="1"/>
  <c r="AE114" i="1"/>
  <c r="AE113" i="1" s="1"/>
  <c r="AF114" i="1"/>
  <c r="AF113" i="1" s="1"/>
  <c r="AG114" i="1"/>
  <c r="AG113" i="1" s="1"/>
  <c r="AH114" i="1"/>
  <c r="AH113" i="1" s="1"/>
  <c r="AF46" i="1"/>
  <c r="AF45" i="1" s="1"/>
  <c r="AH429" i="1"/>
  <c r="AH428" i="1" s="1"/>
  <c r="AH427" i="1" s="1"/>
  <c r="AG429" i="1"/>
  <c r="AG428" i="1" s="1"/>
  <c r="AG427" i="1" s="1"/>
  <c r="AF429" i="1"/>
  <c r="AF428" i="1" s="1"/>
  <c r="AF427" i="1" s="1"/>
  <c r="AE429" i="1"/>
  <c r="AE428" i="1" s="1"/>
  <c r="AE427" i="1" s="1"/>
  <c r="AD429" i="1"/>
  <c r="AD428" i="1" s="1"/>
  <c r="AD427" i="1" s="1"/>
  <c r="AC429" i="1"/>
  <c r="AC428" i="1" s="1"/>
  <c r="AC427" i="1" s="1"/>
  <c r="AB429" i="1"/>
  <c r="AB428" i="1" s="1"/>
  <c r="AB427" i="1" s="1"/>
  <c r="AA429" i="1"/>
  <c r="AA428" i="1" s="1"/>
  <c r="AA427" i="1" s="1"/>
  <c r="Z429" i="1"/>
  <c r="Z428" i="1" s="1"/>
  <c r="Z427" i="1" s="1"/>
  <c r="Y429" i="1"/>
  <c r="Y428" i="1" s="1"/>
  <c r="Y427" i="1" s="1"/>
  <c r="X429" i="1"/>
  <c r="X428" i="1" s="1"/>
  <c r="X427" i="1" s="1"/>
  <c r="W429" i="1"/>
  <c r="W428" i="1" s="1"/>
  <c r="W427" i="1" s="1"/>
  <c r="V429" i="1"/>
  <c r="V428" i="1" s="1"/>
  <c r="V427" i="1" s="1"/>
  <c r="W425" i="1"/>
  <c r="X425" i="1"/>
  <c r="Y425" i="1"/>
  <c r="Z425" i="1"/>
  <c r="AA425" i="1"/>
  <c r="AB425" i="1"/>
  <c r="AC425" i="1"/>
  <c r="AD425" i="1"/>
  <c r="AE425" i="1"/>
  <c r="AF425" i="1"/>
  <c r="AG425" i="1"/>
  <c r="AH425" i="1"/>
  <c r="V425" i="1"/>
  <c r="W413" i="1"/>
  <c r="X413" i="1"/>
  <c r="Y413" i="1"/>
  <c r="Z413" i="1"/>
  <c r="AA413" i="1"/>
  <c r="AB413" i="1"/>
  <c r="AC413" i="1"/>
  <c r="AD413" i="1"/>
  <c r="AE413" i="1"/>
  <c r="AF413" i="1"/>
  <c r="AG413" i="1"/>
  <c r="AH413" i="1"/>
  <c r="V413" i="1"/>
  <c r="W421" i="1"/>
  <c r="X421" i="1"/>
  <c r="Y421" i="1"/>
  <c r="Z421" i="1"/>
  <c r="AA421" i="1"/>
  <c r="AB421" i="1"/>
  <c r="AC421" i="1"/>
  <c r="AD421" i="1"/>
  <c r="AE421" i="1"/>
  <c r="AF421" i="1"/>
  <c r="AG421" i="1"/>
  <c r="AH421" i="1"/>
  <c r="V421" i="1"/>
  <c r="W335" i="1"/>
  <c r="X335" i="1"/>
  <c r="Y335" i="1"/>
  <c r="AA335" i="1"/>
  <c r="AB335" i="1"/>
  <c r="AC335" i="1"/>
  <c r="AD335" i="1"/>
  <c r="AE335" i="1"/>
  <c r="AG335" i="1"/>
  <c r="W287" i="1"/>
  <c r="X287" i="1"/>
  <c r="Y287" i="1"/>
  <c r="Z287" i="1"/>
  <c r="AA287" i="1"/>
  <c r="AB287" i="1"/>
  <c r="AC287" i="1"/>
  <c r="AD287" i="1"/>
  <c r="AE287" i="1"/>
  <c r="AF287" i="1"/>
  <c r="AG287" i="1"/>
  <c r="AH287" i="1"/>
  <c r="AI297" i="1"/>
  <c r="AI296" i="1"/>
  <c r="AI295" i="1"/>
  <c r="AI294" i="1"/>
  <c r="AI293" i="1"/>
  <c r="AI290" i="1"/>
  <c r="AI289" i="1"/>
  <c r="AI288" i="1"/>
  <c r="AI282" i="1"/>
  <c r="AI281" i="1"/>
  <c r="AI285" i="1"/>
  <c r="AH280" i="1"/>
  <c r="AG280" i="1"/>
  <c r="AG279" i="1" s="1"/>
  <c r="AF279" i="1"/>
  <c r="AE280" i="1"/>
  <c r="AE279" i="1" s="1"/>
  <c r="AD280" i="1"/>
  <c r="AD279" i="1" s="1"/>
  <c r="AC280" i="1"/>
  <c r="AC279" i="1" s="1"/>
  <c r="AB280" i="1"/>
  <c r="AB279" i="1" s="1"/>
  <c r="AA280" i="1"/>
  <c r="AA279" i="1" s="1"/>
  <c r="Z280" i="1"/>
  <c r="Z279" i="1" s="1"/>
  <c r="Y280" i="1"/>
  <c r="Y279" i="1" s="1"/>
  <c r="X280" i="1"/>
  <c r="X279" i="1" s="1"/>
  <c r="W280" i="1"/>
  <c r="W279" i="1" s="1"/>
  <c r="AH279" i="1"/>
  <c r="V298" i="1"/>
  <c r="V287" i="1"/>
  <c r="V280" i="1"/>
  <c r="V279" i="1" s="1"/>
  <c r="AF284" i="1"/>
  <c r="AF283" i="1" s="1"/>
  <c r="W314" i="1"/>
  <c r="W313" i="1" s="1"/>
  <c r="X314" i="1"/>
  <c r="X313" i="1" s="1"/>
  <c r="Y314" i="1"/>
  <c r="Y313" i="1" s="1"/>
  <c r="Z314" i="1"/>
  <c r="Z313" i="1" s="1"/>
  <c r="AA314" i="1"/>
  <c r="AA313" i="1" s="1"/>
  <c r="AB314" i="1"/>
  <c r="AB313" i="1" s="1"/>
  <c r="AC314" i="1"/>
  <c r="AC313" i="1" s="1"/>
  <c r="AD314" i="1"/>
  <c r="AD313" i="1" s="1"/>
  <c r="AE314" i="1"/>
  <c r="AE313" i="1" s="1"/>
  <c r="AF314" i="1"/>
  <c r="AF313" i="1" s="1"/>
  <c r="AG314" i="1"/>
  <c r="AG313" i="1" s="1"/>
  <c r="AH314" i="1"/>
  <c r="AH313" i="1" s="1"/>
  <c r="W317" i="1"/>
  <c r="W316" i="1" s="1"/>
  <c r="X317" i="1"/>
  <c r="X316" i="1" s="1"/>
  <c r="Y317" i="1"/>
  <c r="Y316" i="1" s="1"/>
  <c r="Z317" i="1"/>
  <c r="Z316" i="1" s="1"/>
  <c r="AA317" i="1"/>
  <c r="AA316" i="1" s="1"/>
  <c r="AB317" i="1"/>
  <c r="AB316" i="1" s="1"/>
  <c r="AC317" i="1"/>
  <c r="AC316" i="1" s="1"/>
  <c r="AD317" i="1"/>
  <c r="AD316" i="1" s="1"/>
  <c r="AE317" i="1"/>
  <c r="AE316" i="1" s="1"/>
  <c r="AF317" i="1"/>
  <c r="AF316" i="1" s="1"/>
  <c r="AG317" i="1"/>
  <c r="AG316" i="1" s="1"/>
  <c r="AH317" i="1"/>
  <c r="AH316" i="1" s="1"/>
  <c r="W321" i="1"/>
  <c r="W320" i="1" s="1"/>
  <c r="W319" i="1" s="1"/>
  <c r="X321" i="1"/>
  <c r="X320" i="1" s="1"/>
  <c r="X319" i="1" s="1"/>
  <c r="Y321" i="1"/>
  <c r="Y320" i="1" s="1"/>
  <c r="Y319" i="1" s="1"/>
  <c r="Z321" i="1"/>
  <c r="Z320" i="1" s="1"/>
  <c r="Z319" i="1" s="1"/>
  <c r="AA321" i="1"/>
  <c r="AA320" i="1" s="1"/>
  <c r="AA319" i="1" s="1"/>
  <c r="AB321" i="1"/>
  <c r="AB320" i="1" s="1"/>
  <c r="AB319" i="1" s="1"/>
  <c r="AC321" i="1"/>
  <c r="AC320" i="1" s="1"/>
  <c r="AC319" i="1" s="1"/>
  <c r="AD321" i="1"/>
  <c r="AD320" i="1" s="1"/>
  <c r="AD319" i="1" s="1"/>
  <c r="AE321" i="1"/>
  <c r="AE320" i="1" s="1"/>
  <c r="AE319" i="1" s="1"/>
  <c r="AF320" i="1"/>
  <c r="AF319" i="1" s="1"/>
  <c r="AG320" i="1"/>
  <c r="AG319" i="1" s="1"/>
  <c r="AH320" i="1"/>
  <c r="AH319" i="1" s="1"/>
  <c r="W284" i="1"/>
  <c r="W283" i="1" s="1"/>
  <c r="X284" i="1"/>
  <c r="X283" i="1" s="1"/>
  <c r="Y284" i="1"/>
  <c r="Y283" i="1" s="1"/>
  <c r="Z284" i="1"/>
  <c r="Z283" i="1" s="1"/>
  <c r="AA284" i="1"/>
  <c r="AA283" i="1" s="1"/>
  <c r="AB284" i="1"/>
  <c r="AB283" i="1" s="1"/>
  <c r="AC284" i="1"/>
  <c r="AC283" i="1" s="1"/>
  <c r="AD284" i="1"/>
  <c r="AD283" i="1" s="1"/>
  <c r="AE284" i="1"/>
  <c r="AE283" i="1" s="1"/>
  <c r="AG284" i="1"/>
  <c r="AG283" i="1" s="1"/>
  <c r="AH284" i="1"/>
  <c r="AH283" i="1" s="1"/>
  <c r="V284" i="1"/>
  <c r="V283" i="1" s="1"/>
  <c r="W235" i="1"/>
  <c r="X235" i="1"/>
  <c r="Y235" i="1"/>
  <c r="Z235" i="1"/>
  <c r="AA235" i="1"/>
  <c r="AC235" i="1"/>
  <c r="AD235" i="1"/>
  <c r="AE235" i="1"/>
  <c r="AG235" i="1"/>
  <c r="AH235" i="1"/>
  <c r="W270" i="1"/>
  <c r="X270" i="1"/>
  <c r="Y270" i="1"/>
  <c r="Z270" i="1"/>
  <c r="AA270" i="1"/>
  <c r="AB270" i="1"/>
  <c r="AC270" i="1"/>
  <c r="AD270" i="1"/>
  <c r="AE270" i="1"/>
  <c r="AG270" i="1"/>
  <c r="AH270" i="1"/>
  <c r="W274" i="1"/>
  <c r="W273" i="1" s="1"/>
  <c r="W272" i="1" s="1"/>
  <c r="X274" i="1"/>
  <c r="X273" i="1" s="1"/>
  <c r="X272" i="1" s="1"/>
  <c r="Y274" i="1"/>
  <c r="Y273" i="1" s="1"/>
  <c r="Y272" i="1" s="1"/>
  <c r="Z274" i="1"/>
  <c r="Z273" i="1" s="1"/>
  <c r="Z272" i="1" s="1"/>
  <c r="AA274" i="1"/>
  <c r="AA273" i="1" s="1"/>
  <c r="AA272" i="1" s="1"/>
  <c r="AB274" i="1"/>
  <c r="AB273" i="1" s="1"/>
  <c r="AB272" i="1" s="1"/>
  <c r="AC274" i="1"/>
  <c r="AC273" i="1" s="1"/>
  <c r="AC272" i="1" s="1"/>
  <c r="AD274" i="1"/>
  <c r="AD273" i="1" s="1"/>
  <c r="AD272" i="1" s="1"/>
  <c r="AE274" i="1"/>
  <c r="AE273" i="1" s="1"/>
  <c r="AE272" i="1" s="1"/>
  <c r="AF274" i="1"/>
  <c r="AF273" i="1" s="1"/>
  <c r="AF272" i="1" s="1"/>
  <c r="AG274" i="1"/>
  <c r="AG273" i="1" s="1"/>
  <c r="AG272" i="1" s="1"/>
  <c r="AH274" i="1"/>
  <c r="AH273" i="1" s="1"/>
  <c r="AH272" i="1" s="1"/>
  <c r="V274" i="1"/>
  <c r="V273" i="1" s="1"/>
  <c r="V272" i="1" s="1"/>
  <c r="V270" i="1"/>
  <c r="V235" i="1"/>
  <c r="W229" i="1"/>
  <c r="X229" i="1"/>
  <c r="Y229" i="1"/>
  <c r="Z229" i="1"/>
  <c r="AA229" i="1"/>
  <c r="AB229" i="1"/>
  <c r="AC229" i="1"/>
  <c r="AD229" i="1"/>
  <c r="AE229" i="1"/>
  <c r="AF229" i="1"/>
  <c r="AG229" i="1"/>
  <c r="AH229" i="1"/>
  <c r="W226" i="1"/>
  <c r="X226" i="1"/>
  <c r="X225" i="1" s="1"/>
  <c r="X224" i="1" s="1"/>
  <c r="X223" i="1" s="1"/>
  <c r="Y226" i="1"/>
  <c r="Z226" i="1"/>
  <c r="AA226" i="1"/>
  <c r="AA225" i="1" s="1"/>
  <c r="AA224" i="1" s="1"/>
  <c r="AA223" i="1" s="1"/>
  <c r="AB226" i="1"/>
  <c r="AB225" i="1" s="1"/>
  <c r="AB224" i="1" s="1"/>
  <c r="AB223" i="1" s="1"/>
  <c r="AC226" i="1"/>
  <c r="AD226" i="1"/>
  <c r="AD225" i="1" s="1"/>
  <c r="AD224" i="1" s="1"/>
  <c r="AD223" i="1" s="1"/>
  <c r="AE226" i="1"/>
  <c r="AF226" i="1"/>
  <c r="AF225" i="1" s="1"/>
  <c r="AF224" i="1" s="1"/>
  <c r="AF223" i="1" s="1"/>
  <c r="AG226" i="1"/>
  <c r="AH226" i="1"/>
  <c r="AH225" i="1" s="1"/>
  <c r="AH224" i="1" s="1"/>
  <c r="AH223" i="1" s="1"/>
  <c r="V229" i="1"/>
  <c r="V226" i="1"/>
  <c r="W202" i="1"/>
  <c r="X202" i="1"/>
  <c r="Y202" i="1"/>
  <c r="Z202" i="1"/>
  <c r="AA202" i="1"/>
  <c r="AB202" i="1"/>
  <c r="AC202" i="1"/>
  <c r="AD202" i="1"/>
  <c r="AE202" i="1"/>
  <c r="AF202" i="1"/>
  <c r="AG202" i="1"/>
  <c r="AH202" i="1"/>
  <c r="V202" i="1"/>
  <c r="W197" i="1"/>
  <c r="W196" i="1" s="1"/>
  <c r="X197" i="1"/>
  <c r="X196" i="1" s="1"/>
  <c r="Y197" i="1"/>
  <c r="Y196" i="1" s="1"/>
  <c r="Z197" i="1"/>
  <c r="Z196" i="1" s="1"/>
  <c r="AA197" i="1"/>
  <c r="AA196" i="1" s="1"/>
  <c r="AB197" i="1"/>
  <c r="AB196" i="1" s="1"/>
  <c r="AC197" i="1"/>
  <c r="AC196" i="1" s="1"/>
  <c r="AD197" i="1"/>
  <c r="AD196" i="1" s="1"/>
  <c r="AE197" i="1"/>
  <c r="AE196" i="1" s="1"/>
  <c r="AF197" i="1"/>
  <c r="AF196" i="1" s="1"/>
  <c r="AG197" i="1"/>
  <c r="AG196" i="1" s="1"/>
  <c r="AH197" i="1"/>
  <c r="AH196" i="1" s="1"/>
  <c r="V197" i="1"/>
  <c r="V196" i="1" s="1"/>
  <c r="V192" i="1"/>
  <c r="W168" i="1"/>
  <c r="X168" i="1"/>
  <c r="Y168" i="1"/>
  <c r="Z168" i="1"/>
  <c r="AA168" i="1"/>
  <c r="AB168" i="1"/>
  <c r="AC168" i="1"/>
  <c r="AD168" i="1"/>
  <c r="AE168" i="1"/>
  <c r="AF168" i="1"/>
  <c r="AG168" i="1"/>
  <c r="AH168" i="1"/>
  <c r="V168" i="1"/>
  <c r="W218" i="1"/>
  <c r="X218" i="1"/>
  <c r="Y218" i="1"/>
  <c r="Z218" i="1"/>
  <c r="AA218" i="1"/>
  <c r="AB218" i="1"/>
  <c r="AC218" i="1"/>
  <c r="AD218" i="1"/>
  <c r="AE218" i="1"/>
  <c r="AF218" i="1"/>
  <c r="AG218" i="1"/>
  <c r="AH218" i="1"/>
  <c r="V218" i="1"/>
  <c r="V214" i="1"/>
  <c r="W205" i="1"/>
  <c r="X205" i="1"/>
  <c r="Y205" i="1"/>
  <c r="Z205" i="1"/>
  <c r="AA205" i="1"/>
  <c r="AB205" i="1"/>
  <c r="AC205" i="1"/>
  <c r="AD205" i="1"/>
  <c r="AE205" i="1"/>
  <c r="AG205" i="1"/>
  <c r="AH205" i="1"/>
  <c r="V205" i="1"/>
  <c r="V185" i="1"/>
  <c r="V182" i="1"/>
  <c r="V180" i="1"/>
  <c r="V187" i="1"/>
  <c r="V189" i="1"/>
  <c r="W149" i="1"/>
  <c r="W148" i="1" s="1"/>
  <c r="X149" i="1"/>
  <c r="X148" i="1" s="1"/>
  <c r="Y149" i="1"/>
  <c r="Y148" i="1" s="1"/>
  <c r="Z149" i="1"/>
  <c r="Z148" i="1" s="1"/>
  <c r="AA149" i="1"/>
  <c r="AA148" i="1" s="1"/>
  <c r="AB149" i="1"/>
  <c r="AB148" i="1" s="1"/>
  <c r="AC149" i="1"/>
  <c r="AC148" i="1" s="1"/>
  <c r="AD149" i="1"/>
  <c r="AD148" i="1" s="1"/>
  <c r="AE149" i="1"/>
  <c r="AE148" i="1" s="1"/>
  <c r="AF149" i="1"/>
  <c r="AF148" i="1" s="1"/>
  <c r="AH149" i="1"/>
  <c r="AH148" i="1" s="1"/>
  <c r="V149" i="1"/>
  <c r="V148" i="1" s="1"/>
  <c r="W159" i="1"/>
  <c r="W158" i="1" s="1"/>
  <c r="X159" i="1"/>
  <c r="X158" i="1" s="1"/>
  <c r="Y159" i="1"/>
  <c r="Y158" i="1" s="1"/>
  <c r="Z159" i="1"/>
  <c r="Z158" i="1" s="1"/>
  <c r="AA159" i="1"/>
  <c r="AA158" i="1" s="1"/>
  <c r="AB159" i="1"/>
  <c r="AB158" i="1" s="1"/>
  <c r="AC159" i="1"/>
  <c r="AC158" i="1" s="1"/>
  <c r="AD159" i="1"/>
  <c r="AD158" i="1" s="1"/>
  <c r="AE159" i="1"/>
  <c r="AE158" i="1" s="1"/>
  <c r="AF159" i="1"/>
  <c r="AF158" i="1" s="1"/>
  <c r="AG159" i="1"/>
  <c r="AG158" i="1" s="1"/>
  <c r="AH159" i="1"/>
  <c r="AH158" i="1" s="1"/>
  <c r="V159" i="1"/>
  <c r="V158" i="1" s="1"/>
  <c r="W133" i="1"/>
  <c r="X133" i="1"/>
  <c r="Y133" i="1"/>
  <c r="Z133" i="1"/>
  <c r="AA133" i="1"/>
  <c r="AB133" i="1"/>
  <c r="AC133" i="1"/>
  <c r="AD133" i="1"/>
  <c r="AE133" i="1"/>
  <c r="AF133" i="1"/>
  <c r="AG133" i="1"/>
  <c r="AH133" i="1"/>
  <c r="W100" i="1"/>
  <c r="X100" i="1"/>
  <c r="Y100" i="1"/>
  <c r="Z100" i="1"/>
  <c r="AA100" i="1"/>
  <c r="AB100" i="1"/>
  <c r="AC100" i="1"/>
  <c r="AD100" i="1"/>
  <c r="AE100" i="1"/>
  <c r="AF100" i="1"/>
  <c r="AG100" i="1"/>
  <c r="AH100" i="1"/>
  <c r="AJ100" i="1"/>
  <c r="AJ99" i="1" s="1"/>
  <c r="AK100" i="1"/>
  <c r="AK99" i="1" s="1"/>
  <c r="W123" i="1"/>
  <c r="W122" i="1" s="1"/>
  <c r="W121" i="1" s="1"/>
  <c r="X123" i="1"/>
  <c r="X122" i="1" s="1"/>
  <c r="X121" i="1" s="1"/>
  <c r="Y123" i="1"/>
  <c r="Y122" i="1" s="1"/>
  <c r="Y121" i="1" s="1"/>
  <c r="Z123" i="1"/>
  <c r="Z122" i="1" s="1"/>
  <c r="Z121" i="1" s="1"/>
  <c r="AA123" i="1"/>
  <c r="AA122" i="1" s="1"/>
  <c r="AA121" i="1" s="1"/>
  <c r="AB123" i="1"/>
  <c r="AB122" i="1" s="1"/>
  <c r="AB121" i="1" s="1"/>
  <c r="AC123" i="1"/>
  <c r="AC122" i="1" s="1"/>
  <c r="AC121" i="1" s="1"/>
  <c r="AD123" i="1"/>
  <c r="AD122" i="1" s="1"/>
  <c r="AD121" i="1" s="1"/>
  <c r="AE123" i="1"/>
  <c r="AE122" i="1" s="1"/>
  <c r="AE121" i="1" s="1"/>
  <c r="AF122" i="1"/>
  <c r="AF121" i="1" s="1"/>
  <c r="AG122" i="1"/>
  <c r="AG121" i="1" s="1"/>
  <c r="AH122" i="1"/>
  <c r="AH121" i="1" s="1"/>
  <c r="V123" i="1"/>
  <c r="V122" i="1" s="1"/>
  <c r="V121" i="1" s="1"/>
  <c r="V117" i="1"/>
  <c r="V116" i="1" s="1"/>
  <c r="X117" i="1"/>
  <c r="X116" i="1" s="1"/>
  <c r="Y117" i="1"/>
  <c r="Y116" i="1" s="1"/>
  <c r="Z117" i="1"/>
  <c r="Z116" i="1" s="1"/>
  <c r="AA117" i="1"/>
  <c r="AA116" i="1" s="1"/>
  <c r="AB117" i="1"/>
  <c r="AB116" i="1" s="1"/>
  <c r="AC117" i="1"/>
  <c r="AC116" i="1" s="1"/>
  <c r="AD117" i="1"/>
  <c r="AD116" i="1" s="1"/>
  <c r="AE117" i="1"/>
  <c r="AE116" i="1" s="1"/>
  <c r="AF117" i="1"/>
  <c r="AF116" i="1" s="1"/>
  <c r="AG117" i="1"/>
  <c r="AG116" i="1" s="1"/>
  <c r="AH117" i="1"/>
  <c r="AH116" i="1" s="1"/>
  <c r="W117" i="1"/>
  <c r="W116" i="1" s="1"/>
  <c r="X90" i="1"/>
  <c r="Y90" i="1"/>
  <c r="Z90" i="1"/>
  <c r="AA90" i="1"/>
  <c r="AB90" i="1"/>
  <c r="AC90" i="1"/>
  <c r="AD90" i="1"/>
  <c r="AE90" i="1"/>
  <c r="AF90" i="1"/>
  <c r="AG90" i="1"/>
  <c r="AH90" i="1"/>
  <c r="X109" i="1"/>
  <c r="X108" i="1" s="1"/>
  <c r="Y109" i="1"/>
  <c r="Y108" i="1" s="1"/>
  <c r="Z109" i="1"/>
  <c r="Z108" i="1" s="1"/>
  <c r="AA109" i="1"/>
  <c r="AA108" i="1" s="1"/>
  <c r="AB109" i="1"/>
  <c r="AB108" i="1" s="1"/>
  <c r="AC109" i="1"/>
  <c r="AC108" i="1" s="1"/>
  <c r="AD109" i="1"/>
  <c r="AD108" i="1" s="1"/>
  <c r="AE109" i="1"/>
  <c r="AE108" i="1" s="1"/>
  <c r="AF109" i="1"/>
  <c r="AF108" i="1" s="1"/>
  <c r="AG109" i="1"/>
  <c r="AG108" i="1" s="1"/>
  <c r="AH109" i="1"/>
  <c r="AH108" i="1" s="1"/>
  <c r="V109" i="1"/>
  <c r="V108" i="1" s="1"/>
  <c r="W106" i="1"/>
  <c r="X106" i="1"/>
  <c r="Y106" i="1"/>
  <c r="Z106" i="1"/>
  <c r="AA106" i="1"/>
  <c r="AB106" i="1"/>
  <c r="AC106" i="1"/>
  <c r="AD106" i="1"/>
  <c r="AE106" i="1"/>
  <c r="AF106" i="1"/>
  <c r="AG106" i="1"/>
  <c r="AH106" i="1"/>
  <c r="V106" i="1"/>
  <c r="V100" i="1"/>
  <c r="W97" i="1"/>
  <c r="W96" i="1" s="1"/>
  <c r="X97" i="1"/>
  <c r="X96" i="1" s="1"/>
  <c r="Y97" i="1"/>
  <c r="Y96" i="1" s="1"/>
  <c r="Z97" i="1"/>
  <c r="Z96" i="1" s="1"/>
  <c r="AA97" i="1"/>
  <c r="AA96" i="1" s="1"/>
  <c r="AB97" i="1"/>
  <c r="AB96" i="1" s="1"/>
  <c r="AC97" i="1"/>
  <c r="AC96" i="1" s="1"/>
  <c r="AD97" i="1"/>
  <c r="AD96" i="1" s="1"/>
  <c r="AE97" i="1"/>
  <c r="AE96" i="1" s="1"/>
  <c r="AF97" i="1"/>
  <c r="AF96" i="1" s="1"/>
  <c r="AG97" i="1"/>
  <c r="AG96" i="1" s="1"/>
  <c r="AH97" i="1"/>
  <c r="AH96" i="1" s="1"/>
  <c r="V97" i="1"/>
  <c r="V96" i="1" s="1"/>
  <c r="W94" i="1"/>
  <c r="X94" i="1"/>
  <c r="Y94" i="1"/>
  <c r="Z94" i="1"/>
  <c r="AA94" i="1"/>
  <c r="AB94" i="1"/>
  <c r="AC94" i="1"/>
  <c r="AD94" i="1"/>
  <c r="AE94" i="1"/>
  <c r="AF94" i="1"/>
  <c r="AG94" i="1"/>
  <c r="AH94" i="1"/>
  <c r="V94" i="1"/>
  <c r="W92" i="1"/>
  <c r="X92" i="1"/>
  <c r="Y92" i="1"/>
  <c r="Z92" i="1"/>
  <c r="AA92" i="1"/>
  <c r="AB92" i="1"/>
  <c r="AC92" i="1"/>
  <c r="AD92" i="1"/>
  <c r="AE92" i="1"/>
  <c r="AF92" i="1"/>
  <c r="AG92" i="1"/>
  <c r="AH92" i="1"/>
  <c r="V92" i="1"/>
  <c r="W90" i="1"/>
  <c r="V90" i="1"/>
  <c r="W82" i="1"/>
  <c r="X82" i="1"/>
  <c r="Y82" i="1"/>
  <c r="Z82" i="1"/>
  <c r="AA82" i="1"/>
  <c r="AB82" i="1"/>
  <c r="AC82" i="1"/>
  <c r="AD82" i="1"/>
  <c r="AE82" i="1"/>
  <c r="AF82" i="1"/>
  <c r="AG82" i="1"/>
  <c r="AH82" i="1"/>
  <c r="W62" i="1"/>
  <c r="W61" i="1" s="1"/>
  <c r="X62" i="1"/>
  <c r="Y62" i="1"/>
  <c r="Y61" i="1" s="1"/>
  <c r="Z62" i="1"/>
  <c r="Z61" i="1" s="1"/>
  <c r="AA62" i="1"/>
  <c r="AA61" i="1" s="1"/>
  <c r="AB62" i="1"/>
  <c r="AB61" i="1" s="1"/>
  <c r="AC62" i="1"/>
  <c r="AC61" i="1" s="1"/>
  <c r="AD62" i="1"/>
  <c r="AD61" i="1" s="1"/>
  <c r="AE62" i="1"/>
  <c r="AE61" i="1" s="1"/>
  <c r="AF62" i="1"/>
  <c r="AF61" i="1" s="1"/>
  <c r="AG62" i="1"/>
  <c r="AG61" i="1" s="1"/>
  <c r="AH62" i="1"/>
  <c r="AH61" i="1" s="1"/>
  <c r="W67" i="1"/>
  <c r="W66" i="1" s="1"/>
  <c r="X67" i="1"/>
  <c r="Y67" i="1"/>
  <c r="Y66" i="1" s="1"/>
  <c r="Z67" i="1"/>
  <c r="Z66" i="1" s="1"/>
  <c r="AA67" i="1"/>
  <c r="AA66" i="1" s="1"/>
  <c r="AB67" i="1"/>
  <c r="AB66" i="1" s="1"/>
  <c r="AC67" i="1"/>
  <c r="AC66" i="1" s="1"/>
  <c r="AD67" i="1"/>
  <c r="AD66" i="1" s="1"/>
  <c r="AE67" i="1"/>
  <c r="AE66" i="1" s="1"/>
  <c r="AF67" i="1"/>
  <c r="AF66" i="1" s="1"/>
  <c r="AG67" i="1"/>
  <c r="AG66" i="1" s="1"/>
  <c r="AH67" i="1"/>
  <c r="AH66" i="1" s="1"/>
  <c r="W71" i="1"/>
  <c r="X71" i="1"/>
  <c r="Y71" i="1"/>
  <c r="Z71" i="1"/>
  <c r="AA71" i="1"/>
  <c r="AB71" i="1"/>
  <c r="AC71" i="1"/>
  <c r="AD71" i="1"/>
  <c r="AE71" i="1"/>
  <c r="AF71" i="1"/>
  <c r="AG71" i="1"/>
  <c r="AH71" i="1"/>
  <c r="W73" i="1"/>
  <c r="X73" i="1"/>
  <c r="Y73" i="1"/>
  <c r="Z73" i="1"/>
  <c r="AA73" i="1"/>
  <c r="AB73" i="1"/>
  <c r="AC73" i="1"/>
  <c r="AD73" i="1"/>
  <c r="AE73" i="1"/>
  <c r="AF73" i="1"/>
  <c r="AG73" i="1"/>
  <c r="AH73" i="1"/>
  <c r="V67" i="1"/>
  <c r="V66" i="1" s="1"/>
  <c r="V62" i="1"/>
  <c r="V61" i="1" s="1"/>
  <c r="V73" i="1"/>
  <c r="W46" i="1"/>
  <c r="W45" i="1" s="1"/>
  <c r="X46" i="1"/>
  <c r="Y46" i="1"/>
  <c r="Y45" i="1" s="1"/>
  <c r="Z46" i="1"/>
  <c r="Z45" i="1" s="1"/>
  <c r="AA46" i="1"/>
  <c r="AA45" i="1" s="1"/>
  <c r="AB46" i="1"/>
  <c r="AB45" i="1" s="1"/>
  <c r="AC46" i="1"/>
  <c r="AC45" i="1" s="1"/>
  <c r="AD46" i="1"/>
  <c r="AD45" i="1" s="1"/>
  <c r="AE46" i="1"/>
  <c r="AE45" i="1" s="1"/>
  <c r="AG46" i="1"/>
  <c r="AG45" i="1" s="1"/>
  <c r="AH46" i="1"/>
  <c r="AH45" i="1" s="1"/>
  <c r="W39" i="1"/>
  <c r="W38" i="1" s="1"/>
  <c r="W37" i="1" s="1"/>
  <c r="W36" i="1" s="1"/>
  <c r="X39" i="1"/>
  <c r="X38" i="1" s="1"/>
  <c r="X37" i="1" s="1"/>
  <c r="X36" i="1" s="1"/>
  <c r="Y39" i="1"/>
  <c r="Y38" i="1" s="1"/>
  <c r="Y37" i="1" s="1"/>
  <c r="Y36" i="1" s="1"/>
  <c r="Z39" i="1"/>
  <c r="Z38" i="1" s="1"/>
  <c r="Z37" i="1" s="1"/>
  <c r="Z36" i="1" s="1"/>
  <c r="AA39" i="1"/>
  <c r="AA38" i="1" s="1"/>
  <c r="AA37" i="1" s="1"/>
  <c r="AA36" i="1" s="1"/>
  <c r="AB39" i="1"/>
  <c r="AB38" i="1" s="1"/>
  <c r="AB37" i="1" s="1"/>
  <c r="AB36" i="1" s="1"/>
  <c r="AC39" i="1"/>
  <c r="AC38" i="1" s="1"/>
  <c r="AC37" i="1" s="1"/>
  <c r="AC36" i="1" s="1"/>
  <c r="AD39" i="1"/>
  <c r="AD38" i="1" s="1"/>
  <c r="AD37" i="1" s="1"/>
  <c r="AD36" i="1" s="1"/>
  <c r="AE39" i="1"/>
  <c r="AE38" i="1" s="1"/>
  <c r="AE37" i="1" s="1"/>
  <c r="AE36" i="1" s="1"/>
  <c r="AG39" i="1"/>
  <c r="AG38" i="1" s="1"/>
  <c r="AG37" i="1" s="1"/>
  <c r="AG36" i="1" s="1"/>
  <c r="AH39" i="1"/>
  <c r="AH38" i="1" s="1"/>
  <c r="AH37" i="1" s="1"/>
  <c r="AH36" i="1" s="1"/>
  <c r="V39" i="1"/>
  <c r="V38" i="1" s="1"/>
  <c r="V37" i="1" s="1"/>
  <c r="V36" i="1" s="1"/>
  <c r="W24" i="1"/>
  <c r="X24" i="1"/>
  <c r="Y24" i="1"/>
  <c r="Z24" i="1"/>
  <c r="AA24" i="1"/>
  <c r="AB24" i="1"/>
  <c r="AC24" i="1"/>
  <c r="AD24" i="1"/>
  <c r="AE24" i="1"/>
  <c r="AG24" i="1"/>
  <c r="AH24" i="1"/>
  <c r="AJ24" i="1"/>
  <c r="AK24" i="1"/>
  <c r="V24" i="1"/>
  <c r="W21" i="1"/>
  <c r="X21" i="1"/>
  <c r="Y21" i="1"/>
  <c r="Z21" i="1"/>
  <c r="AA21" i="1"/>
  <c r="AB21" i="1"/>
  <c r="AC21" i="1"/>
  <c r="AD21" i="1"/>
  <c r="AE21" i="1"/>
  <c r="AF21" i="1"/>
  <c r="AG21" i="1"/>
  <c r="AH21" i="1"/>
  <c r="AJ21" i="1"/>
  <c r="AK21" i="1"/>
  <c r="V21" i="1"/>
  <c r="W11" i="1"/>
  <c r="X11" i="1"/>
  <c r="Y11" i="1"/>
  <c r="Z11" i="1"/>
  <c r="AA11" i="1"/>
  <c r="AB11" i="1"/>
  <c r="AC11" i="1"/>
  <c r="AD11" i="1"/>
  <c r="AE11" i="1"/>
  <c r="AF11" i="1"/>
  <c r="AG11" i="1"/>
  <c r="AH11" i="1"/>
  <c r="V11" i="1"/>
  <c r="X45" i="1" l="1"/>
  <c r="X66" i="1"/>
  <c r="X61" i="1"/>
  <c r="AI284" i="1"/>
  <c r="AI283" i="1" s="1"/>
  <c r="AH20" i="1"/>
  <c r="AH19" i="1" s="1"/>
  <c r="AH18" i="1" s="1"/>
  <c r="AF402" i="1"/>
  <c r="AF401" i="1" s="1"/>
  <c r="X402" i="1"/>
  <c r="X401" i="1" s="1"/>
  <c r="V420" i="1"/>
  <c r="V419" i="1" s="1"/>
  <c r="AA420" i="1"/>
  <c r="AA419" i="1" s="1"/>
  <c r="W420" i="1"/>
  <c r="W419" i="1" s="1"/>
  <c r="V99" i="1"/>
  <c r="AH420" i="1"/>
  <c r="AH419" i="1" s="1"/>
  <c r="AD420" i="1"/>
  <c r="AD419" i="1" s="1"/>
  <c r="AD99" i="1"/>
  <c r="AI287" i="1"/>
  <c r="Z99" i="1"/>
  <c r="AG20" i="1"/>
  <c r="AG19" i="1" s="1"/>
  <c r="AG18" i="1" s="1"/>
  <c r="AG99" i="1"/>
  <c r="AF312" i="1"/>
  <c r="AB312" i="1"/>
  <c r="X312" i="1"/>
  <c r="Z234" i="1"/>
  <c r="Z233" i="1" s="1"/>
  <c r="Z232" i="1" s="1"/>
  <c r="AF420" i="1"/>
  <c r="AF419" i="1" s="1"/>
  <c r="AB420" i="1"/>
  <c r="AB419" i="1" s="1"/>
  <c r="AH402" i="1"/>
  <c r="AH401" i="1" s="1"/>
  <c r="AH440" i="1"/>
  <c r="AH439" i="1" s="1"/>
  <c r="AH438" i="1" s="1"/>
  <c r="AH99" i="1"/>
  <c r="V167" i="1"/>
  <c r="AE440" i="1"/>
  <c r="AE439" i="1" s="1"/>
  <c r="AE438" i="1" s="1"/>
  <c r="W440" i="1"/>
  <c r="W439" i="1" s="1"/>
  <c r="W438" i="1" s="1"/>
  <c r="AE20" i="1"/>
  <c r="AE19" i="1" s="1"/>
  <c r="AE18" i="1" s="1"/>
  <c r="AF99" i="1"/>
  <c r="AB99" i="1"/>
  <c r="X99" i="1"/>
  <c r="V225" i="1"/>
  <c r="V224" i="1" s="1"/>
  <c r="AE225" i="1"/>
  <c r="AE224" i="1" s="1"/>
  <c r="AE223" i="1" s="1"/>
  <c r="AD234" i="1"/>
  <c r="AD233" i="1" s="1"/>
  <c r="AD232" i="1" s="1"/>
  <c r="AH234" i="1"/>
  <c r="AH233" i="1" s="1"/>
  <c r="AH232" i="1" s="1"/>
  <c r="AD112" i="1"/>
  <c r="V402" i="1"/>
  <c r="V401" i="1" s="1"/>
  <c r="Z402" i="1"/>
  <c r="Z401" i="1" s="1"/>
  <c r="AD402" i="1"/>
  <c r="AD401" i="1" s="1"/>
  <c r="AD440" i="1"/>
  <c r="AD439" i="1" s="1"/>
  <c r="AD438" i="1" s="1"/>
  <c r="Z440" i="1"/>
  <c r="Z439" i="1" s="1"/>
  <c r="Z438" i="1" s="1"/>
  <c r="V451" i="1"/>
  <c r="AD20" i="1"/>
  <c r="AD19" i="1" s="1"/>
  <c r="AD18" i="1" s="1"/>
  <c r="Z20" i="1"/>
  <c r="Z19" i="1" s="1"/>
  <c r="Z18" i="1" s="1"/>
  <c r="AE99" i="1"/>
  <c r="AA99" i="1"/>
  <c r="W99" i="1"/>
  <c r="V234" i="1"/>
  <c r="V233" i="1" s="1"/>
  <c r="AG234" i="1"/>
  <c r="AG233" i="1" s="1"/>
  <c r="AG232" i="1" s="1"/>
  <c r="AI280" i="1"/>
  <c r="AI279" i="1" s="1"/>
  <c r="AA440" i="1"/>
  <c r="AA439" i="1" s="1"/>
  <c r="AA438" i="1" s="1"/>
  <c r="AD89" i="1"/>
  <c r="AF112" i="1"/>
  <c r="AB112" i="1"/>
  <c r="X112" i="1"/>
  <c r="AB402" i="1"/>
  <c r="AB401" i="1" s="1"/>
  <c r="AC70" i="1"/>
  <c r="AC60" i="1" s="1"/>
  <c r="AC99" i="1"/>
  <c r="Y99" i="1"/>
  <c r="Z112" i="1"/>
  <c r="AH112" i="1"/>
  <c r="W70" i="1"/>
  <c r="W60" i="1" s="1"/>
  <c r="AH89" i="1"/>
  <c r="V147" i="1"/>
  <c r="V146" i="1" s="1"/>
  <c r="W225" i="1"/>
  <c r="W224" i="1" s="1"/>
  <c r="W223" i="1" s="1"/>
  <c r="X234" i="1"/>
  <c r="X233" i="1" s="1"/>
  <c r="X232" i="1" s="1"/>
  <c r="AE312" i="1"/>
  <c r="AA20" i="1"/>
  <c r="AA19" i="1" s="1"/>
  <c r="AA18" i="1" s="1"/>
  <c r="AG89" i="1"/>
  <c r="W234" i="1"/>
  <c r="W233" i="1" s="1"/>
  <c r="W232" i="1" s="1"/>
  <c r="AD312" i="1"/>
  <c r="AA112" i="1"/>
  <c r="Y402" i="1"/>
  <c r="Y401" i="1" s="1"/>
  <c r="AG70" i="1"/>
  <c r="AF89" i="1"/>
  <c r="AC312" i="1"/>
  <c r="V89" i="1"/>
  <c r="AE89" i="1"/>
  <c r="AE420" i="1"/>
  <c r="AE419" i="1" s="1"/>
  <c r="Y112" i="1"/>
  <c r="AA402" i="1"/>
  <c r="AA401" i="1" s="1"/>
  <c r="AC89" i="1"/>
  <c r="AC88" i="1" s="1"/>
  <c r="AE234" i="1"/>
  <c r="AE233" i="1" s="1"/>
  <c r="AE232" i="1" s="1"/>
  <c r="Z312" i="1"/>
  <c r="W112" i="1"/>
  <c r="AC402" i="1"/>
  <c r="AC401" i="1" s="1"/>
  <c r="V440" i="1"/>
  <c r="V439" i="1" s="1"/>
  <c r="W89" i="1"/>
  <c r="AB89" i="1"/>
  <c r="Z225" i="1"/>
  <c r="Z224" i="1" s="1"/>
  <c r="Z223" i="1" s="1"/>
  <c r="Y312" i="1"/>
  <c r="X420" i="1"/>
  <c r="X419" i="1" s="1"/>
  <c r="X400" i="1" s="1"/>
  <c r="AC234" i="1"/>
  <c r="AC233" i="1" s="1"/>
  <c r="AC232" i="1" s="1"/>
  <c r="AG112" i="1"/>
  <c r="AE402" i="1"/>
  <c r="AE401" i="1" s="1"/>
  <c r="AA312" i="1"/>
  <c r="AA70" i="1"/>
  <c r="AA60" i="1" s="1"/>
  <c r="Z89" i="1"/>
  <c r="W312" i="1"/>
  <c r="Z420" i="1"/>
  <c r="Z419" i="1" s="1"/>
  <c r="Y89" i="1"/>
  <c r="AA234" i="1"/>
  <c r="AA233" i="1" s="1"/>
  <c r="AA232" i="1" s="1"/>
  <c r="AH312" i="1"/>
  <c r="AE112" i="1"/>
  <c r="AG402" i="1"/>
  <c r="AG401" i="1" s="1"/>
  <c r="Y70" i="1"/>
  <c r="Y60" i="1" s="1"/>
  <c r="X89" i="1"/>
  <c r="AG312" i="1"/>
  <c r="AE70" i="1"/>
  <c r="AE60" i="1" s="1"/>
  <c r="AA89" i="1"/>
  <c r="Y234" i="1"/>
  <c r="Y233" i="1" s="1"/>
  <c r="Y232" i="1" s="1"/>
  <c r="AC112" i="1"/>
  <c r="W402" i="1"/>
  <c r="W401" i="1" s="1"/>
  <c r="X458" i="1"/>
  <c r="AG458" i="1"/>
  <c r="AC458" i="1"/>
  <c r="Y458" i="1"/>
  <c r="AB458" i="1"/>
  <c r="AE458" i="1"/>
  <c r="AA458" i="1"/>
  <c r="W458" i="1"/>
  <c r="AH458" i="1"/>
  <c r="AD458" i="1"/>
  <c r="Z458" i="1"/>
  <c r="AF458" i="1"/>
  <c r="AB451" i="1"/>
  <c r="AE451" i="1"/>
  <c r="AG451" i="1"/>
  <c r="Y451" i="1"/>
  <c r="Y450" i="1" s="1"/>
  <c r="AF451" i="1"/>
  <c r="W451" i="1"/>
  <c r="AC451" i="1"/>
  <c r="X451" i="1"/>
  <c r="AH451" i="1"/>
  <c r="AH450" i="1" s="1"/>
  <c r="AD451" i="1"/>
  <c r="AD450" i="1" s="1"/>
  <c r="Z451" i="1"/>
  <c r="Z450" i="1" s="1"/>
  <c r="AA451" i="1"/>
  <c r="AB440" i="1"/>
  <c r="AB439" i="1" s="1"/>
  <c r="AB438" i="1" s="1"/>
  <c r="X440" i="1"/>
  <c r="X439" i="1" s="1"/>
  <c r="X438" i="1" s="1"/>
  <c r="AC440" i="1"/>
  <c r="AC439" i="1" s="1"/>
  <c r="AC438" i="1" s="1"/>
  <c r="Y440" i="1"/>
  <c r="Y439" i="1" s="1"/>
  <c r="Y438" i="1" s="1"/>
  <c r="AG420" i="1"/>
  <c r="AG419" i="1" s="1"/>
  <c r="AC420" i="1"/>
  <c r="AC419" i="1" s="1"/>
  <c r="Y420" i="1"/>
  <c r="Y419" i="1" s="1"/>
  <c r="AG225" i="1"/>
  <c r="AG224" i="1" s="1"/>
  <c r="AG223" i="1" s="1"/>
  <c r="AC225" i="1"/>
  <c r="AC224" i="1" s="1"/>
  <c r="AC223" i="1" s="1"/>
  <c r="Y225" i="1"/>
  <c r="Y224" i="1" s="1"/>
  <c r="Y223" i="1" s="1"/>
  <c r="AH147" i="1"/>
  <c r="AH146" i="1" s="1"/>
  <c r="AD147" i="1"/>
  <c r="AD146" i="1" s="1"/>
  <c r="Z147" i="1"/>
  <c r="Z146" i="1" s="1"/>
  <c r="AF147" i="1"/>
  <c r="AF146" i="1" s="1"/>
  <c r="AB147" i="1"/>
  <c r="AB146" i="1" s="1"/>
  <c r="X147" i="1"/>
  <c r="X146" i="1" s="1"/>
  <c r="AE147" i="1"/>
  <c r="AE146" i="1" s="1"/>
  <c r="AA147" i="1"/>
  <c r="AA146" i="1" s="1"/>
  <c r="W147" i="1"/>
  <c r="W146" i="1" s="1"/>
  <c r="AC147" i="1"/>
  <c r="AC146" i="1" s="1"/>
  <c r="Y147" i="1"/>
  <c r="Y146" i="1" s="1"/>
  <c r="V20" i="1"/>
  <c r="V19" i="1" s="1"/>
  <c r="AG60" i="1"/>
  <c r="AK20" i="1"/>
  <c r="AC20" i="1"/>
  <c r="AC19" i="1" s="1"/>
  <c r="AC18" i="1" s="1"/>
  <c r="Y20" i="1"/>
  <c r="Y19" i="1" s="1"/>
  <c r="Y18" i="1" s="1"/>
  <c r="AF70" i="1"/>
  <c r="AF60" i="1" s="1"/>
  <c r="AB70" i="1"/>
  <c r="AB60" i="1" s="1"/>
  <c r="X70" i="1"/>
  <c r="X60" i="1" s="1"/>
  <c r="W20" i="1"/>
  <c r="W19" i="1" s="1"/>
  <c r="W18" i="1" s="1"/>
  <c r="AH70" i="1"/>
  <c r="AH60" i="1" s="1"/>
  <c r="AD70" i="1"/>
  <c r="AD60" i="1" s="1"/>
  <c r="Z70" i="1"/>
  <c r="Z60" i="1" s="1"/>
  <c r="AJ20" i="1"/>
  <c r="AJ19" i="1" s="1"/>
  <c r="AJ18" i="1" s="1"/>
  <c r="AB20" i="1"/>
  <c r="AB19" i="1" s="1"/>
  <c r="AB18" i="1" s="1"/>
  <c r="X20" i="1"/>
  <c r="X19" i="1" s="1"/>
  <c r="X18" i="1" s="1"/>
  <c r="X88" i="1" l="1"/>
  <c r="W400" i="1"/>
  <c r="AG88" i="1"/>
  <c r="Z400" i="1"/>
  <c r="AH400" i="1"/>
  <c r="AG400" i="1"/>
  <c r="AA400" i="1"/>
  <c r="AB88" i="1"/>
  <c r="Z88" i="1"/>
  <c r="AD88" i="1"/>
  <c r="AE450" i="1"/>
  <c r="AF400" i="1"/>
  <c r="AB450" i="1"/>
  <c r="AA88" i="1"/>
  <c r="AF88" i="1"/>
  <c r="AB400" i="1"/>
  <c r="V88" i="1"/>
  <c r="AA450" i="1"/>
  <c r="AE88" i="1"/>
  <c r="AD400" i="1"/>
  <c r="X450" i="1"/>
  <c r="Y88" i="1"/>
  <c r="AH88" i="1"/>
  <c r="W450" i="1"/>
  <c r="Y400" i="1"/>
  <c r="AC400" i="1"/>
  <c r="AK19" i="1"/>
  <c r="AK18" i="1" s="1"/>
  <c r="AF450" i="1"/>
  <c r="AE400" i="1"/>
  <c r="AC450" i="1"/>
  <c r="AG450" i="1"/>
  <c r="V166" i="1"/>
  <c r="AI186" i="1"/>
  <c r="AF444" i="1" l="1"/>
  <c r="AF441" i="1" s="1"/>
  <c r="AF440" i="1" s="1"/>
  <c r="AF439" i="1" s="1"/>
  <c r="AF438" i="1" s="1"/>
  <c r="Z335" i="1" l="1"/>
  <c r="AF207" i="1"/>
  <c r="AF209" i="1"/>
  <c r="AF208" i="1"/>
  <c r="AF206" i="1"/>
  <c r="AF205" i="1" l="1"/>
  <c r="AF39" i="1" l="1"/>
  <c r="AF38" i="1" s="1"/>
  <c r="AF37" i="1" s="1"/>
  <c r="AF36" i="1" s="1"/>
  <c r="AF270" i="1"/>
  <c r="AF27" i="1"/>
  <c r="AH388" i="1"/>
  <c r="AF388" i="1"/>
  <c r="AA388" i="1"/>
  <c r="Z388" i="1"/>
  <c r="AI315" i="1"/>
  <c r="AF187" i="1"/>
  <c r="V55" i="1"/>
  <c r="AF142" i="1"/>
  <c r="AG142" i="1"/>
  <c r="AI125" i="1"/>
  <c r="AI128" i="1"/>
  <c r="AI127" i="1"/>
  <c r="AI126" i="1"/>
  <c r="AI120" i="1"/>
  <c r="AI119" i="1"/>
  <c r="AI118" i="1"/>
  <c r="AI115" i="1"/>
  <c r="AI111" i="1"/>
  <c r="AI69" i="1"/>
  <c r="AI22" i="1"/>
  <c r="AI16" i="1"/>
  <c r="AI14" i="1"/>
  <c r="AI13" i="1"/>
  <c r="AI12" i="1"/>
  <c r="AI314" i="1" l="1"/>
  <c r="AI313" i="1" s="1"/>
  <c r="AI15" i="1"/>
  <c r="AI123" i="1"/>
  <c r="AI122" i="1" s="1"/>
  <c r="AI121" i="1" s="1"/>
  <c r="AI11" i="1"/>
  <c r="AI10" i="1" s="1"/>
  <c r="AI117" i="1"/>
  <c r="AI116" i="1" s="1"/>
  <c r="AI114" i="1"/>
  <c r="AI113" i="1" s="1"/>
  <c r="AF235" i="1"/>
  <c r="AF234" i="1" s="1"/>
  <c r="AF233" i="1" s="1"/>
  <c r="AF232" i="1" s="1"/>
  <c r="AG132" i="1"/>
  <c r="AG131" i="1" s="1"/>
  <c r="AG130" i="1" s="1"/>
  <c r="AF132" i="1"/>
  <c r="AF131" i="1" s="1"/>
  <c r="AF130" i="1" s="1"/>
  <c r="V54" i="1"/>
  <c r="F66" i="5" l="1"/>
  <c r="AI112" i="1"/>
  <c r="F69" i="5"/>
  <c r="G68" i="5" s="1"/>
  <c r="H67" i="5" s="1"/>
  <c r="AB235" i="1"/>
  <c r="AB234" i="1" s="1"/>
  <c r="AB233" i="1" s="1"/>
  <c r="AB232" i="1" s="1"/>
  <c r="F64" i="5"/>
  <c r="G63" i="5" s="1"/>
  <c r="AI9" i="1"/>
  <c r="AI8" i="1" s="1"/>
  <c r="AH142" i="1"/>
  <c r="AH132" i="1" s="1"/>
  <c r="AH131" i="1" s="1"/>
  <c r="AH130" i="1" s="1"/>
  <c r="AJ149" i="1"/>
  <c r="V59" i="1"/>
  <c r="G65" i="5" l="1"/>
  <c r="H62" i="5" s="1"/>
  <c r="AI468" i="1"/>
  <c r="AI469" i="1"/>
  <c r="AI470" i="1"/>
  <c r="V133" i="1" l="1"/>
  <c r="AI216" i="1" l="1"/>
  <c r="AI217" i="1"/>
  <c r="AJ205" i="1"/>
  <c r="AK205" i="1"/>
  <c r="AI206" i="1"/>
  <c r="AI138" i="1"/>
  <c r="AI68" i="1"/>
  <c r="AI67" i="1" l="1"/>
  <c r="AI66" i="1" s="1"/>
  <c r="AI396" i="1"/>
  <c r="AI397" i="1"/>
  <c r="AI398" i="1"/>
  <c r="AI262" i="1" l="1"/>
  <c r="AI263" i="1"/>
  <c r="AI264" i="1"/>
  <c r="AI265" i="1"/>
  <c r="AI266" i="1"/>
  <c r="AI267" i="1"/>
  <c r="AI268" i="1"/>
  <c r="AI269" i="1"/>
  <c r="AJ429" i="1"/>
  <c r="AK429" i="1"/>
  <c r="AI431" i="1"/>
  <c r="AI432" i="1"/>
  <c r="AI433" i="1"/>
  <c r="AI434" i="1"/>
  <c r="AI435" i="1"/>
  <c r="AJ413" i="1"/>
  <c r="AK413" i="1"/>
  <c r="AI415" i="1"/>
  <c r="AI416" i="1"/>
  <c r="AI417" i="1"/>
  <c r="AI418" i="1"/>
  <c r="AJ403" i="1"/>
  <c r="AK403" i="1"/>
  <c r="AI405" i="1"/>
  <c r="AI406" i="1"/>
  <c r="AI407" i="1"/>
  <c r="AI408" i="1"/>
  <c r="AI409" i="1"/>
  <c r="AI410" i="1"/>
  <c r="AI411" i="1"/>
  <c r="AI412" i="1"/>
  <c r="AF29" i="1" l="1"/>
  <c r="AF30" i="1"/>
  <c r="AF33" i="1"/>
  <c r="AF28" i="1"/>
  <c r="AF25" i="1"/>
  <c r="AF24" i="1" l="1"/>
  <c r="AF20" i="1" s="1"/>
  <c r="AF19" i="1" s="1"/>
  <c r="AF18" i="1" s="1"/>
  <c r="AI134" i="1"/>
  <c r="AJ73" i="1"/>
  <c r="AJ60" i="1" s="1"/>
  <c r="AK73" i="1"/>
  <c r="AI79" i="1"/>
  <c r="AI395" i="1" l="1"/>
  <c r="AH340" i="1" l="1"/>
  <c r="AH335" i="1" s="1"/>
  <c r="W109" i="1"/>
  <c r="W108" i="1" s="1"/>
  <c r="W88" i="1" s="1"/>
  <c r="W87" i="1" s="1"/>
  <c r="AG441" i="1" l="1"/>
  <c r="AG440" i="1" s="1"/>
  <c r="AG439" i="1" s="1"/>
  <c r="AG438" i="1" s="1"/>
  <c r="AI144" i="1"/>
  <c r="V311" i="1" l="1"/>
  <c r="V306" i="1" l="1"/>
  <c r="V286" i="1" s="1"/>
  <c r="V278" i="1" s="1"/>
  <c r="AI247" i="1"/>
  <c r="AI245" i="1"/>
  <c r="AI244" i="1"/>
  <c r="AI255" i="1"/>
  <c r="AI256" i="1"/>
  <c r="AI257" i="1"/>
  <c r="AI253" i="1"/>
  <c r="AI254" i="1"/>
  <c r="AI275" i="1"/>
  <c r="AI259" i="1"/>
  <c r="AI260" i="1"/>
  <c r="AI261" i="1"/>
  <c r="AI274" i="1" l="1"/>
  <c r="AI273" i="1" s="1"/>
  <c r="AI272" i="1" s="1"/>
  <c r="AG149" i="1"/>
  <c r="AG148" i="1" s="1"/>
  <c r="AG147" i="1" s="1"/>
  <c r="AG146" i="1" s="1"/>
  <c r="F117" i="5"/>
  <c r="G116" i="5" s="1"/>
  <c r="H115" i="5" s="1"/>
  <c r="AF298" i="1" l="1"/>
  <c r="AF306" i="1"/>
  <c r="AF214" i="1"/>
  <c r="AF212" i="1"/>
  <c r="AF192" i="1"/>
  <c r="AF182" i="1"/>
  <c r="AF201" i="1" l="1"/>
  <c r="AF200" i="1" s="1"/>
  <c r="AF286" i="1"/>
  <c r="F17" i="5"/>
  <c r="F16" i="5"/>
  <c r="AI258" i="1"/>
  <c r="AJ235" i="1" l="1"/>
  <c r="AJ233" i="1" s="1"/>
  <c r="AF278" i="1"/>
  <c r="AF277" i="1" s="1"/>
  <c r="G15" i="5"/>
  <c r="H14" i="5" s="1"/>
  <c r="I13" i="5" s="1"/>
  <c r="AI246" i="1"/>
  <c r="AI221" i="1"/>
  <c r="AI219" i="1"/>
  <c r="AI215" i="1"/>
  <c r="AI204" i="1"/>
  <c r="AI136" i="1" l="1"/>
  <c r="AI23" i="1"/>
  <c r="AI479" i="1"/>
  <c r="AI478" i="1"/>
  <c r="AI477" i="1"/>
  <c r="AI476" i="1"/>
  <c r="AI467" i="1"/>
  <c r="AI466" i="1"/>
  <c r="AI465" i="1"/>
  <c r="AI464" i="1"/>
  <c r="AI461" i="1"/>
  <c r="V460" i="1"/>
  <c r="V459" i="1" s="1"/>
  <c r="V458" i="1" s="1"/>
  <c r="AI454" i="1"/>
  <c r="AI448" i="1"/>
  <c r="AI447" i="1"/>
  <c r="AI445" i="1"/>
  <c r="AI444" i="1"/>
  <c r="AI443" i="1"/>
  <c r="AI442" i="1"/>
  <c r="AI430" i="1"/>
  <c r="AI426" i="1"/>
  <c r="AI424" i="1"/>
  <c r="AI423" i="1"/>
  <c r="AI422" i="1"/>
  <c r="AI414" i="1"/>
  <c r="AI404" i="1"/>
  <c r="AI392" i="1"/>
  <c r="AI391" i="1"/>
  <c r="AI389" i="1"/>
  <c r="AG388" i="1"/>
  <c r="AE388" i="1"/>
  <c r="AD388" i="1"/>
  <c r="AC388" i="1"/>
  <c r="AB388" i="1"/>
  <c r="Y388" i="1"/>
  <c r="X388" i="1"/>
  <c r="W388" i="1"/>
  <c r="V388" i="1"/>
  <c r="AI386" i="1"/>
  <c r="AI385" i="1"/>
  <c r="AI384" i="1"/>
  <c r="AI383" i="1"/>
  <c r="AI382" i="1"/>
  <c r="AI381" i="1"/>
  <c r="AI380" i="1"/>
  <c r="AI379" i="1"/>
  <c r="AF377" i="1"/>
  <c r="AI376" i="1"/>
  <c r="AI375" i="1"/>
  <c r="AI374" i="1"/>
  <c r="AI373" i="1"/>
  <c r="AI372" i="1"/>
  <c r="AI371" i="1"/>
  <c r="AI370" i="1"/>
  <c r="AI369" i="1"/>
  <c r="AI368" i="1"/>
  <c r="AI367" i="1"/>
  <c r="AI366" i="1"/>
  <c r="AI365" i="1"/>
  <c r="AI364" i="1"/>
  <c r="AI363" i="1"/>
  <c r="AI362" i="1"/>
  <c r="AI361" i="1"/>
  <c r="AI360" i="1"/>
  <c r="AI359" i="1"/>
  <c r="AG358" i="1"/>
  <c r="AG334" i="1" s="1"/>
  <c r="AG333" i="1" s="1"/>
  <c r="AG332" i="1" s="1"/>
  <c r="AE358" i="1"/>
  <c r="AE334" i="1" s="1"/>
  <c r="AE333" i="1" s="1"/>
  <c r="AE332" i="1" s="1"/>
  <c r="AD358" i="1"/>
  <c r="AD334" i="1" s="1"/>
  <c r="AD333" i="1" s="1"/>
  <c r="AD332" i="1" s="1"/>
  <c r="AC358" i="1"/>
  <c r="AB358" i="1"/>
  <c r="AB334" i="1" s="1"/>
  <c r="AB333" i="1" s="1"/>
  <c r="AB332" i="1" s="1"/>
  <c r="AA358" i="1"/>
  <c r="Y358" i="1"/>
  <c r="X358" i="1"/>
  <c r="W358" i="1"/>
  <c r="V358" i="1"/>
  <c r="AI357" i="1"/>
  <c r="AI356" i="1"/>
  <c r="AI355" i="1"/>
  <c r="AI354" i="1"/>
  <c r="AI353" i="1"/>
  <c r="AI352" i="1"/>
  <c r="AI351" i="1"/>
  <c r="AI350" i="1"/>
  <c r="AI349" i="1"/>
  <c r="AI348" i="1"/>
  <c r="AI347" i="1"/>
  <c r="AI346" i="1"/>
  <c r="AI345" i="1"/>
  <c r="AI344" i="1"/>
  <c r="AI343" i="1"/>
  <c r="AI342" i="1"/>
  <c r="AI341" i="1"/>
  <c r="AI340" i="1"/>
  <c r="AI339" i="1"/>
  <c r="AI338" i="1"/>
  <c r="AF336" i="1"/>
  <c r="V335" i="1"/>
  <c r="AI322" i="1"/>
  <c r="V321" i="1"/>
  <c r="V320" i="1" s="1"/>
  <c r="V319" i="1" s="1"/>
  <c r="AI318" i="1"/>
  <c r="V317" i="1"/>
  <c r="V314" i="1"/>
  <c r="AI311" i="1"/>
  <c r="AI310" i="1"/>
  <c r="AI309" i="1"/>
  <c r="AI308" i="1"/>
  <c r="AI307" i="1"/>
  <c r="AH306" i="1"/>
  <c r="AG306" i="1"/>
  <c r="AE306" i="1"/>
  <c r="AD306" i="1"/>
  <c r="AC306" i="1"/>
  <c r="AB306" i="1"/>
  <c r="AA306" i="1"/>
  <c r="Z306" i="1"/>
  <c r="Y306" i="1"/>
  <c r="X306" i="1"/>
  <c r="W306" i="1"/>
  <c r="AI305" i="1"/>
  <c r="AI304" i="1"/>
  <c r="AI303" i="1"/>
  <c r="AI302" i="1"/>
  <c r="AI301" i="1"/>
  <c r="AI300" i="1"/>
  <c r="AI299" i="1"/>
  <c r="AH298" i="1"/>
  <c r="AG298" i="1"/>
  <c r="AE298" i="1"/>
  <c r="AD298" i="1"/>
  <c r="AC298" i="1"/>
  <c r="AB298" i="1"/>
  <c r="AA298" i="1"/>
  <c r="Z298" i="1"/>
  <c r="Y298" i="1"/>
  <c r="X298" i="1"/>
  <c r="W298" i="1"/>
  <c r="AI271" i="1"/>
  <c r="AI243" i="1"/>
  <c r="AI230" i="1"/>
  <c r="AI228" i="1"/>
  <c r="AI227" i="1"/>
  <c r="AI220" i="1"/>
  <c r="AI214" i="1"/>
  <c r="F101" i="5" s="1"/>
  <c r="AH214" i="1"/>
  <c r="AG214" i="1"/>
  <c r="AE214" i="1"/>
  <c r="AD214" i="1"/>
  <c r="AC214" i="1"/>
  <c r="AB214" i="1"/>
  <c r="AA214" i="1"/>
  <c r="Z214" i="1"/>
  <c r="Y214" i="1"/>
  <c r="X214" i="1"/>
  <c r="W214" i="1"/>
  <c r="AI213" i="1"/>
  <c r="AH212" i="1"/>
  <c r="AH201" i="1" s="1"/>
  <c r="AH200" i="1" s="1"/>
  <c r="AG212" i="1"/>
  <c r="AG201" i="1" s="1"/>
  <c r="AG200" i="1" s="1"/>
  <c r="AE212" i="1"/>
  <c r="AE201" i="1" s="1"/>
  <c r="AE200" i="1" s="1"/>
  <c r="AD212" i="1"/>
  <c r="AD201" i="1" s="1"/>
  <c r="AD200" i="1" s="1"/>
  <c r="AC212" i="1"/>
  <c r="AC201" i="1" s="1"/>
  <c r="AC200" i="1" s="1"/>
  <c r="AB212" i="1"/>
  <c r="AB201" i="1" s="1"/>
  <c r="AB200" i="1" s="1"/>
  <c r="AA212" i="1"/>
  <c r="AA201" i="1" s="1"/>
  <c r="AA200" i="1" s="1"/>
  <c r="Z212" i="1"/>
  <c r="Y212" i="1"/>
  <c r="X212" i="1"/>
  <c r="X201" i="1" s="1"/>
  <c r="X200" i="1" s="1"/>
  <c r="W212" i="1"/>
  <c r="W201" i="1" s="1"/>
  <c r="W200" i="1" s="1"/>
  <c r="V212" i="1"/>
  <c r="V201" i="1" s="1"/>
  <c r="V200" i="1" s="1"/>
  <c r="V165" i="1" s="1"/>
  <c r="AI211" i="1"/>
  <c r="AI210" i="1"/>
  <c r="AI207" i="1"/>
  <c r="AI209" i="1"/>
  <c r="AI203" i="1"/>
  <c r="AI199" i="1"/>
  <c r="AI198" i="1"/>
  <c r="AI195" i="1"/>
  <c r="AI194" i="1"/>
  <c r="AI193" i="1"/>
  <c r="AH192" i="1"/>
  <c r="AG192" i="1"/>
  <c r="AE192" i="1"/>
  <c r="AD192" i="1"/>
  <c r="AC192" i="1"/>
  <c r="AB192" i="1"/>
  <c r="AA192" i="1"/>
  <c r="Z192" i="1"/>
  <c r="Y192" i="1"/>
  <c r="X192" i="1"/>
  <c r="W192" i="1"/>
  <c r="AI191" i="1"/>
  <c r="AI190" i="1"/>
  <c r="AH189" i="1"/>
  <c r="AG189" i="1"/>
  <c r="AF189" i="1"/>
  <c r="AE189" i="1"/>
  <c r="AD189" i="1"/>
  <c r="AC189" i="1"/>
  <c r="AB189" i="1"/>
  <c r="AA189" i="1"/>
  <c r="Z189" i="1"/>
  <c r="Y189" i="1"/>
  <c r="X189" i="1"/>
  <c r="W189" i="1"/>
  <c r="AI188" i="1"/>
  <c r="AH187" i="1"/>
  <c r="AG187" i="1"/>
  <c r="AE187" i="1"/>
  <c r="AD187" i="1"/>
  <c r="AC187" i="1"/>
  <c r="AB187" i="1"/>
  <c r="AA187" i="1"/>
  <c r="Z187" i="1"/>
  <c r="Y187" i="1"/>
  <c r="X187" i="1"/>
  <c r="W187" i="1"/>
  <c r="AI185" i="1"/>
  <c r="F90" i="5" s="1"/>
  <c r="AH185" i="1"/>
  <c r="AG185" i="1"/>
  <c r="AF185" i="1"/>
  <c r="AE185" i="1"/>
  <c r="AD185" i="1"/>
  <c r="AC185" i="1"/>
  <c r="AB185" i="1"/>
  <c r="AA185" i="1"/>
  <c r="Z185" i="1"/>
  <c r="Y185" i="1"/>
  <c r="X185" i="1"/>
  <c r="W185" i="1"/>
  <c r="AI184" i="1"/>
  <c r="AI183" i="1"/>
  <c r="AH182" i="1"/>
  <c r="AG182" i="1"/>
  <c r="AE182" i="1"/>
  <c r="AD182" i="1"/>
  <c r="AC182" i="1"/>
  <c r="AB182" i="1"/>
  <c r="AA182" i="1"/>
  <c r="Z182" i="1"/>
  <c r="Y182" i="1"/>
  <c r="X182" i="1"/>
  <c r="W182" i="1"/>
  <c r="AI181" i="1"/>
  <c r="AH180" i="1"/>
  <c r="AG180" i="1"/>
  <c r="AF180" i="1"/>
  <c r="AE180" i="1"/>
  <c r="AD180" i="1"/>
  <c r="AC180" i="1"/>
  <c r="AB180" i="1"/>
  <c r="AA180" i="1"/>
  <c r="Z180" i="1"/>
  <c r="Y180" i="1"/>
  <c r="X180" i="1"/>
  <c r="W180" i="1"/>
  <c r="AI179" i="1"/>
  <c r="AI174" i="1"/>
  <c r="AI173" i="1"/>
  <c r="AI178" i="1"/>
  <c r="AI177" i="1"/>
  <c r="AI176" i="1"/>
  <c r="AI175" i="1"/>
  <c r="AI172" i="1"/>
  <c r="AI171" i="1"/>
  <c r="AI170" i="1"/>
  <c r="AI169" i="1"/>
  <c r="AI163" i="1"/>
  <c r="AI162" i="1"/>
  <c r="AI161" i="1"/>
  <c r="AI155" i="1"/>
  <c r="AI156" i="1"/>
  <c r="AI154" i="1"/>
  <c r="AI153" i="1"/>
  <c r="AI152" i="1"/>
  <c r="AI151" i="1"/>
  <c r="AI150" i="1"/>
  <c r="AI143" i="1"/>
  <c r="AE142" i="1"/>
  <c r="AE132" i="1" s="1"/>
  <c r="AE131" i="1" s="1"/>
  <c r="AE130" i="1" s="1"/>
  <c r="AD142" i="1"/>
  <c r="AD132" i="1" s="1"/>
  <c r="AD131" i="1" s="1"/>
  <c r="AD130" i="1" s="1"/>
  <c r="AC142" i="1"/>
  <c r="AC132" i="1" s="1"/>
  <c r="AC131" i="1" s="1"/>
  <c r="AC130" i="1" s="1"/>
  <c r="AB142" i="1"/>
  <c r="AB132" i="1" s="1"/>
  <c r="AB131" i="1" s="1"/>
  <c r="AB130" i="1" s="1"/>
  <c r="AA142" i="1"/>
  <c r="AA132" i="1" s="1"/>
  <c r="AA131" i="1" s="1"/>
  <c r="AA130" i="1" s="1"/>
  <c r="Z142" i="1"/>
  <c r="Z132" i="1" s="1"/>
  <c r="Z131" i="1" s="1"/>
  <c r="Z130" i="1" s="1"/>
  <c r="Y142" i="1"/>
  <c r="Y132" i="1" s="1"/>
  <c r="Y131" i="1" s="1"/>
  <c r="Y130" i="1" s="1"/>
  <c r="X142" i="1"/>
  <c r="X132" i="1" s="1"/>
  <c r="X131" i="1" s="1"/>
  <c r="X130" i="1" s="1"/>
  <c r="W142" i="1"/>
  <c r="W132" i="1" s="1"/>
  <c r="W131" i="1" s="1"/>
  <c r="W130" i="1" s="1"/>
  <c r="V142" i="1"/>
  <c r="V132" i="1" s="1"/>
  <c r="V131" i="1" s="1"/>
  <c r="V130" i="1" s="1"/>
  <c r="AI141" i="1"/>
  <c r="AI139" i="1"/>
  <c r="AI135" i="1"/>
  <c r="V114" i="1"/>
  <c r="V113" i="1" s="1"/>
  <c r="V112" i="1" s="1"/>
  <c r="AI110" i="1"/>
  <c r="AI107" i="1"/>
  <c r="AI105" i="1"/>
  <c r="AI104" i="1"/>
  <c r="AI103" i="1"/>
  <c r="AI102" i="1"/>
  <c r="AI101" i="1"/>
  <c r="AI98" i="1"/>
  <c r="AI95" i="1"/>
  <c r="AI91" i="1"/>
  <c r="AI85" i="1"/>
  <c r="AH84" i="1"/>
  <c r="AH81" i="1" s="1"/>
  <c r="AH80" i="1" s="1"/>
  <c r="AG84" i="1"/>
  <c r="AG81" i="1" s="1"/>
  <c r="AG80" i="1" s="1"/>
  <c r="AF84" i="1"/>
  <c r="AE84" i="1"/>
  <c r="AD84" i="1"/>
  <c r="AD81" i="1" s="1"/>
  <c r="AD80" i="1" s="1"/>
  <c r="AC84" i="1"/>
  <c r="AC81" i="1" s="1"/>
  <c r="AC80" i="1" s="1"/>
  <c r="AB84" i="1"/>
  <c r="AB81" i="1" s="1"/>
  <c r="AB80" i="1" s="1"/>
  <c r="AA84" i="1"/>
  <c r="AA81" i="1" s="1"/>
  <c r="AA80" i="1" s="1"/>
  <c r="Z84" i="1"/>
  <c r="Z81" i="1" s="1"/>
  <c r="Z80" i="1" s="1"/>
  <c r="Y84" i="1"/>
  <c r="Y81" i="1" s="1"/>
  <c r="Y80" i="1" s="1"/>
  <c r="X84" i="1"/>
  <c r="W84" i="1"/>
  <c r="W81" i="1" s="1"/>
  <c r="W80" i="1" s="1"/>
  <c r="V84" i="1"/>
  <c r="AI83" i="1"/>
  <c r="V82" i="1"/>
  <c r="AI78" i="1"/>
  <c r="AI77" i="1"/>
  <c r="AI76" i="1"/>
  <c r="AI75" i="1"/>
  <c r="AI74" i="1"/>
  <c r="AI72" i="1"/>
  <c r="V71" i="1"/>
  <c r="AI65" i="1"/>
  <c r="AI64" i="1"/>
  <c r="AI59" i="1"/>
  <c r="AH58" i="1"/>
  <c r="AH57" i="1" s="1"/>
  <c r="AG58" i="1"/>
  <c r="AG57" i="1" s="1"/>
  <c r="AF58" i="1"/>
  <c r="AE58" i="1"/>
  <c r="AD58" i="1"/>
  <c r="AD57" i="1" s="1"/>
  <c r="AC58" i="1"/>
  <c r="AC57" i="1" s="1"/>
  <c r="AB58" i="1"/>
  <c r="AB57" i="1" s="1"/>
  <c r="AA58" i="1"/>
  <c r="AA57" i="1" s="1"/>
  <c r="Z58" i="1"/>
  <c r="Z57" i="1" s="1"/>
  <c r="Y58" i="1"/>
  <c r="Y57" i="1" s="1"/>
  <c r="X58" i="1"/>
  <c r="W58" i="1"/>
  <c r="W57" i="1" s="1"/>
  <c r="V58" i="1"/>
  <c r="AI56" i="1"/>
  <c r="AI53" i="1"/>
  <c r="AH52" i="1"/>
  <c r="AH51" i="1" s="1"/>
  <c r="AG52" i="1"/>
  <c r="AG51" i="1" s="1"/>
  <c r="AF52" i="1"/>
  <c r="AE52" i="1"/>
  <c r="AD52" i="1"/>
  <c r="AD51" i="1" s="1"/>
  <c r="AC52" i="1"/>
  <c r="AC51" i="1" s="1"/>
  <c r="AB52" i="1"/>
  <c r="AB51" i="1" s="1"/>
  <c r="AA52" i="1"/>
  <c r="AA51" i="1" s="1"/>
  <c r="Z52" i="1"/>
  <c r="Z51" i="1" s="1"/>
  <c r="Y52" i="1"/>
  <c r="Y51" i="1" s="1"/>
  <c r="X52" i="1"/>
  <c r="W52" i="1"/>
  <c r="W51" i="1" s="1"/>
  <c r="V52" i="1"/>
  <c r="AI50" i="1"/>
  <c r="AH49" i="1"/>
  <c r="AH48" i="1" s="1"/>
  <c r="AG49" i="1"/>
  <c r="AG48" i="1" s="1"/>
  <c r="AF49" i="1"/>
  <c r="AE49" i="1"/>
  <c r="AD49" i="1"/>
  <c r="AD48" i="1" s="1"/>
  <c r="AC49" i="1"/>
  <c r="AC48" i="1" s="1"/>
  <c r="AB49" i="1"/>
  <c r="AB48" i="1" s="1"/>
  <c r="AA49" i="1"/>
  <c r="AA48" i="1" s="1"/>
  <c r="Z49" i="1"/>
  <c r="Z48" i="1" s="1"/>
  <c r="Y49" i="1"/>
  <c r="Y48" i="1" s="1"/>
  <c r="X49" i="1"/>
  <c r="W49" i="1"/>
  <c r="W48" i="1" s="1"/>
  <c r="V49" i="1"/>
  <c r="AI47" i="1"/>
  <c r="V46" i="1"/>
  <c r="V45" i="1" s="1"/>
  <c r="AI41" i="1"/>
  <c r="AI40" i="1"/>
  <c r="AI34" i="1"/>
  <c r="AI33" i="1"/>
  <c r="AI32" i="1"/>
  <c r="AI31" i="1"/>
  <c r="AI30" i="1"/>
  <c r="AI29" i="1"/>
  <c r="AI28" i="1"/>
  <c r="AI27" i="1"/>
  <c r="AI26" i="1"/>
  <c r="AI25" i="1"/>
  <c r="AF15" i="1"/>
  <c r="AF10" i="1" s="1"/>
  <c r="AF9" i="1" s="1"/>
  <c r="AF8" i="1" s="1"/>
  <c r="AH15" i="1"/>
  <c r="AH10" i="1" s="1"/>
  <c r="AH9" i="1" s="1"/>
  <c r="AH8" i="1" s="1"/>
  <c r="AG15" i="1"/>
  <c r="AG10" i="1" s="1"/>
  <c r="AG9" i="1" s="1"/>
  <c r="AG8" i="1" s="1"/>
  <c r="AE15" i="1"/>
  <c r="AE10" i="1" s="1"/>
  <c r="AE9" i="1" s="1"/>
  <c r="AE8" i="1" s="1"/>
  <c r="AD15" i="1"/>
  <c r="AD10" i="1" s="1"/>
  <c r="AD9" i="1" s="1"/>
  <c r="AD8" i="1" s="1"/>
  <c r="AC15" i="1"/>
  <c r="AC10" i="1" s="1"/>
  <c r="AC9" i="1" s="1"/>
  <c r="AC8" i="1" s="1"/>
  <c r="AB15" i="1"/>
  <c r="AB10" i="1" s="1"/>
  <c r="AB9" i="1" s="1"/>
  <c r="AB8" i="1" s="1"/>
  <c r="AA15" i="1"/>
  <c r="AA10" i="1" s="1"/>
  <c r="AA9" i="1" s="1"/>
  <c r="AA8" i="1" s="1"/>
  <c r="Z15" i="1"/>
  <c r="Z10" i="1" s="1"/>
  <c r="Z9" i="1" s="1"/>
  <c r="Z8" i="1" s="1"/>
  <c r="Y15" i="1"/>
  <c r="Y10" i="1" s="1"/>
  <c r="Y9" i="1" s="1"/>
  <c r="Y8" i="1" s="1"/>
  <c r="X15" i="1"/>
  <c r="X10" i="1" s="1"/>
  <c r="X9" i="1" s="1"/>
  <c r="X8" i="1" s="1"/>
  <c r="W15" i="1"/>
  <c r="W10" i="1" s="1"/>
  <c r="W9" i="1" s="1"/>
  <c r="W8" i="1" s="1"/>
  <c r="V15" i="1"/>
  <c r="V10" i="1" s="1"/>
  <c r="V9" i="1" s="1"/>
  <c r="X57" i="1" l="1"/>
  <c r="X48" i="1"/>
  <c r="X81" i="1"/>
  <c r="X80" i="1" s="1"/>
  <c r="X51" i="1"/>
  <c r="AI142" i="1"/>
  <c r="F75" i="5" s="1"/>
  <c r="AI212" i="1"/>
  <c r="F100" i="5" s="1"/>
  <c r="AI270" i="1"/>
  <c r="AI21" i="1"/>
  <c r="AI55" i="1"/>
  <c r="AI58" i="1"/>
  <c r="AI46" i="1"/>
  <c r="AI45" i="1" s="1"/>
  <c r="AI49" i="1"/>
  <c r="AI48" i="1" s="1"/>
  <c r="AI52" i="1"/>
  <c r="AI51" i="1" s="1"/>
  <c r="AI84" i="1"/>
  <c r="F47" i="5" s="1"/>
  <c r="AI90" i="1"/>
  <c r="AI109" i="1"/>
  <c r="AI108" i="1" s="1"/>
  <c r="AI180" i="1"/>
  <c r="F88" i="5" s="1"/>
  <c r="AI187" i="1"/>
  <c r="F91" i="5" s="1"/>
  <c r="AI453" i="1"/>
  <c r="AI452" i="1" s="1"/>
  <c r="AI460" i="1"/>
  <c r="AI459" i="1" s="1"/>
  <c r="AI306" i="1"/>
  <c r="F128" i="5" s="1"/>
  <c r="AC334" i="1"/>
  <c r="AC333" i="1" s="1"/>
  <c r="AC332" i="1" s="1"/>
  <c r="AI321" i="1"/>
  <c r="AI320" i="1" s="1"/>
  <c r="AI319" i="1" s="1"/>
  <c r="Y334" i="1"/>
  <c r="Y333" i="1" s="1"/>
  <c r="Y332" i="1" s="1"/>
  <c r="AI421" i="1"/>
  <c r="F153" i="5" s="1"/>
  <c r="W286" i="1"/>
  <c r="AE286" i="1"/>
  <c r="X286" i="1"/>
  <c r="AG286" i="1"/>
  <c r="W334" i="1"/>
  <c r="W333" i="1" s="1"/>
  <c r="W332" i="1" s="1"/>
  <c r="AC167" i="1"/>
  <c r="AC166" i="1" s="1"/>
  <c r="AC165" i="1" s="1"/>
  <c r="AI226" i="1"/>
  <c r="AH286" i="1"/>
  <c r="AD167" i="1"/>
  <c r="AD166" i="1" s="1"/>
  <c r="AD165" i="1" s="1"/>
  <c r="AH167" i="1"/>
  <c r="AH166" i="1" s="1"/>
  <c r="AH165" i="1" s="1"/>
  <c r="AF335" i="1"/>
  <c r="X334" i="1"/>
  <c r="X333" i="1" s="1"/>
  <c r="X332" i="1" s="1"/>
  <c r="AI100" i="1"/>
  <c r="F58" i="5" s="1"/>
  <c r="AB167" i="1"/>
  <c r="AB166" i="1" s="1"/>
  <c r="AB165" i="1" s="1"/>
  <c r="V334" i="1"/>
  <c r="V333" i="1" s="1"/>
  <c r="V332" i="1" s="1"/>
  <c r="AI441" i="1"/>
  <c r="F164" i="5" s="1"/>
  <c r="AI446" i="1"/>
  <c r="F165" i="5" s="1"/>
  <c r="AE48" i="1"/>
  <c r="AE167" i="1"/>
  <c r="AE166" i="1" s="1"/>
  <c r="AE165" i="1" s="1"/>
  <c r="AI197" i="1"/>
  <c r="AI196" i="1" s="1"/>
  <c r="AI317" i="1"/>
  <c r="AI316" i="1" s="1"/>
  <c r="AI312" i="1" s="1"/>
  <c r="AF167" i="1"/>
  <c r="AF166" i="1" s="1"/>
  <c r="AF165" i="1" s="1"/>
  <c r="AI229" i="1"/>
  <c r="F108" i="5" s="1"/>
  <c r="AE51" i="1"/>
  <c r="AG167" i="1"/>
  <c r="AG166" i="1" s="1"/>
  <c r="AG165" i="1" s="1"/>
  <c r="AI202" i="1"/>
  <c r="AI403" i="1"/>
  <c r="AF48" i="1"/>
  <c r="AF51" i="1"/>
  <c r="Y286" i="1"/>
  <c r="AI413" i="1"/>
  <c r="F150" i="5" s="1"/>
  <c r="W167" i="1"/>
  <c r="W166" i="1" s="1"/>
  <c r="W165" i="1" s="1"/>
  <c r="Z286" i="1"/>
  <c r="F35" i="5"/>
  <c r="AI57" i="1"/>
  <c r="F29" i="5"/>
  <c r="AE57" i="1"/>
  <c r="AE55" i="1" s="1"/>
  <c r="AE54" i="1" s="1"/>
  <c r="AI168" i="1"/>
  <c r="F87" i="5" s="1"/>
  <c r="X167" i="1"/>
  <c r="X166" i="1" s="1"/>
  <c r="X165" i="1" s="1"/>
  <c r="AA286" i="1"/>
  <c r="AA334" i="1"/>
  <c r="AA333" i="1" s="1"/>
  <c r="AA332" i="1" s="1"/>
  <c r="AI97" i="1"/>
  <c r="AI96" i="1" s="1"/>
  <c r="Z201" i="1"/>
  <c r="Z200" i="1" s="1"/>
  <c r="F31" i="5"/>
  <c r="AF57" i="1"/>
  <c r="Y167" i="1"/>
  <c r="Y166" i="1" s="1"/>
  <c r="AB286" i="1"/>
  <c r="V313" i="1"/>
  <c r="F33" i="5"/>
  <c r="AI54" i="1"/>
  <c r="Z167" i="1"/>
  <c r="Z166" i="1" s="1"/>
  <c r="AC286" i="1"/>
  <c r="AI425" i="1"/>
  <c r="AI420" i="1" s="1"/>
  <c r="AI419" i="1" s="1"/>
  <c r="Y201" i="1"/>
  <c r="Y200" i="1" s="1"/>
  <c r="AI94" i="1"/>
  <c r="F54" i="5" s="1"/>
  <c r="AI106" i="1"/>
  <c r="F59" i="5" s="1"/>
  <c r="AA167" i="1"/>
  <c r="AA166" i="1" s="1"/>
  <c r="AA165" i="1" s="1"/>
  <c r="AD286" i="1"/>
  <c r="V316" i="1"/>
  <c r="AI429" i="1"/>
  <c r="AI428" i="1" s="1"/>
  <c r="AI427" i="1" s="1"/>
  <c r="AI463" i="1"/>
  <c r="AI462" i="1" s="1"/>
  <c r="AI458" i="1" s="1"/>
  <c r="AI218" i="1"/>
  <c r="F102" i="5" s="1"/>
  <c r="V57" i="1"/>
  <c r="AE81" i="1"/>
  <c r="AE80" i="1" s="1"/>
  <c r="V48" i="1"/>
  <c r="AI73" i="1"/>
  <c r="F43" i="5" s="1"/>
  <c r="V81" i="1"/>
  <c r="V80" i="1" s="1"/>
  <c r="AI24" i="1"/>
  <c r="AI39" i="1"/>
  <c r="AI38" i="1" s="1"/>
  <c r="V51" i="1"/>
  <c r="AI71" i="1"/>
  <c r="AF81" i="1"/>
  <c r="AF80" i="1" s="1"/>
  <c r="V70" i="1"/>
  <c r="V60" i="1" s="1"/>
  <c r="AI82" i="1"/>
  <c r="F11" i="5"/>
  <c r="F10" i="5"/>
  <c r="F126" i="5"/>
  <c r="AI298" i="1"/>
  <c r="F52" i="5"/>
  <c r="F131" i="5"/>
  <c r="G130" i="5" s="1"/>
  <c r="F175" i="5"/>
  <c r="F170" i="5"/>
  <c r="AI377" i="1"/>
  <c r="AF358" i="1"/>
  <c r="V438" i="1"/>
  <c r="X87" i="1"/>
  <c r="AF87" i="1"/>
  <c r="AC87" i="1"/>
  <c r="AI242" i="1"/>
  <c r="V18" i="1"/>
  <c r="V87" i="1"/>
  <c r="AD87" i="1"/>
  <c r="AI393" i="1"/>
  <c r="AI182" i="1"/>
  <c r="F89" i="5" s="1"/>
  <c r="AI192" i="1"/>
  <c r="F93" i="5" s="1"/>
  <c r="V223" i="1"/>
  <c r="AE480" i="1"/>
  <c r="AI189" i="1"/>
  <c r="F92" i="5" s="1"/>
  <c r="AB87" i="1"/>
  <c r="AI337" i="1"/>
  <c r="Y55" i="1"/>
  <c r="Y54" i="1" s="1"/>
  <c r="Y44" i="1" s="1"/>
  <c r="Y43" i="1" s="1"/>
  <c r="AG55" i="1"/>
  <c r="AG54" i="1" s="1"/>
  <c r="AG44" i="1" s="1"/>
  <c r="AG43" i="1" s="1"/>
  <c r="Z358" i="1"/>
  <c r="AA55" i="1"/>
  <c r="AA54" i="1" s="1"/>
  <c r="AA44" i="1" s="1"/>
  <c r="AA43" i="1" s="1"/>
  <c r="AB55" i="1"/>
  <c r="AB54" i="1" s="1"/>
  <c r="AB44" i="1" s="1"/>
  <c r="AB43" i="1" s="1"/>
  <c r="AF55" i="1"/>
  <c r="AF54" i="1" s="1"/>
  <c r="AI475" i="1"/>
  <c r="AI93" i="1"/>
  <c r="AI241" i="1"/>
  <c r="Z87" i="1"/>
  <c r="AH87" i="1"/>
  <c r="F124" i="5"/>
  <c r="G123" i="5" s="1"/>
  <c r="AI457" i="1"/>
  <c r="AA87" i="1"/>
  <c r="Z55" i="1"/>
  <c r="Z54" i="1" s="1"/>
  <c r="Z44" i="1" s="1"/>
  <c r="Z43" i="1" s="1"/>
  <c r="AH55" i="1"/>
  <c r="AH54" i="1" s="1"/>
  <c r="AH44" i="1" s="1"/>
  <c r="AH43" i="1" s="1"/>
  <c r="Y87" i="1"/>
  <c r="AG87" i="1"/>
  <c r="AI157" i="1"/>
  <c r="AI160" i="1"/>
  <c r="V232" i="1"/>
  <c r="AI387" i="1"/>
  <c r="AI63" i="1"/>
  <c r="V8" i="1"/>
  <c r="AC55" i="1"/>
  <c r="AC54" i="1" s="1"/>
  <c r="AC44" i="1" s="1"/>
  <c r="AC43" i="1" s="1"/>
  <c r="AD55" i="1"/>
  <c r="AD54" i="1" s="1"/>
  <c r="AD44" i="1" s="1"/>
  <c r="AD43" i="1" s="1"/>
  <c r="X55" i="1"/>
  <c r="AH358" i="1"/>
  <c r="AH334" i="1" s="1"/>
  <c r="AH333" i="1" s="1"/>
  <c r="AH332" i="1" s="1"/>
  <c r="AI390" i="1"/>
  <c r="AH480" i="1"/>
  <c r="W55" i="1"/>
  <c r="W54" i="1" s="1"/>
  <c r="W44" i="1" s="1"/>
  <c r="W43" i="1" s="1"/>
  <c r="F61" i="5"/>
  <c r="AI140" i="1"/>
  <c r="AI133" i="1" s="1"/>
  <c r="AI132" i="1" s="1"/>
  <c r="AE87" i="1"/>
  <c r="F114" i="5"/>
  <c r="AI378" i="1"/>
  <c r="AI394" i="1"/>
  <c r="AI208" i="1"/>
  <c r="AI336" i="1"/>
  <c r="X54" i="1" l="1"/>
  <c r="X44" i="1" s="1"/>
  <c r="X43" i="1" s="1"/>
  <c r="F27" i="5"/>
  <c r="G26" i="5" s="1"/>
  <c r="AI81" i="1"/>
  <c r="AI80" i="1" s="1"/>
  <c r="AI20" i="1"/>
  <c r="AI19" i="1" s="1"/>
  <c r="AI18" i="1" s="1"/>
  <c r="AI62" i="1"/>
  <c r="AI61" i="1" s="1"/>
  <c r="AI92" i="1"/>
  <c r="F53" i="5" s="1"/>
  <c r="G28" i="5"/>
  <c r="G34" i="5"/>
  <c r="G169" i="5"/>
  <c r="G60" i="5"/>
  <c r="G174" i="5"/>
  <c r="G32" i="5"/>
  <c r="G30" i="5"/>
  <c r="F136" i="5"/>
  <c r="G135" i="5" s="1"/>
  <c r="H134" i="5" s="1"/>
  <c r="AH278" i="1"/>
  <c r="AH277" i="1" s="1"/>
  <c r="AH436" i="1" s="1"/>
  <c r="AG278" i="1"/>
  <c r="AG277" i="1" s="1"/>
  <c r="AG436" i="1" s="1"/>
  <c r="AC278" i="1"/>
  <c r="AC277" i="1" s="1"/>
  <c r="AC436" i="1" s="1"/>
  <c r="X278" i="1"/>
  <c r="X277" i="1" s="1"/>
  <c r="X436" i="1" s="1"/>
  <c r="Z278" i="1"/>
  <c r="Z277" i="1" s="1"/>
  <c r="AE278" i="1"/>
  <c r="AE277" i="1" s="1"/>
  <c r="W278" i="1"/>
  <c r="W277" i="1" s="1"/>
  <c r="W436" i="1" s="1"/>
  <c r="AA278" i="1"/>
  <c r="AA277" i="1" s="1"/>
  <c r="AA436" i="1" s="1"/>
  <c r="Y278" i="1"/>
  <c r="Y277" i="1" s="1"/>
  <c r="Y436" i="1" s="1"/>
  <c r="AD278" i="1"/>
  <c r="AD277" i="1" s="1"/>
  <c r="AD436" i="1" s="1"/>
  <c r="AB278" i="1"/>
  <c r="AB277" i="1" s="1"/>
  <c r="AB436" i="1" s="1"/>
  <c r="F95" i="5"/>
  <c r="G94" i="5" s="1"/>
  <c r="AI335" i="1"/>
  <c r="F142" i="5" s="1"/>
  <c r="F56" i="5"/>
  <c r="G55" i="5" s="1"/>
  <c r="G86" i="5"/>
  <c r="G9" i="5"/>
  <c r="H8" i="5" s="1"/>
  <c r="I7" i="5" s="1"/>
  <c r="AI44" i="1"/>
  <c r="AI402" i="1"/>
  <c r="AI401" i="1" s="1"/>
  <c r="V44" i="1"/>
  <c r="V43" i="1" s="1"/>
  <c r="AI440" i="1"/>
  <c r="AI439" i="1" s="1"/>
  <c r="AI438" i="1" s="1"/>
  <c r="F46" i="5"/>
  <c r="G45" i="5" s="1"/>
  <c r="H44" i="5" s="1"/>
  <c r="Z165" i="1"/>
  <c r="V312" i="1"/>
  <c r="V277" i="1" s="1"/>
  <c r="AI131" i="1"/>
  <c r="AI130" i="1" s="1"/>
  <c r="AI37" i="1"/>
  <c r="AI36" i="1" s="1"/>
  <c r="AI167" i="1"/>
  <c r="AI166" i="1" s="1"/>
  <c r="AI225" i="1"/>
  <c r="AI224" i="1" s="1"/>
  <c r="AI223" i="1" s="1"/>
  <c r="F154" i="5"/>
  <c r="AI99" i="1"/>
  <c r="AI474" i="1"/>
  <c r="AI473" i="1" s="1"/>
  <c r="AI472" i="1" s="1"/>
  <c r="G163" i="5"/>
  <c r="F149" i="5"/>
  <c r="AI235" i="1"/>
  <c r="AI234" i="1" s="1"/>
  <c r="F127" i="5"/>
  <c r="G125" i="5" s="1"/>
  <c r="AI286" i="1"/>
  <c r="F98" i="5"/>
  <c r="F133" i="5"/>
  <c r="G57" i="5"/>
  <c r="AF334" i="1"/>
  <c r="AF333" i="1" s="1"/>
  <c r="AF332" i="1" s="1"/>
  <c r="AF44" i="1"/>
  <c r="AF43" i="1" s="1"/>
  <c r="AI456" i="1"/>
  <c r="AI455" i="1" s="1"/>
  <c r="AI451" i="1" s="1"/>
  <c r="AI450" i="1" s="1"/>
  <c r="Z334" i="1"/>
  <c r="Z333" i="1" s="1"/>
  <c r="Z332" i="1" s="1"/>
  <c r="Z436" i="1" s="1"/>
  <c r="AI70" i="1"/>
  <c r="AI60" i="1" s="1"/>
  <c r="F157" i="5"/>
  <c r="Y165" i="1"/>
  <c r="AE44" i="1"/>
  <c r="AE43" i="1" s="1"/>
  <c r="AI159" i="1"/>
  <c r="AI158" i="1" s="1"/>
  <c r="F177" i="5"/>
  <c r="F42" i="5"/>
  <c r="AI149" i="1"/>
  <c r="AI148" i="1" s="1"/>
  <c r="AG480" i="1"/>
  <c r="AD480" i="1"/>
  <c r="V450" i="1"/>
  <c r="V480" i="1" s="1"/>
  <c r="W480" i="1"/>
  <c r="F122" i="5"/>
  <c r="F74" i="5"/>
  <c r="G73" i="5" s="1"/>
  <c r="H72" i="5" s="1"/>
  <c r="I71" i="5" s="1"/>
  <c r="Y480" i="1"/>
  <c r="AF480" i="1"/>
  <c r="X480" i="1"/>
  <c r="F107" i="5"/>
  <c r="F40" i="5"/>
  <c r="AC480" i="1"/>
  <c r="AA480" i="1"/>
  <c r="Z480" i="1"/>
  <c r="F22" i="5"/>
  <c r="G21" i="5" s="1"/>
  <c r="H20" i="5" s="1"/>
  <c r="AB480" i="1"/>
  <c r="V400" i="1"/>
  <c r="V436" i="1" s="1"/>
  <c r="AI205" i="1"/>
  <c r="AI201" i="1" s="1"/>
  <c r="AI200" i="1" s="1"/>
  <c r="AI388" i="1"/>
  <c r="F144" i="5" s="1"/>
  <c r="AI358" i="1"/>
  <c r="AF436" i="1" l="1"/>
  <c r="AE436" i="1"/>
  <c r="F38" i="5"/>
  <c r="AI89" i="1"/>
  <c r="H25" i="5"/>
  <c r="AI400" i="1"/>
  <c r="G39" i="5"/>
  <c r="G176" i="5"/>
  <c r="H173" i="5" s="1"/>
  <c r="G156" i="5"/>
  <c r="H155" i="5" s="1"/>
  <c r="G148" i="5"/>
  <c r="H147" i="5" s="1"/>
  <c r="G51" i="5"/>
  <c r="H50" i="5" s="1"/>
  <c r="I49" i="5" s="1"/>
  <c r="G37" i="5"/>
  <c r="G41" i="5"/>
  <c r="G132" i="5"/>
  <c r="H129" i="5" s="1"/>
  <c r="G152" i="5"/>
  <c r="H151" i="5" s="1"/>
  <c r="AI88" i="1"/>
  <c r="AI87" i="1" s="1"/>
  <c r="AI278" i="1"/>
  <c r="AI277" i="1" s="1"/>
  <c r="AI43" i="1"/>
  <c r="H85" i="5"/>
  <c r="AI147" i="1"/>
  <c r="AI146" i="1" s="1"/>
  <c r="AI334" i="1"/>
  <c r="AI333" i="1" s="1"/>
  <c r="AI332" i="1" s="1"/>
  <c r="F182" i="5"/>
  <c r="AI233" i="1"/>
  <c r="AI232" i="1" s="1"/>
  <c r="AI165" i="1"/>
  <c r="F80" i="5"/>
  <c r="H162" i="5"/>
  <c r="I161" i="5" s="1"/>
  <c r="G106" i="5"/>
  <c r="H105" i="5" s="1"/>
  <c r="I104" i="5" s="1"/>
  <c r="G121" i="5"/>
  <c r="H120" i="5" s="1"/>
  <c r="F82" i="5"/>
  <c r="F113" i="5"/>
  <c r="F172" i="5"/>
  <c r="F143" i="5"/>
  <c r="G141" i="5" s="1"/>
  <c r="H140" i="5" s="1"/>
  <c r="F99" i="5"/>
  <c r="I19" i="5"/>
  <c r="H36" i="5" l="1"/>
  <c r="I24" i="5" s="1"/>
  <c r="I146" i="5"/>
  <c r="AK436" i="1"/>
  <c r="G112" i="5"/>
  <c r="H111" i="5" s="1"/>
  <c r="I110" i="5" s="1"/>
  <c r="G79" i="5"/>
  <c r="G97" i="5"/>
  <c r="H96" i="5" s="1"/>
  <c r="I84" i="5" s="1"/>
  <c r="G171" i="5"/>
  <c r="H168" i="5" s="1"/>
  <c r="I167" i="5" s="1"/>
  <c r="G81" i="5"/>
  <c r="I119" i="5"/>
  <c r="F184" i="5"/>
  <c r="AI436" i="1"/>
  <c r="G181" i="5"/>
  <c r="I139" i="5"/>
  <c r="AI480" i="1"/>
  <c r="F159" i="5"/>
  <c r="AG482" i="1"/>
  <c r="AD482" i="1"/>
  <c r="AC482" i="1"/>
  <c r="AB482" i="1"/>
  <c r="AE482" i="1"/>
  <c r="AH482" i="1"/>
  <c r="W482" i="1"/>
  <c r="X482" i="1"/>
  <c r="Z482" i="1"/>
  <c r="AA482" i="1"/>
  <c r="V482" i="1"/>
  <c r="Y482" i="1"/>
  <c r="G159" i="5" l="1"/>
  <c r="H78" i="5"/>
  <c r="I77" i="5" s="1"/>
  <c r="I159" i="5" s="1"/>
  <c r="F186" i="5"/>
  <c r="H180" i="5"/>
  <c r="G184" i="5"/>
  <c r="AF482" i="1"/>
  <c r="AI482" i="1"/>
  <c r="H159" i="5" l="1"/>
  <c r="G186" i="5"/>
  <c r="H184" i="5"/>
  <c r="I179" i="5"/>
  <c r="I184" i="5" s="1"/>
  <c r="I186" i="5" s="1"/>
  <c r="H186" i="5" l="1"/>
</calcChain>
</file>

<file path=xl/sharedStrings.xml><?xml version="1.0" encoding="utf-8"?>
<sst xmlns="http://schemas.openxmlformats.org/spreadsheetml/2006/main" count="3366" uniqueCount="1436">
  <si>
    <t xml:space="preserve"> </t>
  </si>
  <si>
    <t xml:space="preserve">CODIGO:  </t>
  </si>
  <si>
    <t>PLAN OPERATIVO ANUAL DE INVERSIÓN POAI 2021 - PLAN DE DESARROLLO 2020-2023 "TÚ Y YO SOMOS QUINDIO "</t>
  </si>
  <si>
    <t xml:space="preserve">VERSIÓN: </t>
  </si>
  <si>
    <t xml:space="preserve">FECHA: </t>
  </si>
  <si>
    <t>PÁGINA:</t>
  </si>
  <si>
    <t>UNIDAD EJECUTORA</t>
  </si>
  <si>
    <t>LÍNEA ESTRATÉGICA</t>
  </si>
  <si>
    <t>SECTOR</t>
  </si>
  <si>
    <t>PROGRAMA</t>
  </si>
  <si>
    <t>INDICADOR DE RESULTADO Y/O BIENESTAR</t>
  </si>
  <si>
    <t>PRODUCTO</t>
  </si>
  <si>
    <t>INDICADOR PRODUCTO</t>
  </si>
  <si>
    <t>TIPO DE META I/M/R</t>
  </si>
  <si>
    <t>META PROGRAMADA  VIGENCIA
2021</t>
  </si>
  <si>
    <t>PROYECTO</t>
  </si>
  <si>
    <t>FUENTES DE FINANCIACION</t>
  </si>
  <si>
    <t>TOTAL RECURSOS</t>
  </si>
  <si>
    <t>DEPENDENCIA</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</si>
  <si>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</si>
  <si>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</si>
  <si>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</si>
  <si>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</si>
  <si>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</si>
  <si>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</si>
  <si>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</si>
  <si>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</si>
  <si>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</si>
  <si>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</si>
  <si>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</si>
  <si>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</si>
  <si>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</si>
  <si>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ESTAMPILLAS 
PRO - CULTURA
PRO - ADULTO MAYOR
PRO - DESARROLLO
 </t>
  </si>
  <si>
    <t xml:space="preserve">CONTRIBUCION ESPECIAL
(FONDO DE SEGURIDAD 5%) 
 </t>
  </si>
  <si>
    <t xml:space="preserve">SOBRETASA AL ACPM  
</t>
  </si>
  <si>
    <t xml:space="preserve">MONOPOLIO EDUCACIÓN Y SALUD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</si>
  <si>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</si>
  <si>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</si>
  <si>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</si>
  <si>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</si>
  <si>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</si>
  <si>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</si>
  <si>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</si>
  <si>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</si>
  <si>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</si>
  <si>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 xml:space="preserve">304 -SECRETARÍA ADMINISTRATIVA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</si>
  <si>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</si>
  <si>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</si>
  <si>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</si>
  <si>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</si>
  <si>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</si>
  <si>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</si>
  <si>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</si>
  <si>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</si>
  <si>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</si>
  <si>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M</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</si>
  <si>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</si>
  <si>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</si>
  <si>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</si>
  <si>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Secretaria Administrativa</t>
  </si>
  <si>
    <t xml:space="preserve">  John Harold Valencia Rodríguez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</si>
  <si>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</si>
  <si>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</si>
  <si>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</si>
  <si>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</si>
  <si>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</si>
  <si>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</si>
  <si>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 John Harold Valencia Rodríguez </t>
  </si>
  <si>
    <t xml:space="preserve">Proceso de modernización administrativa, incluido en  estudio de la viabilidad de creación de la Oficina de la Felicidad. </t>
  </si>
  <si>
    <t>Proceso de modernización administrativa implementada</t>
  </si>
  <si>
    <t xml:space="preserve">Metodologías aplicadas </t>
  </si>
  <si>
    <t>I</t>
  </si>
  <si>
    <t>202000363-0041</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</si>
  <si>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</si>
  <si>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</si>
  <si>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</si>
  <si>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</si>
  <si>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</si>
  <si>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</si>
  <si>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</si>
  <si>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</si>
  <si>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</si>
  <si>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</si>
  <si>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</si>
  <si>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</si>
  <si>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</si>
  <si>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</si>
  <si>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</si>
  <si>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</si>
  <si>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</si>
  <si>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</si>
  <si>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</si>
  <si>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Secretaría de Planeación </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</si>
  <si>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</si>
  <si>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</si>
  <si>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</si>
  <si>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</si>
  <si>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</si>
  <si>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</si>
  <si>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</si>
  <si>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</si>
  <si>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</si>
  <si>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</si>
  <si>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</si>
  <si>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</si>
  <si>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</si>
  <si>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</si>
  <si>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</si>
  <si>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</si>
  <si>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</si>
  <si>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</si>
  <si>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</si>
  <si>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</si>
  <si>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</si>
  <si>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</si>
  <si>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</si>
  <si>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</si>
  <si>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</si>
  <si>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</si>
  <si>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</si>
  <si>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</si>
  <si>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</si>
  <si>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</si>
  <si>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</si>
  <si>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</si>
  <si>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</si>
  <si>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</si>
  <si>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</si>
  <si>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</si>
  <si>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</si>
  <si>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</si>
  <si>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</si>
  <si>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</si>
  <si>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</si>
  <si>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</si>
  <si>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</si>
  <si>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307 SECRETARÍA DE HACIENDA</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</si>
  <si>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</si>
  <si>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</si>
  <si>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</si>
  <si>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</si>
  <si>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</si>
  <si>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</si>
  <si>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</si>
  <si>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Secretaría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</si>
  <si>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</si>
  <si>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</si>
  <si>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</si>
  <si>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</si>
  <si>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</si>
  <si>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</si>
  <si>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</si>
  <si>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</si>
  <si>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</si>
  <si>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</si>
  <si>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</si>
  <si>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</si>
  <si>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</si>
  <si>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</si>
  <si>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</si>
  <si>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</si>
  <si>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</si>
  <si>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</si>
  <si>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 xml:space="preserve">Secretaria de Aguas e Infraestructura </t>
  </si>
  <si>
    <t>Salud y protección social</t>
  </si>
  <si>
    <t>Aseguramiento y Prestación integral de servicios de salud "Tú y yo con servicios de salud"</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</si>
  <si>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</si>
  <si>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</si>
  <si>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</si>
  <si>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</si>
  <si>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</si>
  <si>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</si>
  <si>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</si>
  <si>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</si>
  <si>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</si>
  <si>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</si>
  <si>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</si>
  <si>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</si>
  <si>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</si>
  <si>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</si>
  <si>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</si>
  <si>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</si>
  <si>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</si>
  <si>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</si>
  <si>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</si>
  <si>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</si>
  <si>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</si>
  <si>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</si>
  <si>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</si>
  <si>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</si>
  <si>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</si>
  <si>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</si>
  <si>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</si>
  <si>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</si>
  <si>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</si>
  <si>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</si>
  <si>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</si>
  <si>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</si>
  <si>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</si>
  <si>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</si>
  <si>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</si>
  <si>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</si>
  <si>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</si>
  <si>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</si>
  <si>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</si>
  <si>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</si>
  <si>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</si>
  <si>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</si>
  <si>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</si>
  <si>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</si>
  <si>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</si>
  <si>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</si>
  <si>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</si>
  <si>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</si>
  <si>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</si>
  <si>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</si>
  <si>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</si>
  <si>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</si>
  <si>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</si>
  <si>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</si>
  <si>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</si>
  <si>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</si>
  <si>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</si>
  <si>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</si>
  <si>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</si>
  <si>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</si>
  <si>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</si>
  <si>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</si>
  <si>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</si>
  <si>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</si>
  <si>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</si>
  <si>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</si>
  <si>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</si>
  <si>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</si>
  <si>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</si>
  <si>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</si>
  <si>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</si>
  <si>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</si>
  <si>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</si>
  <si>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</si>
  <si>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</si>
  <si>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</si>
  <si>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</si>
  <si>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</si>
  <si>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</si>
  <si>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</si>
  <si>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</si>
  <si>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</si>
  <si>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</si>
  <si>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</si>
  <si>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</si>
  <si>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</si>
  <si>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</si>
  <si>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</si>
  <si>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</si>
  <si>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</si>
  <si>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</si>
  <si>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</si>
  <si>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</si>
  <si>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</si>
  <si>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</si>
  <si>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</si>
  <si>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</si>
  <si>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</si>
  <si>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</si>
  <si>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</si>
  <si>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</si>
  <si>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</si>
  <si>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</si>
  <si>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</si>
  <si>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</si>
  <si>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</si>
  <si>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</si>
  <si>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</si>
  <si>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</si>
  <si>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</si>
  <si>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</si>
  <si>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</si>
  <si>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</si>
  <si>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</si>
  <si>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</si>
  <si>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</si>
  <si>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</si>
  <si>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</si>
  <si>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Secretario de Interior</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</si>
  <si>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</si>
  <si>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</si>
  <si>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</si>
  <si>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</si>
  <si>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</si>
  <si>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</si>
  <si>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</si>
  <si>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</si>
  <si>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</si>
  <si>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</si>
  <si>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</si>
  <si>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</si>
  <si>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</si>
  <si>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</si>
  <si>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</si>
  <si>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</si>
  <si>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</si>
  <si>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</si>
  <si>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</si>
  <si>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</si>
  <si>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</si>
  <si>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</si>
  <si>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</si>
  <si>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</si>
  <si>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</si>
  <si>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</si>
  <si>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</si>
  <si>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</si>
  <si>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</si>
  <si>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</si>
  <si>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</si>
  <si>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</si>
  <si>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</si>
  <si>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</si>
  <si>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</si>
  <si>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</si>
  <si>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</si>
  <si>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</si>
  <si>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</si>
  <si>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</si>
  <si>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</si>
  <si>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</si>
  <si>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</si>
  <si>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</si>
  <si>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</si>
  <si>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</si>
  <si>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</si>
  <si>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</si>
  <si>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</si>
  <si>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</si>
  <si>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</si>
  <si>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</si>
  <si>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</si>
  <si>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</si>
  <si>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</si>
  <si>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</si>
  <si>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</si>
  <si>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</si>
  <si>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</si>
  <si>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</si>
  <si>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</si>
  <si>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</si>
  <si>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</si>
  <si>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</si>
  <si>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</si>
  <si>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</si>
  <si>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</si>
  <si>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</si>
  <si>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</si>
  <si>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</si>
  <si>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</si>
  <si>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</si>
  <si>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</si>
  <si>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</si>
  <si>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</si>
  <si>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</si>
  <si>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</si>
  <si>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</si>
  <si>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</si>
  <si>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</si>
  <si>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</si>
  <si>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</si>
  <si>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</si>
  <si>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</si>
  <si>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</si>
  <si>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</si>
  <si>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</si>
  <si>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</si>
  <si>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</si>
  <si>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</si>
  <si>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</si>
  <si>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</si>
  <si>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</si>
  <si>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</si>
  <si>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</si>
  <si>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</si>
  <si>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</si>
  <si>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</si>
  <si>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</si>
  <si>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</si>
  <si>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 xml:space="preserve">Secretaría de Cultura </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</si>
  <si>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</si>
  <si>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</si>
  <si>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</si>
  <si>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</si>
  <si>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</si>
  <si>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</si>
  <si>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</si>
  <si>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</si>
  <si>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</si>
  <si>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</si>
  <si>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</si>
  <si>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</si>
  <si>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</si>
  <si>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</si>
  <si>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</si>
  <si>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</si>
  <si>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</si>
  <si>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</si>
  <si>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</si>
  <si>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</si>
  <si>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</si>
  <si>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</si>
  <si>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</si>
  <si>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</si>
  <si>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</si>
  <si>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</si>
  <si>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</si>
  <si>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</si>
  <si>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</si>
  <si>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</si>
  <si>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</si>
  <si>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</si>
  <si>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</si>
  <si>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</si>
  <si>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</si>
  <si>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</si>
  <si>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</si>
  <si>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</si>
  <si>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</si>
  <si>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</si>
  <si>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</si>
  <si>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</si>
  <si>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</si>
  <si>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</si>
  <si>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</si>
  <si>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Secretaría de Turismo, Industria y Comercio</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</si>
  <si>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</si>
  <si>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</si>
  <si>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</si>
  <si>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</si>
  <si>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</si>
  <si>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</si>
  <si>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</si>
  <si>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</si>
  <si>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</si>
  <si>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</si>
  <si>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</si>
  <si>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</si>
  <si>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</si>
  <si>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</si>
  <si>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</si>
  <si>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</si>
  <si>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</si>
  <si>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</si>
  <si>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</si>
  <si>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</si>
  <si>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</si>
  <si>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</si>
  <si>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</si>
  <si>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</si>
  <si>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</si>
  <si>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</si>
  <si>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</si>
  <si>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</si>
  <si>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</si>
  <si>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</si>
  <si>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</si>
  <si>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</si>
  <si>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</si>
  <si>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</si>
  <si>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</si>
  <si>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</si>
  <si>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</si>
  <si>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</si>
  <si>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</si>
  <si>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</si>
  <si>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</si>
  <si>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</si>
  <si>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</si>
  <si>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</si>
  <si>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</si>
  <si>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</si>
  <si>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</si>
  <si>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</si>
  <si>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</si>
  <si>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</si>
  <si>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 xml:space="preserve">Secretaria de Agricultura, Desarrollo Rural y Medio Ambiente </t>
  </si>
  <si>
    <t>Julio César Cortés Pulido</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</si>
  <si>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</si>
  <si>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</si>
  <si>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</si>
  <si>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</si>
  <si>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</si>
  <si>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</si>
  <si>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</si>
  <si>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</si>
  <si>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</si>
  <si>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</si>
  <si>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</si>
  <si>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</si>
  <si>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</si>
  <si>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</si>
  <si>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</si>
  <si>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</si>
  <si>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</si>
  <si>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</si>
  <si>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</si>
  <si>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</si>
  <si>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</si>
  <si>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</si>
  <si>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</si>
  <si>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</si>
  <si>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</si>
  <si>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</si>
  <si>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</si>
  <si>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</si>
  <si>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</si>
  <si>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</si>
  <si>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</si>
  <si>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</si>
  <si>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</si>
  <si>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</si>
  <si>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</si>
  <si>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</si>
  <si>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</si>
  <si>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</si>
  <si>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</si>
  <si>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</si>
  <si>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</si>
  <si>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</si>
  <si>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</si>
  <si>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</si>
  <si>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</si>
  <si>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</si>
  <si>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</si>
  <si>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</si>
  <si>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</si>
  <si>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</si>
  <si>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</si>
  <si>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</si>
  <si>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</si>
  <si>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</si>
  <si>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</si>
  <si>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</si>
  <si>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</si>
  <si>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</si>
  <si>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</si>
  <si>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</si>
  <si>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</si>
  <si>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</si>
  <si>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</si>
  <si>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</si>
  <si>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</si>
  <si>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</si>
  <si>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</si>
  <si>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</si>
  <si>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</si>
  <si>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</si>
  <si>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</si>
  <si>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</si>
  <si>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</si>
  <si>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</si>
  <si>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</si>
  <si>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</si>
  <si>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</si>
  <si>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</si>
  <si>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</si>
  <si>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</si>
  <si>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</si>
  <si>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</si>
  <si>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</si>
  <si>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</si>
  <si>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</si>
  <si>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</si>
  <si>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</si>
  <si>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</si>
  <si>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</si>
  <si>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</si>
  <si>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</si>
  <si>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</si>
  <si>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</si>
  <si>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</si>
  <si>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</si>
  <si>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</si>
  <si>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</si>
  <si>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</si>
  <si>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</si>
  <si>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</si>
  <si>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</si>
  <si>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</si>
  <si>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</si>
  <si>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</si>
  <si>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</si>
  <si>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</si>
  <si>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</si>
  <si>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</si>
  <si>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</si>
  <si>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</si>
  <si>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</si>
  <si>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</si>
  <si>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</si>
  <si>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</si>
  <si>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</si>
  <si>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</si>
  <si>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</si>
  <si>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</si>
  <si>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</si>
  <si>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</si>
  <si>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</si>
  <si>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</si>
  <si>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</si>
  <si>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</si>
  <si>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</si>
  <si>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</si>
  <si>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</si>
  <si>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</si>
  <si>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</si>
  <si>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</si>
  <si>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</si>
  <si>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</si>
  <si>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</si>
  <si>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</si>
  <si>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</si>
  <si>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</si>
  <si>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</si>
  <si>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</si>
  <si>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</si>
  <si>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</si>
  <si>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</si>
  <si>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</si>
  <si>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</si>
  <si>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</si>
  <si>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</si>
  <si>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</si>
  <si>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</si>
  <si>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</si>
  <si>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</si>
  <si>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</si>
  <si>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</si>
  <si>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</si>
  <si>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</si>
  <si>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</si>
  <si>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</si>
  <si>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</si>
  <si>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</si>
  <si>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</si>
  <si>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</si>
  <si>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</si>
  <si>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</si>
  <si>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</si>
  <si>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</si>
  <si>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</si>
  <si>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</si>
  <si>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</si>
  <si>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</si>
  <si>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</si>
  <si>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</si>
  <si>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</si>
  <si>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</si>
  <si>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</si>
  <si>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</si>
  <si>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 xml:space="preserve">313 DIRECCIÓN OFICINA PRIVADA </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</si>
  <si>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</si>
  <si>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</si>
  <si>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</si>
  <si>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</si>
  <si>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</si>
  <si>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</si>
  <si>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</si>
  <si>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 xml:space="preserve">Dirección Oficina Privada </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</si>
  <si>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</si>
  <si>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</si>
  <si>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</si>
  <si>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</si>
  <si>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</si>
  <si>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</si>
  <si>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</si>
  <si>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</si>
  <si>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</si>
  <si>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</si>
  <si>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</si>
  <si>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</si>
  <si>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</si>
  <si>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</si>
  <si>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</si>
  <si>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</si>
  <si>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</si>
  <si>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 xml:space="preserve">Secretaría de Educación </t>
  </si>
  <si>
    <t>Liliana María Sánchez Villada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</si>
  <si>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</si>
  <si>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</si>
  <si>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</si>
  <si>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</si>
  <si>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</si>
  <si>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</si>
  <si>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</si>
  <si>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</si>
  <si>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</si>
  <si>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</si>
  <si>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</si>
  <si>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</si>
  <si>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</si>
  <si>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</si>
  <si>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</si>
  <si>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</si>
  <si>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</si>
  <si>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</si>
  <si>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</si>
  <si>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</si>
  <si>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</si>
  <si>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</si>
  <si>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</si>
  <si>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</si>
  <si>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</si>
  <si>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</si>
  <si>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</si>
  <si>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</si>
  <si>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</si>
  <si>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</si>
  <si>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</si>
  <si>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</si>
  <si>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</si>
  <si>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</si>
  <si>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</si>
  <si>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</si>
  <si>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</si>
  <si>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</si>
  <si>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</si>
  <si>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</si>
  <si>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</si>
  <si>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</si>
  <si>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</si>
  <si>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</si>
  <si>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</si>
  <si>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</si>
  <si>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</si>
  <si>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</si>
  <si>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</si>
  <si>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</si>
  <si>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</si>
  <si>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</si>
  <si>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</si>
  <si>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</si>
  <si>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</si>
  <si>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</si>
  <si>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</si>
  <si>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</si>
  <si>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</si>
  <si>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</si>
  <si>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</si>
  <si>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</si>
  <si>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</si>
  <si>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</si>
  <si>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</si>
  <si>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</si>
  <si>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</si>
  <si>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</si>
  <si>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</si>
  <si>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</si>
  <si>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</si>
  <si>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</si>
  <si>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</si>
  <si>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</si>
  <si>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</si>
  <si>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</si>
  <si>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</si>
  <si>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</si>
  <si>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</si>
  <si>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</si>
  <si>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</si>
  <si>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</si>
  <si>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</si>
  <si>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</si>
  <si>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</si>
  <si>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</si>
  <si>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</si>
  <si>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</si>
  <si>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</si>
  <si>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</si>
  <si>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</si>
  <si>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</si>
  <si>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</si>
  <si>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</si>
  <si>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</si>
  <si>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</si>
  <si>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</si>
  <si>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</si>
  <si>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</si>
  <si>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</si>
  <si>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</si>
  <si>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</si>
  <si>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</si>
  <si>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</si>
  <si>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</si>
  <si>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</si>
  <si>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</si>
  <si>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</si>
  <si>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</si>
  <si>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</si>
  <si>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</si>
  <si>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</si>
  <si>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</si>
  <si>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</si>
  <si>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</si>
  <si>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</si>
  <si>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</si>
  <si>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</si>
  <si>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 xml:space="preserve">Secretaría de Familia </t>
  </si>
  <si>
    <t xml:space="preserve">Alba Johana Quejada Torres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</si>
  <si>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</si>
  <si>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</si>
  <si>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</si>
  <si>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</si>
  <si>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</si>
  <si>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</si>
  <si>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</si>
  <si>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</si>
  <si>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</si>
  <si>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</si>
  <si>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</si>
  <si>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</si>
  <si>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</si>
  <si>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</si>
  <si>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</si>
  <si>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</si>
  <si>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</si>
  <si>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</si>
  <si>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</si>
  <si>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</si>
  <si>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</si>
  <si>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</si>
  <si>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</si>
  <si>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</si>
  <si>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</si>
  <si>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</si>
  <si>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</si>
  <si>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</si>
  <si>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</si>
  <si>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</si>
  <si>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</si>
  <si>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</si>
  <si>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</si>
  <si>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</si>
  <si>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</si>
  <si>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</si>
  <si>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</si>
  <si>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</si>
  <si>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</si>
  <si>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</si>
  <si>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</si>
  <si>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</si>
  <si>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</si>
  <si>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</si>
  <si>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</si>
  <si>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</si>
  <si>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</si>
  <si>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</si>
  <si>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</si>
  <si>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</si>
  <si>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</si>
  <si>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</si>
  <si>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</si>
  <si>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</si>
  <si>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</si>
  <si>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</si>
  <si>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</si>
  <si>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</si>
  <si>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</si>
  <si>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</si>
  <si>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</si>
  <si>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</si>
  <si>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</si>
  <si>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</si>
  <si>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</si>
  <si>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</si>
  <si>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</si>
  <si>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</si>
  <si>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</si>
  <si>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</si>
  <si>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</si>
  <si>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</si>
  <si>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</si>
  <si>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</si>
  <si>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</si>
  <si>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</si>
  <si>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</si>
  <si>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</si>
  <si>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</si>
  <si>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</si>
  <si>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</si>
  <si>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</si>
  <si>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</si>
  <si>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</si>
  <si>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</si>
  <si>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</si>
  <si>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</si>
  <si>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</si>
  <si>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</si>
  <si>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</si>
  <si>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</si>
  <si>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</si>
  <si>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</si>
  <si>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</si>
  <si>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</si>
  <si>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</si>
  <si>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</si>
  <si>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</si>
  <si>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</si>
  <si>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</si>
  <si>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</si>
  <si>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</si>
  <si>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</si>
  <si>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</si>
  <si>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</si>
  <si>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</si>
  <si>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</si>
  <si>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</si>
  <si>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</si>
  <si>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</si>
  <si>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</si>
  <si>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</si>
  <si>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</si>
  <si>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</si>
  <si>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</si>
  <si>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</si>
  <si>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</si>
  <si>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</si>
  <si>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</si>
  <si>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</si>
  <si>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</si>
  <si>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</si>
  <si>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</si>
  <si>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</si>
  <si>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</si>
  <si>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</si>
  <si>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</si>
  <si>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</si>
  <si>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</si>
  <si>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</si>
  <si>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</si>
  <si>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</si>
  <si>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</si>
  <si>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</si>
  <si>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</si>
  <si>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</si>
  <si>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</si>
  <si>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</si>
  <si>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</si>
  <si>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</si>
  <si>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</si>
  <si>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</si>
  <si>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</si>
  <si>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</si>
  <si>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</si>
  <si>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</si>
  <si>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</si>
  <si>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</si>
  <si>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</si>
  <si>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</si>
  <si>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</si>
  <si>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</si>
  <si>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</si>
  <si>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</si>
  <si>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</si>
  <si>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</si>
  <si>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</si>
  <si>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</si>
  <si>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</si>
  <si>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</si>
  <si>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</si>
  <si>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</si>
  <si>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</si>
  <si>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</si>
  <si>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</si>
  <si>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</si>
  <si>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</si>
  <si>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</si>
  <si>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</si>
  <si>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</si>
  <si>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</si>
  <si>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</si>
  <si>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</si>
  <si>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</si>
  <si>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</si>
  <si>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</si>
  <si>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</si>
  <si>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</si>
  <si>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</si>
  <si>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</si>
  <si>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</si>
  <si>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</si>
  <si>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</si>
  <si>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</si>
  <si>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</si>
  <si>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</si>
  <si>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</si>
  <si>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</si>
  <si>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</si>
  <si>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</si>
  <si>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</si>
  <si>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</si>
  <si>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</si>
  <si>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</si>
  <si>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</si>
  <si>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</si>
  <si>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</si>
  <si>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</si>
  <si>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</si>
  <si>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</si>
  <si>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</si>
  <si>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</si>
  <si>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</si>
  <si>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</si>
  <si>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</si>
  <si>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</si>
  <si>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</si>
  <si>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</si>
  <si>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</si>
  <si>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</si>
  <si>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</si>
  <si>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</si>
  <si>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</si>
  <si>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</si>
  <si>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</si>
  <si>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</si>
  <si>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</si>
  <si>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</si>
  <si>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registros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</si>
  <si>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</si>
  <si>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</si>
  <si>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</si>
  <si>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Secretaría  de Salud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</si>
  <si>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</si>
  <si>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</si>
  <si>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</si>
  <si>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</si>
  <si>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</si>
  <si>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</si>
  <si>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</si>
  <si>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</si>
  <si>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</si>
  <si>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</si>
  <si>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</si>
  <si>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</si>
  <si>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</si>
  <si>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</si>
  <si>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</si>
  <si>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</si>
  <si>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</si>
  <si>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</si>
  <si>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</si>
  <si>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</si>
  <si>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</si>
  <si>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</si>
  <si>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</si>
  <si>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</si>
  <si>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</si>
  <si>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</si>
  <si>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</si>
  <si>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</si>
  <si>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</si>
  <si>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</si>
  <si>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</si>
  <si>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</si>
  <si>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</si>
  <si>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</si>
  <si>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</si>
  <si>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</si>
  <si>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</si>
  <si>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</si>
  <si>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</si>
  <si>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</si>
  <si>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</si>
  <si>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</si>
  <si>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</si>
  <si>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</si>
  <si>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</si>
  <si>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</si>
  <si>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</si>
  <si>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</si>
  <si>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</si>
  <si>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</si>
  <si>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</si>
  <si>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</si>
  <si>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</si>
  <si>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</si>
  <si>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</si>
  <si>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</si>
  <si>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</si>
  <si>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</si>
  <si>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</si>
  <si>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</si>
  <si>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</si>
  <si>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</si>
  <si>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</si>
  <si>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</si>
  <si>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</si>
  <si>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</si>
  <si>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</si>
  <si>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</si>
  <si>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</si>
  <si>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</si>
  <si>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</si>
  <si>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</si>
  <si>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</si>
  <si>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</si>
  <si>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</si>
  <si>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</si>
  <si>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</si>
  <si>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</si>
  <si>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</si>
  <si>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</si>
  <si>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</si>
  <si>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</si>
  <si>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</si>
  <si>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</si>
  <si>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</si>
  <si>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</si>
  <si>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</si>
  <si>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Letalidad por dengue.</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</si>
  <si>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</si>
  <si>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</si>
  <si>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</si>
  <si>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</si>
  <si>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</si>
  <si>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</si>
  <si>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</si>
  <si>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</si>
  <si>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</si>
  <si>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</si>
  <si>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</si>
  <si>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</si>
  <si>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</si>
  <si>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</si>
  <si>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</si>
  <si>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</si>
  <si>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</si>
  <si>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</si>
  <si>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</si>
  <si>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</si>
  <si>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</si>
  <si>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</si>
  <si>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</si>
  <si>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</si>
  <si>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</si>
  <si>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</si>
  <si>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</si>
  <si>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</si>
  <si>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</si>
  <si>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</si>
  <si>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</si>
  <si>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</si>
  <si>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</si>
  <si>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</si>
  <si>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</si>
  <si>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</si>
  <si>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</si>
  <si>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</si>
  <si>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</si>
  <si>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</si>
  <si>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</si>
  <si>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</si>
  <si>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</si>
  <si>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</si>
  <si>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</si>
  <si>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</si>
  <si>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</si>
  <si>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 xml:space="preserve">
190501500</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</si>
  <si>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</si>
  <si>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</si>
  <si>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</si>
  <si>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</si>
  <si>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</si>
  <si>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</si>
  <si>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</si>
  <si>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</si>
  <si>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</si>
  <si>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</si>
  <si>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</si>
  <si>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</si>
  <si>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</si>
  <si>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</si>
  <si>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</si>
  <si>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</si>
  <si>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</si>
  <si>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</si>
  <si>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</si>
  <si>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</si>
  <si>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</si>
  <si>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</si>
  <si>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</si>
  <si>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</si>
  <si>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</si>
  <si>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</si>
  <si>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</si>
  <si>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</si>
  <si>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</si>
  <si>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</si>
  <si>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</si>
  <si>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</si>
  <si>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</si>
  <si>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</si>
  <si>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</si>
  <si>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</si>
  <si>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</si>
  <si>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</si>
  <si>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</si>
  <si>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</si>
  <si>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</si>
  <si>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</si>
  <si>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</si>
  <si>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</si>
  <si>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</si>
  <si>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</si>
  <si>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</si>
  <si>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</si>
  <si>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</si>
  <si>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</si>
  <si>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</si>
  <si>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</si>
  <si>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Prestación de Servicios a la Población no Afiliada al Sistema General de Seguridad Social en Salud y en el NO POS a la Población del Régimen Subsidiado.  
 </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</si>
  <si>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</si>
  <si>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</si>
  <si>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</si>
  <si>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</si>
  <si>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</si>
  <si>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</si>
  <si>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</si>
  <si>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</si>
  <si>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</si>
  <si>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</si>
  <si>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</si>
  <si>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</si>
  <si>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</si>
  <si>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</si>
  <si>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</si>
  <si>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</si>
  <si>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</si>
  <si>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</si>
  <si>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</si>
  <si>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</si>
  <si>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</si>
  <si>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</si>
  <si>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</si>
  <si>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</si>
  <si>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</si>
  <si>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</si>
  <si>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</si>
  <si>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</si>
  <si>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John Mario Liévano Fernández</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</si>
  <si>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</si>
  <si>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</si>
  <si>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</si>
  <si>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</si>
  <si>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</si>
  <si>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</si>
  <si>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</si>
  <si>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R</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</si>
  <si>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</si>
  <si>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</si>
  <si>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</si>
  <si>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</si>
  <si>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</si>
  <si>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</si>
  <si>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</si>
  <si>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</si>
  <si>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</si>
  <si>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</si>
  <si>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</si>
  <si>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</si>
  <si>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</si>
  <si>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</si>
  <si>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</si>
  <si>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</si>
  <si>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</si>
  <si>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</si>
  <si>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</si>
  <si>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</si>
  <si>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</si>
  <si>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</si>
  <si>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</si>
  <si>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</si>
  <si>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</si>
  <si>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</si>
  <si>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</si>
  <si>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</si>
  <si>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</si>
  <si>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</si>
  <si>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</si>
  <si>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</si>
  <si>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</si>
  <si>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</si>
  <si>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</si>
  <si>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</si>
  <si>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</si>
  <si>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</si>
  <si>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</si>
  <si>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</si>
  <si>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</si>
  <si>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</si>
  <si>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</si>
  <si>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</si>
  <si>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</si>
  <si>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</si>
  <si>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</si>
  <si>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</si>
  <si>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</si>
  <si>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</si>
  <si>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</si>
  <si>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</si>
  <si>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</si>
  <si>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</si>
  <si>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</si>
  <si>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</si>
  <si>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</si>
  <si>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</si>
  <si>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</si>
  <si>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</si>
  <si>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</si>
  <si>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</si>
  <si>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</si>
  <si>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</si>
  <si>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</si>
  <si>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</si>
  <si>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Fernando  Augusto Paneso Zuluaga</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</si>
  <si>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</si>
  <si>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</si>
  <si>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</si>
  <si>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</si>
  <si>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</si>
  <si>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</si>
  <si>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</si>
  <si>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</si>
  <si>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</si>
  <si>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</si>
  <si>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</si>
  <si>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</si>
  <si>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</si>
  <si>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</si>
  <si>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</si>
  <si>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</si>
  <si>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</si>
  <si>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</si>
  <si>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</si>
  <si>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</si>
  <si>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320 PROMOTORA DE VIVIENDA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</si>
  <si>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</si>
  <si>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</si>
  <si>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</si>
  <si>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</si>
  <si>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</si>
  <si>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Pablo César Herrera Correa</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</si>
  <si>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</si>
  <si>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</si>
  <si>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</si>
  <si>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</si>
  <si>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</si>
  <si>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</si>
  <si>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</si>
  <si>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</si>
  <si>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</si>
  <si>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</si>
  <si>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</si>
  <si>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</si>
  <si>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</si>
  <si>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</si>
  <si>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</si>
  <si>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</si>
  <si>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</si>
  <si>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</si>
  <si>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</si>
  <si>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</si>
  <si>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</si>
  <si>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</si>
  <si>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</si>
  <si>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</si>
  <si>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</si>
  <si>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</si>
  <si>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</si>
  <si>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</si>
  <si>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</si>
  <si>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</si>
  <si>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</si>
  <si>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</si>
  <si>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</si>
  <si>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</si>
  <si>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</si>
  <si>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</si>
  <si>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</si>
  <si>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</si>
  <si>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</si>
  <si>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</si>
  <si>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</si>
  <si>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</si>
  <si>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</si>
  <si>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</si>
  <si>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</si>
  <si>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</si>
  <si>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</si>
  <si>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</si>
  <si>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TOTAL PRESUPUESTADO</t>
  </si>
  <si>
    <t>LINEA ESTRATEGICA</t>
  </si>
  <si>
    <t>307 SECREATRÍA DE HACIENDA</t>
  </si>
  <si>
    <t xml:space="preserve">Programa de saneamiento fiscal y financiero ejecutado </t>
  </si>
  <si>
    <t>José Ignacio Rojas Sepúlveda</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</si>
  <si>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</si>
  <si>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</si>
  <si>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</si>
  <si>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</si>
  <si>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</si>
  <si>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</si>
  <si>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</si>
  <si>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</si>
  <si>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</si>
  <si>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</si>
  <si>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</si>
  <si>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</si>
  <si>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</si>
  <si>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</si>
  <si>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</si>
  <si>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</si>
  <si>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Yenny Alexandra Trujillo Álzate</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</si>
  <si>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</si>
  <si>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</si>
  <si>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</si>
  <si>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MARZO  31  DE  2021</t>
  </si>
  <si>
    <t xml:space="preserve">Secretaría de las Tecnológias de la Información y las Comunicaciones </t>
  </si>
  <si>
    <t xml:space="preserve"> INDEPORTES QUINDÍO </t>
  </si>
  <si>
    <t>Promotora de Vivienda</t>
  </si>
  <si>
    <t>Instituto Departamental de Tránsito</t>
  </si>
  <si>
    <t>Gloria Elcy Roa Jaramillo</t>
  </si>
  <si>
    <t>Maria Aleyda  Marin Betancourt</t>
  </si>
  <si>
    <t>Gilberto Guitierrez Caro</t>
  </si>
  <si>
    <t>Jaime Andrés Pérez Cotrino</t>
  </si>
  <si>
    <t>Ximena Escobar Mejia</t>
  </si>
  <si>
    <t>Jorge Hernan Zapata Botero</t>
  </si>
  <si>
    <t xml:space="preserve">F-PLA-42   </t>
  </si>
  <si>
    <t xml:space="preserve"> 1 de 1</t>
  </si>
  <si>
    <t>Maria Teresa Ramírez León</t>
  </si>
  <si>
    <t>PLAN OPERATIVO ANUAL DE INVERSIÓN POAI  2021 - PLAN DE DESARROLLO 2020-2023 "TÚ Y YO SOMOS QUINDIO"
MARZO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</si>
</sst>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quot;$&quot;* #,##0_-;\-&quot;$&quot;* #,##0_-;_-&quot;$&quot;* &quot;-&quot;_-;_-@_-"/>
    <numFmt numFmtId="167" formatCode="_-&quot;$&quot;* #,##0.00_-;\-&quot;$&quot;* #,##0.00_-;_-&quot;$&quot;*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quot;$&quot;\ * #,##0_);_(&quot;$&quot;\ * \(#,##0\);_(&quot;$&quot;\ * &quot;-&quot;??_);_(@_)"/>
    <numFmt numFmtId="175" formatCode="_-[$$-240A]\ * #,##0.00_-;\-[$$-240A]\ * #,##0.00_-;_-[$$-240A]\ * &quot;-&quot;??_-;_-@_-"/>
    <numFmt numFmtId="176" formatCode="_-* #,##0.00\ _€_-;\-* #,##0.00\ _€_-;_-* &quot;-&quot;??\ _€_-;_-@_-"/>
    <numFmt numFmtId="177" formatCode="_ [$€-2]\ * #,##0.00_ ;_ [$€-2]\ * \-#,##0.00_ ;_ [$€-2]\ * &quot;-&quot;??_ "/>
    <numFmt numFmtId="179" formatCode="#,##0."/>
    <numFmt numFmtId="180" formatCode="_ * #,##0.00_ ;_ * \-#,##0.00_ ;_ * &quot;-&quot;??_ ;_ @_ "/>
  </numFmts>
  <fonts count="58"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2"/>
      <color theme="0"/>
      <name val="Arial"/>
      <family val="2"/>
    </font>
    <font>
      <b/>
      <sz val="16"/>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2"/>
      <color theme="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0"/>
      <name val="Arial"/>
      <family val="2"/>
    </font>
    <font>
      <sz val="12"/>
      <color rgb="FF000000"/>
      <name val="Arial"/>
      <family val="2"/>
    </font>
    <font>
      <b/>
      <sz val="10"/>
      <color theme="1"/>
      <name val="Arial"/>
      <family val="2"/>
    </font>
    <font>
      <b/>
      <sz val="10"/>
      <color indexed="8"/>
      <name val="Arial"/>
      <family val="2"/>
    </font>
    <font>
      <sz val="11"/>
      <color theme="1"/>
      <name val="Arial"/>
      <family val="2"/>
    </font>
  </fonts>
  <fills count="7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rgb="FFECECEC"/>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rgb="FF522B57"/>
        <bgColor indexed="64"/>
      </patternFill>
    </fill>
    <fill>
      <patternFill patternType="solid">
        <fgColor theme="0"/>
        <bgColor rgb="FF000000"/>
      </patternFill>
    </fill>
    <fill>
      <patternFill patternType="solid">
        <fgColor rgb="FF8EA9DB"/>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s>
  <borders count="6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theme="4"/>
      </top>
      <bottom/>
      <diagonal/>
    </border>
    <border>
      <left style="thin">
        <color rgb="FF000000"/>
      </left>
      <right/>
      <top style="thin">
        <color theme="4"/>
      </top>
      <bottom style="thin">
        <color indexed="64"/>
      </bottom>
      <diagonal/>
    </border>
    <border>
      <left/>
      <right style="thin">
        <color rgb="FF000000"/>
      </right>
      <top style="thin">
        <color theme="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top style="thin">
        <color rgb="FF000000"/>
      </top>
      <bottom style="thin">
        <color theme="4" tint="0.39997558519241921"/>
      </bottom>
      <diagonal/>
    </border>
    <border>
      <left style="thin">
        <color rgb="FF000000"/>
      </left>
      <right style="thin">
        <color rgb="FF000000"/>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s>
  <cellStyleXfs count="388">
    <xf numFmtId="168" fontId="0" fillId="0" borderId="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5" fillId="0" borderId="0" applyFont="0" applyFill="0" applyBorder="0" applyAlignment="0" applyProtection="0"/>
    <xf numFmtId="168" fontId="7" fillId="8" borderId="10">
      <alignment horizontal="center" vertical="center" wrapText="1"/>
    </xf>
    <xf numFmtId="0" fontId="1" fillId="0" borderId="0"/>
    <xf numFmtId="165" fontId="1" fillId="0" borderId="0" applyFont="0" applyFill="0" applyBorder="0" applyAlignment="0" applyProtection="0"/>
    <xf numFmtId="0" fontId="7" fillId="8" borderId="10">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0" fillId="13"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5" fillId="0" borderId="40" applyNumberFormat="0" applyFill="0" applyAlignment="0" applyProtection="0"/>
    <xf numFmtId="0" fontId="16" fillId="0" borderId="41" applyNumberFormat="0" applyFill="0" applyAlignment="0" applyProtection="0"/>
    <xf numFmtId="0" fontId="17" fillId="0" borderId="42" applyNumberFormat="0" applyFill="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19" borderId="0" applyNumberFormat="0" applyBorder="0" applyAlignment="0" applyProtection="0"/>
    <xf numFmtId="0" fontId="20" fillId="20" borderId="43" applyNumberFormat="0" applyAlignment="0" applyProtection="0"/>
    <xf numFmtId="0" fontId="21" fillId="21" borderId="44" applyNumberFormat="0" applyAlignment="0" applyProtection="0"/>
    <xf numFmtId="0" fontId="22" fillId="21" borderId="43" applyNumberFormat="0" applyAlignment="0" applyProtection="0"/>
    <xf numFmtId="0" fontId="23" fillId="0" borderId="45" applyNumberFormat="0" applyFill="0" applyAlignment="0" applyProtection="0"/>
    <xf numFmtId="0" fontId="10" fillId="22" borderId="46" applyNumberFormat="0" applyAlignment="0" applyProtection="0"/>
    <xf numFmtId="0" fontId="24" fillId="0" borderId="0" applyNumberFormat="0" applyFill="0" applyBorder="0" applyAlignment="0" applyProtection="0"/>
    <xf numFmtId="0" fontId="1" fillId="23" borderId="47" applyNumberFormat="0" applyFont="0" applyAlignment="0" applyProtection="0"/>
    <xf numFmtId="0" fontId="25" fillId="0" borderId="0" applyNumberFormat="0" applyFill="0" applyBorder="0" applyAlignment="0" applyProtection="0"/>
    <xf numFmtId="0" fontId="26" fillId="0" borderId="48" applyNumberFormat="0" applyFill="0" applyAlignment="0" applyProtection="0"/>
    <xf numFmtId="0" fontId="2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27" fillId="47" borderId="0" applyNumberFormat="0" applyBorder="0" applyAlignment="0" applyProtection="0"/>
    <xf numFmtId="0" fontId="1" fillId="0" borderId="0"/>
    <xf numFmtId="168" fontId="1" fillId="0" borderId="0"/>
    <xf numFmtId="177" fontId="1" fillId="33" borderId="0" applyNumberFormat="0" applyBorder="0" applyAlignment="0" applyProtection="0"/>
    <xf numFmtId="177" fontId="1" fillId="0" borderId="0"/>
    <xf numFmtId="168" fontId="1" fillId="0" borderId="0"/>
    <xf numFmtId="0" fontId="29" fillId="0" borderId="0" applyNumberFormat="0" applyFill="0" applyBorder="0" applyAlignment="0" applyProtection="0"/>
    <xf numFmtId="177" fontId="16" fillId="0" borderId="41" applyNumberFormat="0" applyFill="0" applyAlignment="0" applyProtection="0"/>
    <xf numFmtId="177" fontId="1" fillId="0" borderId="0"/>
    <xf numFmtId="177" fontId="1" fillId="46" borderId="0" applyNumberFormat="0" applyBorder="0" applyAlignment="0" applyProtection="0"/>
    <xf numFmtId="177" fontId="10" fillId="22" borderId="46" applyNumberFormat="0" applyAlignment="0" applyProtection="0"/>
    <xf numFmtId="177" fontId="22" fillId="21" borderId="43" applyNumberFormat="0" applyAlignment="0" applyProtection="0"/>
    <xf numFmtId="177" fontId="1" fillId="0" borderId="0"/>
    <xf numFmtId="168" fontId="1" fillId="0" borderId="0"/>
    <xf numFmtId="177" fontId="27" fillId="35" borderId="0" applyNumberFormat="0" applyBorder="0" applyAlignment="0" applyProtection="0"/>
    <xf numFmtId="177" fontId="1" fillId="0" borderId="0"/>
    <xf numFmtId="177" fontId="1" fillId="0" borderId="0"/>
    <xf numFmtId="177" fontId="1" fillId="0" borderId="0"/>
    <xf numFmtId="168" fontId="1" fillId="0" borderId="0"/>
    <xf numFmtId="177" fontId="19" fillId="19" borderId="0" applyNumberFormat="0" applyBorder="0" applyAlignment="0" applyProtection="0"/>
    <xf numFmtId="177" fontId="1" fillId="0" borderId="0"/>
    <xf numFmtId="168" fontId="1" fillId="0" borderId="0"/>
    <xf numFmtId="177" fontId="27" fillId="47" borderId="0" applyNumberFormat="0" applyBorder="0" applyAlignment="0" applyProtection="0"/>
    <xf numFmtId="168" fontId="1" fillId="0" borderId="0"/>
    <xf numFmtId="177" fontId="1" fillId="0" borderId="0"/>
    <xf numFmtId="177"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30" fillId="0" borderId="0"/>
    <xf numFmtId="167"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6" fontId="1" fillId="0" borderId="0" applyFont="0" applyFill="0" applyBorder="0" applyAlignment="0" applyProtection="0"/>
    <xf numFmtId="166" fontId="8" fillId="0" borderId="0" applyFont="0" applyFill="0" applyBorder="0" applyAlignment="0" applyProtection="0"/>
    <xf numFmtId="177"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30" fillId="0" borderId="0"/>
    <xf numFmtId="42" fontId="1" fillId="0" borderId="0" applyFont="0" applyFill="0" applyBorder="0" applyAlignment="0" applyProtection="0"/>
    <xf numFmtId="0" fontId="1" fillId="0" borderId="0"/>
    <xf numFmtId="168" fontId="1" fillId="0" borderId="0"/>
    <xf numFmtId="177" fontId="23" fillId="0" borderId="45" applyNumberFormat="0" applyFill="0" applyAlignment="0" applyProtection="0"/>
    <xf numFmtId="168" fontId="1" fillId="0" borderId="0"/>
    <xf numFmtId="177" fontId="27" fillId="32" borderId="0" applyNumberFormat="0" applyBorder="0" applyAlignment="0" applyProtection="0"/>
    <xf numFmtId="177" fontId="1" fillId="0" borderId="0"/>
    <xf numFmtId="168" fontId="1" fillId="0" borderId="0"/>
    <xf numFmtId="177" fontId="1" fillId="0" borderId="0"/>
    <xf numFmtId="177" fontId="1" fillId="0" borderId="0"/>
    <xf numFmtId="177" fontId="1" fillId="0" borderId="0"/>
    <xf numFmtId="177" fontId="1" fillId="0" borderId="0"/>
    <xf numFmtId="177" fontId="1" fillId="0" borderId="0"/>
    <xf numFmtId="177" fontId="20" fillId="20" borderId="43" applyNumberFormat="0" applyAlignment="0" applyProtection="0"/>
    <xf numFmtId="168" fontId="1" fillId="0" borderId="0"/>
    <xf numFmtId="177" fontId="1" fillId="0" borderId="0"/>
    <xf numFmtId="177" fontId="27" fillId="28" borderId="0" applyNumberFormat="0" applyBorder="0" applyAlignment="0" applyProtection="0"/>
    <xf numFmtId="177" fontId="1" fillId="0" borderId="0"/>
    <xf numFmtId="177" fontId="1" fillId="0" borderId="0"/>
    <xf numFmtId="177" fontId="1" fillId="0" borderId="0"/>
    <xf numFmtId="177" fontId="27" fillId="36" borderId="0" applyNumberFormat="0" applyBorder="0" applyAlignment="0" applyProtection="0"/>
    <xf numFmtId="177" fontId="1" fillId="0" borderId="0"/>
    <xf numFmtId="177" fontId="17" fillId="0" borderId="42" applyNumberFormat="0" applyFill="0" applyAlignment="0" applyProtection="0"/>
    <xf numFmtId="168" fontId="1" fillId="0" borderId="0"/>
    <xf numFmtId="177" fontId="28" fillId="0" borderId="0" applyNumberFormat="0" applyFill="0" applyBorder="0" applyAlignment="0" applyProtection="0"/>
    <xf numFmtId="177" fontId="1" fillId="0" borderId="0"/>
    <xf numFmtId="177" fontId="1" fillId="0" borderId="0"/>
    <xf numFmtId="168" fontId="1" fillId="0" borderId="0"/>
    <xf numFmtId="177" fontId="1" fillId="26" borderId="0" applyNumberFormat="0" applyBorder="0" applyAlignment="0" applyProtection="0"/>
    <xf numFmtId="177" fontId="30" fillId="0" borderId="0"/>
    <xf numFmtId="177" fontId="1" fillId="0" borderId="0"/>
    <xf numFmtId="168" fontId="1" fillId="0" borderId="0"/>
    <xf numFmtId="177" fontId="1" fillId="0" borderId="0"/>
    <xf numFmtId="177" fontId="17" fillId="0" borderId="0" applyNumberFormat="0" applyFill="0" applyBorder="0" applyAlignment="0" applyProtection="0"/>
    <xf numFmtId="177" fontId="1" fillId="0" borderId="0"/>
    <xf numFmtId="177" fontId="1" fillId="23" borderId="47" applyNumberFormat="0" applyFont="0" applyAlignment="0" applyProtection="0"/>
    <xf numFmtId="177" fontId="1" fillId="0" borderId="0"/>
    <xf numFmtId="177" fontId="21" fillId="21" borderId="44" applyNumberFormat="0" applyAlignment="0" applyProtection="0"/>
    <xf numFmtId="168" fontId="1" fillId="0" borderId="0"/>
    <xf numFmtId="168" fontId="1" fillId="0" borderId="0"/>
    <xf numFmtId="177" fontId="1" fillId="0" borderId="0"/>
    <xf numFmtId="177" fontId="1" fillId="0" borderId="0"/>
    <xf numFmtId="177" fontId="1" fillId="0" borderId="0"/>
    <xf numFmtId="168" fontId="1" fillId="0" borderId="0"/>
    <xf numFmtId="177" fontId="8" fillId="0" borderId="0"/>
    <xf numFmtId="177" fontId="27" fillId="27" borderId="0" applyNumberFormat="0" applyBorder="0" applyAlignment="0" applyProtection="0"/>
    <xf numFmtId="168" fontId="1" fillId="0" borderId="0"/>
    <xf numFmtId="177" fontId="1" fillId="45" borderId="0" applyNumberFormat="0" applyBorder="0" applyAlignment="0" applyProtection="0"/>
    <xf numFmtId="177" fontId="1" fillId="0" borderId="0"/>
    <xf numFmtId="177" fontId="1" fillId="0" borderId="0"/>
    <xf numFmtId="177" fontId="1" fillId="38" borderId="0" applyNumberFormat="0" applyBorder="0" applyAlignment="0" applyProtection="0"/>
    <xf numFmtId="168" fontId="1" fillId="0" borderId="0"/>
    <xf numFmtId="177" fontId="26" fillId="0" borderId="48" applyNumberFormat="0" applyFill="0" applyAlignment="0" applyProtection="0"/>
    <xf numFmtId="177" fontId="8" fillId="0" borderId="0"/>
    <xf numFmtId="177" fontId="1" fillId="0" borderId="0"/>
    <xf numFmtId="177" fontId="1" fillId="41" borderId="0" applyNumberFormat="0" applyBorder="0" applyAlignment="0" applyProtection="0"/>
    <xf numFmtId="177" fontId="27" fillId="24" borderId="0" applyNumberFormat="0" applyBorder="0" applyAlignment="0" applyProtection="0"/>
    <xf numFmtId="177" fontId="1" fillId="0" borderId="0"/>
    <xf numFmtId="168" fontId="1" fillId="0" borderId="0"/>
    <xf numFmtId="177" fontId="1" fillId="0" borderId="0"/>
    <xf numFmtId="168" fontId="1" fillId="0" borderId="0"/>
    <xf numFmtId="168" fontId="1" fillId="0" borderId="0"/>
    <xf numFmtId="177" fontId="8" fillId="0" borderId="0"/>
    <xf numFmtId="177" fontId="29" fillId="0" borderId="0" applyNumberFormat="0" applyFill="0" applyBorder="0" applyAlignment="0" applyProtection="0"/>
    <xf numFmtId="177" fontId="1" fillId="0" borderId="0"/>
    <xf numFmtId="177" fontId="1" fillId="25" borderId="0" applyNumberFormat="0" applyBorder="0" applyAlignment="0" applyProtection="0"/>
    <xf numFmtId="177" fontId="1" fillId="0" borderId="0"/>
    <xf numFmtId="177" fontId="27" fillId="43" borderId="0" applyNumberFormat="0" applyBorder="0" applyAlignment="0" applyProtection="0"/>
    <xf numFmtId="177" fontId="1" fillId="0" borderId="0"/>
    <xf numFmtId="177" fontId="27" fillId="39" borderId="0" applyNumberFormat="0" applyBorder="0" applyAlignment="0" applyProtection="0"/>
    <xf numFmtId="177" fontId="1" fillId="0" borderId="0"/>
    <xf numFmtId="177" fontId="1" fillId="0" borderId="0"/>
    <xf numFmtId="177" fontId="1" fillId="0" borderId="0"/>
    <xf numFmtId="177" fontId="1" fillId="0" borderId="0"/>
    <xf numFmtId="177" fontId="27" fillId="31" borderId="0" applyNumberFormat="0" applyBorder="0" applyAlignment="0" applyProtection="0"/>
    <xf numFmtId="177" fontId="1" fillId="0" borderId="0"/>
    <xf numFmtId="177" fontId="8" fillId="0" borderId="0"/>
    <xf numFmtId="177" fontId="1" fillId="0" borderId="0"/>
    <xf numFmtId="177" fontId="11" fillId="0" borderId="0"/>
    <xf numFmtId="177" fontId="1" fillId="0" borderId="0"/>
    <xf numFmtId="177" fontId="27" fillId="44" borderId="0" applyNumberFormat="0" applyBorder="0" applyAlignment="0" applyProtection="0"/>
    <xf numFmtId="177" fontId="24" fillId="0" borderId="0" applyNumberFormat="0" applyFill="0" applyBorder="0" applyAlignment="0" applyProtection="0"/>
    <xf numFmtId="177" fontId="1" fillId="42" borderId="0" applyNumberFormat="0" applyBorder="0" applyAlignment="0" applyProtection="0"/>
    <xf numFmtId="177" fontId="1" fillId="30" borderId="0" applyNumberFormat="0" applyBorder="0" applyAlignment="0" applyProtection="0"/>
    <xf numFmtId="177" fontId="25" fillId="0" borderId="0" applyNumberFormat="0" applyFill="0" applyBorder="0" applyAlignment="0" applyProtection="0"/>
    <xf numFmtId="177" fontId="1" fillId="29" borderId="0" applyNumberFormat="0" applyBorder="0" applyAlignment="0" applyProtection="0"/>
    <xf numFmtId="177" fontId="18" fillId="18" borderId="0" applyNumberFormat="0" applyBorder="0" applyAlignment="0" applyProtection="0"/>
    <xf numFmtId="168" fontId="1" fillId="0" borderId="0"/>
    <xf numFmtId="168" fontId="1" fillId="0" borderId="0"/>
    <xf numFmtId="177" fontId="1" fillId="37" borderId="0" applyNumberFormat="0" applyBorder="0" applyAlignment="0" applyProtection="0"/>
    <xf numFmtId="177" fontId="1" fillId="0" borderId="0"/>
    <xf numFmtId="177" fontId="1" fillId="0" borderId="0"/>
    <xf numFmtId="177" fontId="1" fillId="34" borderId="0" applyNumberFormat="0" applyBorder="0" applyAlignment="0" applyProtection="0"/>
    <xf numFmtId="177" fontId="7" fillId="8" borderId="10">
      <alignment horizontal="center" vertical="center" wrapText="1"/>
    </xf>
    <xf numFmtId="177" fontId="1" fillId="0" borderId="0"/>
    <xf numFmtId="177" fontId="7" fillId="8" borderId="10">
      <alignment horizontal="center" vertical="center" wrapText="1"/>
    </xf>
    <xf numFmtId="177" fontId="1" fillId="0" borderId="0"/>
    <xf numFmtId="177" fontId="27" fillId="40" borderId="0" applyNumberFormat="0" applyBorder="0" applyAlignment="0" applyProtection="0"/>
    <xf numFmtId="168" fontId="1" fillId="0" borderId="0"/>
    <xf numFmtId="177" fontId="1" fillId="0" borderId="0"/>
    <xf numFmtId="177" fontId="1" fillId="0" borderId="0"/>
    <xf numFmtId="177" fontId="15" fillId="0" borderId="40" applyNumberFormat="0" applyFill="0" applyAlignment="0" applyProtection="0"/>
    <xf numFmtId="177" fontId="30" fillId="0" borderId="0"/>
    <xf numFmtId="177" fontId="1" fillId="0" borderId="0"/>
    <xf numFmtId="177" fontId="1" fillId="0" borderId="0"/>
    <xf numFmtId="177" fontId="1" fillId="0" borderId="0"/>
    <xf numFmtId="168" fontId="1" fillId="0" borderId="0"/>
    <xf numFmtId="177" fontId="1" fillId="0" borderId="0"/>
    <xf numFmtId="177" fontId="1" fillId="0" borderId="0"/>
    <xf numFmtId="0" fontId="8" fillId="0" borderId="0"/>
    <xf numFmtId="177" fontId="1" fillId="0" borderId="0"/>
    <xf numFmtId="177" fontId="1" fillId="0" borderId="0"/>
    <xf numFmtId="177" fontId="1" fillId="0" borderId="0"/>
    <xf numFmtId="168" fontId="1" fillId="0" borderId="0"/>
    <xf numFmtId="0" fontId="1" fillId="0" borderId="0"/>
    <xf numFmtId="0" fontId="8" fillId="0" borderId="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32" fillId="59"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3" fillId="51" borderId="0" applyNumberFormat="0" applyBorder="0" applyAlignment="0" applyProtection="0"/>
    <xf numFmtId="0" fontId="34" fillId="63" borderId="49" applyNumberFormat="0" applyAlignment="0" applyProtection="0"/>
    <xf numFmtId="0" fontId="35" fillId="64" borderId="50" applyNumberFormat="0" applyAlignment="0" applyProtection="0"/>
    <xf numFmtId="0" fontId="36" fillId="0" borderId="51" applyNumberFormat="0" applyFill="0" applyAlignment="0" applyProtection="0"/>
    <xf numFmtId="0" fontId="37" fillId="0" borderId="0" applyNumberFormat="0" applyFill="0" applyBorder="0" applyAlignment="0" applyProtection="0"/>
    <xf numFmtId="0" fontId="32" fillId="65" borderId="0" applyNumberFormat="0" applyBorder="0" applyAlignment="0" applyProtection="0"/>
    <xf numFmtId="0" fontId="32" fillId="66" borderId="0" applyNumberFormat="0" applyBorder="0" applyAlignment="0" applyProtection="0"/>
    <xf numFmtId="0" fontId="32" fillId="67"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2" fillId="68" borderId="0" applyNumberFormat="0" applyBorder="0" applyAlignment="0" applyProtection="0"/>
    <xf numFmtId="0" fontId="38" fillId="54" borderId="49" applyNumberFormat="0" applyAlignment="0" applyProtection="0"/>
    <xf numFmtId="177" fontId="8" fillId="0" borderId="0" applyFont="0" applyFill="0" applyBorder="0" applyAlignment="0" applyProtection="0"/>
    <xf numFmtId="177" fontId="8" fillId="0" borderId="0" applyFont="0" applyFill="0" applyBorder="0" applyAlignment="0" applyProtection="0"/>
    <xf numFmtId="179" fontId="39" fillId="0" borderId="0">
      <protection locked="0"/>
    </xf>
    <xf numFmtId="179" fontId="39" fillId="0" borderId="0">
      <protection locked="0"/>
    </xf>
    <xf numFmtId="179" fontId="39" fillId="0" borderId="0">
      <protection locked="0"/>
    </xf>
    <xf numFmtId="179" fontId="40" fillId="0" borderId="0">
      <protection locked="0"/>
    </xf>
    <xf numFmtId="179" fontId="41" fillId="0" borderId="0">
      <protection locked="0"/>
    </xf>
    <xf numFmtId="179" fontId="40" fillId="0" borderId="0">
      <protection locked="0"/>
    </xf>
    <xf numFmtId="179" fontId="41" fillId="0" borderId="0">
      <protection locked="0"/>
    </xf>
    <xf numFmtId="0" fontId="42" fillId="50" borderId="0" applyNumberFormat="0" applyBorder="0" applyAlignment="0" applyProtection="0"/>
    <xf numFmtId="180" fontId="8" fillId="0" borderId="0" applyFont="0" applyFill="0" applyBorder="0" applyAlignment="0" applyProtection="0"/>
    <xf numFmtId="0" fontId="43" fillId="69" borderId="0" applyNumberFormat="0" applyBorder="0" applyAlignment="0" applyProtection="0"/>
    <xf numFmtId="0" fontId="8" fillId="0" borderId="0"/>
    <xf numFmtId="177" fontId="5" fillId="0" borderId="0"/>
    <xf numFmtId="0" fontId="8" fillId="0" borderId="0"/>
    <xf numFmtId="177" fontId="5" fillId="0" borderId="0"/>
    <xf numFmtId="0" fontId="8" fillId="0" borderId="0"/>
    <xf numFmtId="177" fontId="5" fillId="0" borderId="0"/>
    <xf numFmtId="0" fontId="8" fillId="0" borderId="0"/>
    <xf numFmtId="0" fontId="8" fillId="0" borderId="0"/>
    <xf numFmtId="177" fontId="5" fillId="0" borderId="0"/>
    <xf numFmtId="177" fontId="5" fillId="0" borderId="0"/>
    <xf numFmtId="0" fontId="8" fillId="0" borderId="0"/>
    <xf numFmtId="0" fontId="8" fillId="0" borderId="0"/>
    <xf numFmtId="0" fontId="8" fillId="0" borderId="0"/>
    <xf numFmtId="177" fontId="5" fillId="0" borderId="0"/>
    <xf numFmtId="177" fontId="5" fillId="0" borderId="0"/>
    <xf numFmtId="177" fontId="5" fillId="0" borderId="0"/>
    <xf numFmtId="0" fontId="8" fillId="0" borderId="0"/>
    <xf numFmtId="0" fontId="1" fillId="0" borderId="0"/>
    <xf numFmtId="177" fontId="5" fillId="0" borderId="0"/>
    <xf numFmtId="177" fontId="5" fillId="0" borderId="0"/>
    <xf numFmtId="0" fontId="8" fillId="0" borderId="0"/>
    <xf numFmtId="0" fontId="8" fillId="0" borderId="0"/>
    <xf numFmtId="0" fontId="8" fillId="0" borderId="0"/>
    <xf numFmtId="0" fontId="51" fillId="0" borderId="0"/>
    <xf numFmtId="0" fontId="8" fillId="0" borderId="0"/>
    <xf numFmtId="0" fontId="8" fillId="0" borderId="0"/>
    <xf numFmtId="0" fontId="8" fillId="70" borderId="53" applyNumberFormat="0" applyFont="0" applyAlignment="0" applyProtection="0"/>
    <xf numFmtId="0" fontId="8" fillId="70" borderId="53" applyNumberFormat="0" applyFont="0" applyAlignment="0" applyProtection="0"/>
    <xf numFmtId="0" fontId="44" fillId="63" borderId="54" applyNumberFormat="0" applyAlignment="0" applyProtection="0"/>
    <xf numFmtId="0" fontId="52" fillId="71"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52" applyNumberFormat="0" applyFill="0" applyAlignment="0" applyProtection="0"/>
    <xf numFmtId="0" fontId="48" fillId="0" borderId="55" applyNumberFormat="0" applyFill="0" applyAlignment="0" applyProtection="0"/>
    <xf numFmtId="0" fontId="37" fillId="0" borderId="56" applyNumberFormat="0" applyFill="0" applyAlignment="0" applyProtection="0"/>
    <xf numFmtId="0" fontId="49" fillId="0" borderId="0" applyNumberFormat="0" applyFill="0" applyBorder="0" applyAlignment="0" applyProtection="0"/>
    <xf numFmtId="0" fontId="50" fillId="0" borderId="57" applyNumberFormat="0" applyFill="0" applyAlignment="0" applyProtection="0"/>
    <xf numFmtId="0" fontId="8" fillId="0" borderId="0"/>
  </cellStyleXfs>
  <cellXfs count="653">
    <xf numFmtId="168" fontId="0" fillId="0" borderId="0" xfId="0"/>
    <xf numFmtId="168" fontId="2" fillId="0" borderId="0" xfId="0" applyFont="1"/>
    <xf numFmtId="168" fontId="2" fillId="0" borderId="2" xfId="0" applyFont="1" applyBorder="1"/>
    <xf numFmtId="168" fontId="3" fillId="0" borderId="3" xfId="0" applyFont="1" applyBorder="1" applyAlignment="1">
      <alignment vertical="center"/>
    </xf>
    <xf numFmtId="168" fontId="2" fillId="2" borderId="0" xfId="0" applyFont="1" applyFill="1"/>
    <xf numFmtId="168" fontId="3" fillId="0" borderId="3" xfId="0" applyFont="1" applyBorder="1" applyAlignment="1">
      <alignment horizontal="left" vertical="center"/>
    </xf>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0" fontId="3" fillId="0" borderId="6" xfId="0" applyNumberFormat="1" applyFont="1" applyBorder="1" applyAlignment="1">
      <alignment horizontal="center" vertical="center" wrapText="1"/>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68" fontId="2" fillId="0" borderId="0" xfId="0" applyFont="1" applyAlignment="1">
      <alignment vertical="center"/>
    </xf>
    <xf numFmtId="165" fontId="3" fillId="2" borderId="0" xfId="0" applyNumberFormat="1" applyFont="1" applyFill="1" applyAlignment="1">
      <alignment vertical="center"/>
    </xf>
    <xf numFmtId="173" fontId="2" fillId="2" borderId="0" xfId="4" applyNumberFormat="1" applyFont="1" applyFill="1" applyBorder="1"/>
    <xf numFmtId="173" fontId="2" fillId="0" borderId="0" xfId="4" applyNumberFormat="1" applyFont="1" applyFill="1" applyBorder="1"/>
    <xf numFmtId="165" fontId="2" fillId="2" borderId="0" xfId="5" applyFont="1" applyFill="1" applyBorder="1" applyAlignment="1">
      <alignment horizontal="justify" vertical="center"/>
    </xf>
    <xf numFmtId="168" fontId="2" fillId="0" borderId="0" xfId="0" applyFont="1" applyAlignment="1">
      <alignment horizontal="left" vertical="center" wrapText="1"/>
    </xf>
    <xf numFmtId="168" fontId="3" fillId="2" borderId="0" xfId="0" applyFont="1" applyFill="1"/>
    <xf numFmtId="168" fontId="3" fillId="0" borderId="0" xfId="0" applyFont="1"/>
    <xf numFmtId="168" fontId="3" fillId="0" borderId="2" xfId="0" applyFont="1" applyBorder="1" applyAlignment="1">
      <alignment horizontal="center"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center" vertical="center"/>
    </xf>
    <xf numFmtId="168" fontId="3" fillId="0" borderId="0" xfId="0" applyFont="1" applyAlignment="1">
      <alignment horizontal="center"/>
    </xf>
    <xf numFmtId="168" fontId="2" fillId="0" borderId="0" xfId="0" applyFont="1" applyAlignment="1">
      <alignment horizontal="justify" vertical="justify"/>
    </xf>
    <xf numFmtId="0" fontId="3" fillId="0" borderId="2" xfId="0" applyNumberFormat="1" applyFont="1" applyBorder="1" applyAlignment="1">
      <alignment horizontal="center" vertical="center" wrapText="1"/>
    </xf>
    <xf numFmtId="168" fontId="3" fillId="0" borderId="1" xfId="0" applyFont="1" applyBorder="1" applyAlignment="1">
      <alignment vertical="center"/>
    </xf>
    <xf numFmtId="168" fontId="3" fillId="0" borderId="2" xfId="0" applyFont="1" applyBorder="1" applyAlignment="1">
      <alignment vertical="center"/>
    </xf>
    <xf numFmtId="0" fontId="13" fillId="5" borderId="13" xfId="0" applyNumberFormat="1" applyFont="1" applyFill="1" applyBorder="1" applyAlignment="1">
      <alignment vertical="center"/>
    </xf>
    <xf numFmtId="0" fontId="13" fillId="5" borderId="13" xfId="0" applyNumberFormat="1" applyFont="1" applyFill="1" applyBorder="1" applyAlignment="1">
      <alignment horizontal="left" vertical="center"/>
    </xf>
    <xf numFmtId="0" fontId="13" fillId="5" borderId="13" xfId="0" applyNumberFormat="1" applyFont="1" applyFill="1" applyBorder="1" applyAlignment="1">
      <alignment horizontal="center" vertical="center"/>
    </xf>
    <xf numFmtId="168" fontId="13" fillId="5" borderId="13" xfId="0" applyFont="1" applyFill="1" applyBorder="1" applyAlignment="1">
      <alignment horizontal="center" vertical="center"/>
    </xf>
    <xf numFmtId="0" fontId="13" fillId="5" borderId="19" xfId="0" applyNumberFormat="1" applyFont="1" applyFill="1" applyBorder="1" applyAlignment="1">
      <alignment horizontal="left" vertical="center"/>
    </xf>
    <xf numFmtId="0" fontId="13" fillId="5" borderId="19" xfId="0" applyNumberFormat="1" applyFont="1" applyFill="1" applyBorder="1" applyAlignment="1">
      <alignment horizontal="center" vertical="center"/>
    </xf>
    <xf numFmtId="168" fontId="13" fillId="5" borderId="19" xfId="0" applyFont="1" applyFill="1" applyBorder="1" applyAlignment="1">
      <alignment horizontal="center" vertical="center"/>
    </xf>
    <xf numFmtId="165" fontId="3" fillId="0" borderId="0" xfId="0" applyNumberFormat="1" applyFont="1" applyAlignment="1">
      <alignment vertical="center"/>
    </xf>
    <xf numFmtId="168" fontId="6" fillId="2" borderId="0" xfId="0" applyFont="1" applyFill="1" applyAlignment="1">
      <alignment vertical="center"/>
    </xf>
    <xf numFmtId="168" fontId="6" fillId="0" borderId="0" xfId="0" applyFont="1" applyAlignment="1">
      <alignment vertical="center"/>
    </xf>
    <xf numFmtId="168" fontId="12" fillId="0" borderId="0" xfId="0" applyFont="1"/>
    <xf numFmtId="168" fontId="3" fillId="0" borderId="2" xfId="0" applyFont="1" applyBorder="1" applyAlignment="1">
      <alignment horizontal="justify" vertical="center" wrapText="1"/>
    </xf>
    <xf numFmtId="168" fontId="3" fillId="0" borderId="6" xfId="0"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6" xfId="0" applyNumberFormat="1" applyFont="1" applyBorder="1" applyAlignment="1">
      <alignment horizontal="justify" vertical="center" wrapText="1"/>
    </xf>
    <xf numFmtId="168" fontId="2" fillId="2" borderId="13" xfId="0" applyFont="1" applyFill="1" applyBorder="1"/>
    <xf numFmtId="168" fontId="2" fillId="2" borderId="0" xfId="0" applyFont="1" applyFill="1" applyAlignment="1">
      <alignment horizontal="left" vertical="center" wrapText="1"/>
    </xf>
    <xf numFmtId="4" fontId="2" fillId="0" borderId="13" xfId="0" applyNumberFormat="1" applyFont="1" applyBorder="1" applyAlignment="1">
      <alignment horizontal="center" vertical="center"/>
    </xf>
    <xf numFmtId="168" fontId="2" fillId="2" borderId="0" xfId="0" applyFont="1" applyFill="1" applyAlignment="1">
      <alignment horizontal="center"/>
    </xf>
    <xf numFmtId="165" fontId="2" fillId="0" borderId="13" xfId="0" applyNumberFormat="1" applyFont="1" applyBorder="1" applyAlignment="1">
      <alignment horizontal="center" vertical="center"/>
    </xf>
    <xf numFmtId="0" fontId="4" fillId="4" borderId="7" xfId="0" applyNumberFormat="1" applyFont="1" applyFill="1" applyBorder="1" applyAlignment="1">
      <alignment horizontal="center" vertical="center" wrapText="1"/>
    </xf>
    <xf numFmtId="0" fontId="3" fillId="6" borderId="13" xfId="0" applyNumberFormat="1" applyFont="1" applyFill="1" applyBorder="1" applyAlignment="1">
      <alignment vertical="center"/>
    </xf>
    <xf numFmtId="0" fontId="3" fillId="16" borderId="13" xfId="0" applyNumberFormat="1" applyFont="1" applyFill="1" applyBorder="1" applyAlignment="1">
      <alignment horizontal="left" vertical="center"/>
    </xf>
    <xf numFmtId="0" fontId="3" fillId="6" borderId="13" xfId="0" applyNumberFormat="1" applyFont="1" applyFill="1" applyBorder="1" applyAlignment="1">
      <alignment horizontal="left" vertical="center"/>
    </xf>
    <xf numFmtId="0" fontId="3" fillId="16" borderId="13" xfId="0" applyNumberFormat="1" applyFont="1" applyFill="1" applyBorder="1" applyAlignment="1">
      <alignment horizontal="center" vertical="center" wrapText="1"/>
    </xf>
    <xf numFmtId="168" fontId="3" fillId="7" borderId="15" xfId="0" applyFont="1" applyFill="1" applyBorder="1" applyAlignment="1">
      <alignment vertical="center"/>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left" vertical="center" wrapText="1"/>
    </xf>
    <xf numFmtId="0" fontId="2" fillId="2" borderId="13" xfId="0" applyNumberFormat="1" applyFont="1" applyFill="1" applyBorder="1" applyAlignment="1">
      <alignment horizontal="center" vertical="center" wrapText="1"/>
    </xf>
    <xf numFmtId="0" fontId="2" fillId="0" borderId="13" xfId="6" applyNumberFormat="1" applyFont="1" applyFill="1" applyBorder="1">
      <alignment horizontal="center" vertical="center" wrapText="1"/>
    </xf>
    <xf numFmtId="0" fontId="2" fillId="0" borderId="13" xfId="8"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68" fontId="2" fillId="2" borderId="13" xfId="0" applyFont="1" applyFill="1" applyBorder="1" applyAlignment="1">
      <alignment horizontal="justify" vertical="center"/>
    </xf>
    <xf numFmtId="0" fontId="2" fillId="0" borderId="13" xfId="0" applyNumberFormat="1" applyFont="1" applyBorder="1" applyAlignment="1">
      <alignment horizontal="center" vertical="center"/>
    </xf>
    <xf numFmtId="0" fontId="2" fillId="2" borderId="13" xfId="6" applyNumberFormat="1" applyFont="1" applyFill="1" applyBorder="1">
      <alignment horizontal="center" vertical="center" wrapText="1"/>
    </xf>
    <xf numFmtId="0" fontId="2" fillId="0" borderId="13" xfId="6" applyNumberFormat="1" applyFont="1" applyFill="1" applyBorder="1" applyAlignment="1">
      <alignment horizontal="center" vertical="center"/>
    </xf>
    <xf numFmtId="0" fontId="2" fillId="0" borderId="13" xfId="7" applyFont="1" applyBorder="1" applyAlignment="1">
      <alignment horizontal="justify" vertical="center" wrapText="1"/>
    </xf>
    <xf numFmtId="168" fontId="2" fillId="2" borderId="13" xfId="0" applyFont="1" applyFill="1" applyBorder="1" applyAlignment="1">
      <alignment vertical="center" wrapText="1"/>
    </xf>
    <xf numFmtId="168" fontId="2" fillId="0" borderId="13" xfId="0" applyFont="1" applyBorder="1" applyAlignment="1">
      <alignment vertical="center" wrapText="1"/>
    </xf>
    <xf numFmtId="0" fontId="2" fillId="0" borderId="13" xfId="0" applyNumberFormat="1" applyFont="1" applyBorder="1" applyAlignment="1">
      <alignment horizontal="left" vertical="center"/>
    </xf>
    <xf numFmtId="168" fontId="2" fillId="0" borderId="13" xfId="0" applyFont="1" applyBorder="1" applyAlignment="1">
      <alignment horizontal="justify" vertical="center"/>
    </xf>
    <xf numFmtId="0" fontId="2" fillId="0" borderId="13" xfId="0" applyNumberFormat="1" applyFont="1" applyBorder="1" applyAlignment="1">
      <alignment horizontal="justify" vertical="center"/>
    </xf>
    <xf numFmtId="0" fontId="2" fillId="0" borderId="13" xfId="8" applyNumberFormat="1" applyFont="1" applyFill="1" applyBorder="1" applyAlignment="1">
      <alignment horizontal="justify" vertical="center" wrapText="1"/>
    </xf>
    <xf numFmtId="0" fontId="2" fillId="0" borderId="13" xfId="0" applyNumberFormat="1" applyFont="1" applyBorder="1" applyAlignment="1">
      <alignment horizontal="left" vertical="center" wrapText="1"/>
    </xf>
    <xf numFmtId="0" fontId="2" fillId="0" borderId="13" xfId="0" applyNumberFormat="1" applyFont="1" applyBorder="1" applyAlignment="1" applyProtection="1">
      <alignment horizontal="center" vertical="center" wrapText="1"/>
      <protection locked="0"/>
    </xf>
    <xf numFmtId="168" fontId="2" fillId="0" borderId="13" xfId="0" applyFont="1" applyBorder="1" applyAlignment="1" applyProtection="1">
      <alignment horizontal="justify" vertical="center" wrapText="1"/>
      <protection locked="0"/>
    </xf>
    <xf numFmtId="0" fontId="2" fillId="12" borderId="13" xfId="6" applyNumberFormat="1" applyFont="1" applyFill="1" applyBorder="1">
      <alignment horizontal="center" vertical="center" wrapText="1"/>
    </xf>
    <xf numFmtId="0" fontId="2" fillId="0" borderId="13" xfId="0" applyNumberFormat="1" applyFont="1" applyBorder="1" applyAlignment="1" applyProtection="1">
      <alignment horizontal="justify" vertical="center" wrapText="1"/>
      <protection locked="0"/>
    </xf>
    <xf numFmtId="0" fontId="2" fillId="0" borderId="13" xfId="7" applyFont="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2" borderId="13" xfId="8" applyNumberFormat="1" applyFont="1" applyFill="1" applyBorder="1" applyAlignment="1">
      <alignment horizontal="center" vertical="center" wrapText="1"/>
    </xf>
    <xf numFmtId="168" fontId="2" fillId="2" borderId="13" xfId="0" applyFont="1" applyFill="1" applyBorder="1" applyAlignment="1">
      <alignment horizontal="center" vertical="center" wrapText="1"/>
    </xf>
    <xf numFmtId="0" fontId="3" fillId="2" borderId="13" xfId="0" applyNumberFormat="1" applyFont="1" applyFill="1" applyBorder="1" applyAlignment="1">
      <alignment horizontal="left" vertical="center" wrapText="1"/>
    </xf>
    <xf numFmtId="168" fontId="2" fillId="2" borderId="13" xfId="6" applyFont="1" applyFill="1" applyBorder="1" applyAlignment="1">
      <alignment horizontal="justify" vertical="center" wrapText="1"/>
    </xf>
    <xf numFmtId="0" fontId="2" fillId="2" borderId="13" xfId="6" applyNumberFormat="1" applyFont="1" applyFill="1" applyBorder="1" applyAlignment="1">
      <alignment horizontal="justify" vertical="center" wrapText="1"/>
    </xf>
    <xf numFmtId="0" fontId="3" fillId="2" borderId="13" xfId="0" applyNumberFormat="1" applyFont="1" applyFill="1" applyBorder="1" applyAlignment="1">
      <alignment horizontal="center" vertical="center" wrapText="1"/>
    </xf>
    <xf numFmtId="0" fontId="2" fillId="2" borderId="13" xfId="7"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xf>
    <xf numFmtId="168" fontId="2" fillId="2" borderId="13" xfId="0" applyFont="1" applyFill="1" applyBorder="1" applyAlignment="1">
      <alignment horizontal="center" vertical="center"/>
    </xf>
    <xf numFmtId="168" fontId="2" fillId="0" borderId="15" xfId="0" applyFont="1" applyBorder="1" applyAlignment="1">
      <alignment horizontal="center" vertical="center" wrapText="1"/>
    </xf>
    <xf numFmtId="0" fontId="2" fillId="0" borderId="19" xfId="6" applyNumberFormat="1" applyFont="1" applyFill="1" applyBorder="1">
      <alignment horizontal="center" vertical="center" wrapText="1"/>
    </xf>
    <xf numFmtId="0" fontId="2" fillId="2" borderId="13" xfId="0" applyNumberFormat="1" applyFont="1" applyFill="1" applyBorder="1" applyAlignment="1" applyProtection="1">
      <alignment horizontal="center" vertical="center" wrapText="1"/>
      <protection locked="0"/>
    </xf>
    <xf numFmtId="168" fontId="2" fillId="2" borderId="13" xfId="0" applyFont="1" applyFill="1" applyBorder="1" applyAlignment="1" applyProtection="1">
      <alignment horizontal="justify" vertical="center" wrapText="1"/>
      <protection locked="0"/>
    </xf>
    <xf numFmtId="168" fontId="2" fillId="0" borderId="13" xfId="0" applyFont="1" applyBorder="1" applyAlignment="1">
      <alignment horizontal="left" vertical="center" wrapText="1"/>
    </xf>
    <xf numFmtId="168" fontId="3" fillId="7" borderId="28" xfId="0" applyFont="1" applyFill="1" applyBorder="1" applyAlignment="1">
      <alignment vertical="center"/>
    </xf>
    <xf numFmtId="168" fontId="14" fillId="2" borderId="0" xfId="0" applyFont="1" applyFill="1" applyAlignment="1">
      <alignment horizontal="center" vertical="center"/>
    </xf>
    <xf numFmtId="0" fontId="2" fillId="0" borderId="19" xfId="0" applyNumberFormat="1" applyFont="1" applyBorder="1" applyAlignment="1">
      <alignment horizontal="center" vertical="center" wrapText="1"/>
    </xf>
    <xf numFmtId="0" fontId="2" fillId="2" borderId="13" xfId="0" applyNumberFormat="1" applyFont="1" applyFill="1" applyBorder="1" applyAlignment="1" applyProtection="1">
      <alignment horizontal="justify" vertical="center" wrapText="1"/>
      <protection locked="0"/>
    </xf>
    <xf numFmtId="165" fontId="2" fillId="0" borderId="15" xfId="0" applyNumberFormat="1" applyFont="1" applyBorder="1" applyAlignment="1">
      <alignment horizontal="center" vertical="center"/>
    </xf>
    <xf numFmtId="165" fontId="2" fillId="2" borderId="13" xfId="5" applyFont="1" applyFill="1" applyBorder="1" applyAlignment="1">
      <alignment horizontal="justify" vertical="center"/>
    </xf>
    <xf numFmtId="165" fontId="2" fillId="0" borderId="3" xfId="0" applyNumberFormat="1" applyFont="1" applyBorder="1" applyAlignment="1">
      <alignment horizontal="center" vertical="center"/>
    </xf>
    <xf numFmtId="168" fontId="4" fillId="4" borderId="3" xfId="0"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170" fontId="4" fillId="4" borderId="3" xfId="5" applyNumberFormat="1" applyFont="1" applyFill="1" applyBorder="1" applyAlignment="1">
      <alignment horizontal="center" vertical="center" wrapText="1"/>
    </xf>
    <xf numFmtId="168" fontId="3" fillId="0" borderId="13" xfId="0" applyFont="1" applyBorder="1" applyAlignment="1">
      <alignment vertical="center"/>
    </xf>
    <xf numFmtId="0" fontId="3" fillId="6" borderId="13" xfId="0"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xf>
    <xf numFmtId="0" fontId="3" fillId="6" borderId="13" xfId="0" applyNumberFormat="1" applyFont="1" applyFill="1" applyBorder="1" applyAlignment="1">
      <alignment horizontal="justify" vertical="center" wrapText="1"/>
    </xf>
    <xf numFmtId="168" fontId="3" fillId="6" borderId="13" xfId="0" applyFont="1" applyFill="1" applyBorder="1" applyAlignment="1">
      <alignment horizontal="justify" vertical="center" wrapText="1"/>
    </xf>
    <xf numFmtId="168" fontId="2" fillId="6" borderId="13" xfId="0" applyFont="1" applyFill="1" applyBorder="1" applyAlignment="1">
      <alignment vertical="center"/>
    </xf>
    <xf numFmtId="168" fontId="3" fillId="6" borderId="13" xfId="0" applyFont="1" applyFill="1" applyBorder="1" applyAlignment="1">
      <alignment horizontal="center" vertical="center"/>
    </xf>
    <xf numFmtId="165" fontId="3" fillId="6" borderId="13" xfId="0" applyNumberFormat="1" applyFont="1" applyFill="1" applyBorder="1" applyAlignment="1">
      <alignment vertical="center"/>
    </xf>
    <xf numFmtId="0" fontId="3" fillId="16" borderId="15" xfId="0" applyNumberFormat="1" applyFont="1" applyFill="1" applyBorder="1" applyAlignment="1">
      <alignment horizontal="left" vertical="center"/>
    </xf>
    <xf numFmtId="0" fontId="3" fillId="16" borderId="18" xfId="0" applyNumberFormat="1" applyFont="1" applyFill="1" applyBorder="1" applyAlignment="1">
      <alignment horizontal="left" vertical="center"/>
    </xf>
    <xf numFmtId="0" fontId="2" fillId="16" borderId="18" xfId="0" applyNumberFormat="1" applyFont="1" applyFill="1" applyBorder="1" applyAlignment="1">
      <alignment horizontal="center" vertical="center"/>
    </xf>
    <xf numFmtId="0" fontId="3" fillId="16" borderId="18" xfId="0" applyNumberFormat="1" applyFont="1" applyFill="1" applyBorder="1" applyAlignment="1">
      <alignment horizontal="justify" vertical="center" wrapText="1"/>
    </xf>
    <xf numFmtId="0" fontId="3" fillId="16" borderId="18" xfId="0" applyNumberFormat="1" applyFont="1" applyFill="1" applyBorder="1" applyAlignment="1">
      <alignment horizontal="center" vertical="center" wrapText="1"/>
    </xf>
    <xf numFmtId="168" fontId="3" fillId="16" borderId="18" xfId="0" applyFont="1" applyFill="1" applyBorder="1" applyAlignment="1">
      <alignment horizontal="justify" vertical="center" wrapText="1"/>
    </xf>
    <xf numFmtId="168" fontId="2" fillId="16" borderId="18" xfId="0" applyFont="1" applyFill="1" applyBorder="1" applyAlignment="1">
      <alignment vertical="center"/>
    </xf>
    <xf numFmtId="168" fontId="3" fillId="16" borderId="18" xfId="0" applyFont="1" applyFill="1" applyBorder="1" applyAlignment="1">
      <alignment horizontal="center" vertical="center"/>
    </xf>
    <xf numFmtId="168" fontId="3" fillId="16" borderId="13" xfId="0" applyFont="1" applyFill="1" applyBorder="1" applyAlignment="1">
      <alignment horizontal="justify" vertical="center" wrapText="1"/>
    </xf>
    <xf numFmtId="165" fontId="3" fillId="16" borderId="13" xfId="0" applyNumberFormat="1" applyFont="1" applyFill="1" applyBorder="1" applyAlignment="1">
      <alignment vertical="center"/>
    </xf>
    <xf numFmtId="168" fontId="2" fillId="0" borderId="13" xfId="0" applyFont="1" applyBorder="1"/>
    <xf numFmtId="0" fontId="3" fillId="7" borderId="13" xfId="0" applyNumberFormat="1" applyFont="1" applyFill="1" applyBorder="1" applyAlignment="1">
      <alignment horizontal="center" vertical="center"/>
    </xf>
    <xf numFmtId="168" fontId="3" fillId="7" borderId="13" xfId="0" applyFont="1" applyFill="1" applyBorder="1" applyAlignment="1">
      <alignment horizontal="justify" vertical="center" wrapText="1"/>
    </xf>
    <xf numFmtId="165" fontId="3" fillId="7" borderId="13" xfId="0" applyNumberFormat="1" applyFont="1" applyFill="1" applyBorder="1" applyAlignment="1">
      <alignment vertical="center"/>
    </xf>
    <xf numFmtId="165" fontId="2" fillId="0" borderId="13" xfId="5" applyFont="1" applyFill="1" applyBorder="1" applyAlignment="1">
      <alignment horizontal="justify" vertical="center"/>
    </xf>
    <xf numFmtId="165" fontId="2" fillId="0" borderId="13" xfId="0" applyNumberFormat="1" applyFont="1" applyBorder="1" applyAlignment="1">
      <alignment vertical="center"/>
    </xf>
    <xf numFmtId="0" fontId="2" fillId="7" borderId="13" xfId="0" applyNumberFormat="1" applyFont="1" applyFill="1" applyBorder="1" applyAlignment="1">
      <alignment horizontal="center" vertical="center"/>
    </xf>
    <xf numFmtId="0" fontId="3" fillId="7" borderId="13" xfId="0" applyNumberFormat="1" applyFont="1" applyFill="1" applyBorder="1" applyAlignment="1">
      <alignment horizontal="justify" vertical="center" wrapText="1"/>
    </xf>
    <xf numFmtId="0" fontId="3" fillId="7" borderId="13" xfId="0" applyNumberFormat="1" applyFont="1" applyFill="1" applyBorder="1" applyAlignment="1">
      <alignment horizontal="center" vertical="center" wrapText="1"/>
    </xf>
    <xf numFmtId="168" fontId="2" fillId="7" borderId="13" xfId="0" applyFont="1" applyFill="1" applyBorder="1" applyAlignment="1">
      <alignment vertical="center"/>
    </xf>
    <xf numFmtId="168" fontId="3" fillId="7" borderId="13" xfId="0" applyFont="1" applyFill="1" applyBorder="1" applyAlignment="1">
      <alignment horizontal="center" vertical="center"/>
    </xf>
    <xf numFmtId="165" fontId="3" fillId="7" borderId="13" xfId="0" applyNumberFormat="1" applyFont="1" applyFill="1" applyBorder="1" applyAlignment="1">
      <alignment horizontal="center" vertical="center"/>
    </xf>
    <xf numFmtId="0" fontId="2" fillId="0" borderId="13" xfId="7" applyFont="1" applyBorder="1" applyAlignment="1">
      <alignment horizontal="justify" vertical="center"/>
    </xf>
    <xf numFmtId="165" fontId="3" fillId="6" borderId="13" xfId="8" applyFont="1" applyFill="1" applyBorder="1" applyAlignment="1">
      <alignment horizontal="center" vertical="center"/>
    </xf>
    <xf numFmtId="168" fontId="3" fillId="7" borderId="18" xfId="0" applyFont="1" applyFill="1" applyBorder="1" applyAlignment="1">
      <alignment vertical="justify"/>
    </xf>
    <xf numFmtId="168" fontId="3" fillId="7" borderId="16" xfId="0" applyFont="1" applyFill="1" applyBorder="1" applyAlignment="1">
      <alignment vertical="justify"/>
    </xf>
    <xf numFmtId="165" fontId="3" fillId="7" borderId="13" xfId="8" applyFont="1" applyFill="1" applyBorder="1" applyAlignment="1">
      <alignment horizontal="center" vertical="center"/>
    </xf>
    <xf numFmtId="165" fontId="2" fillId="0" borderId="13" xfId="8" applyFont="1" applyFill="1" applyBorder="1" applyAlignment="1">
      <alignment horizontal="right" vertical="center" wrapText="1"/>
    </xf>
    <xf numFmtId="0" fontId="2" fillId="2" borderId="13" xfId="7" applyFont="1" applyFill="1" applyBorder="1" applyAlignment="1">
      <alignment horizontal="justify" vertical="center"/>
    </xf>
    <xf numFmtId="170" fontId="2" fillId="0" borderId="13" xfId="5" applyNumberFormat="1" applyFont="1" applyFill="1" applyBorder="1" applyAlignment="1">
      <alignment horizontal="center" vertical="center" wrapText="1"/>
    </xf>
    <xf numFmtId="165" fontId="2" fillId="2" borderId="13" xfId="8" applyFont="1" applyFill="1" applyBorder="1" applyAlignment="1">
      <alignment horizontal="right" vertical="center" wrapText="1"/>
    </xf>
    <xf numFmtId="170" fontId="2" fillId="2" borderId="13" xfId="5" applyNumberFormat="1" applyFont="1" applyFill="1" applyBorder="1" applyAlignment="1">
      <alignment horizontal="center" vertical="center" wrapText="1"/>
    </xf>
    <xf numFmtId="170" fontId="2" fillId="2" borderId="15" xfId="5" applyNumberFormat="1" applyFont="1" applyFill="1" applyBorder="1" applyAlignment="1">
      <alignment horizontal="center" vertical="center" wrapText="1"/>
    </xf>
    <xf numFmtId="165" fontId="3" fillId="6" borderId="13" xfId="0" applyNumberFormat="1" applyFont="1" applyFill="1" applyBorder="1" applyAlignment="1">
      <alignment horizontal="center" vertical="center"/>
    </xf>
    <xf numFmtId="165" fontId="3" fillId="16" borderId="13" xfId="0" applyNumberFormat="1" applyFont="1" applyFill="1" applyBorder="1" applyAlignment="1">
      <alignment horizontal="center" vertical="center"/>
    </xf>
    <xf numFmtId="0" fontId="3" fillId="7" borderId="13" xfId="0" applyNumberFormat="1" applyFont="1" applyFill="1" applyBorder="1" applyAlignment="1">
      <alignment vertical="center" wrapText="1"/>
    </xf>
    <xf numFmtId="168" fontId="3" fillId="7" borderId="13" xfId="0" applyFont="1" applyFill="1" applyBorder="1" applyAlignment="1">
      <alignment vertical="center" wrapText="1"/>
    </xf>
    <xf numFmtId="165" fontId="3" fillId="0" borderId="13" xfId="0" applyNumberFormat="1" applyFont="1" applyBorder="1" applyAlignment="1">
      <alignment horizontal="left" vertical="center"/>
    </xf>
    <xf numFmtId="165" fontId="2" fillId="2" borderId="13" xfId="0" applyNumberFormat="1" applyFont="1" applyFill="1" applyBorder="1" applyAlignment="1">
      <alignment horizontal="left" vertical="center"/>
    </xf>
    <xf numFmtId="4" fontId="2" fillId="0" borderId="13" xfId="0" applyNumberFormat="1" applyFont="1" applyBorder="1" applyAlignment="1">
      <alignment horizontal="right" vertical="center" wrapText="1"/>
    </xf>
    <xf numFmtId="0" fontId="3" fillId="6" borderId="13" xfId="0" applyNumberFormat="1" applyFont="1" applyFill="1" applyBorder="1" applyAlignment="1">
      <alignment horizontal="left" vertical="center" wrapText="1"/>
    </xf>
    <xf numFmtId="172" fontId="2" fillId="0" borderId="13" xfId="2" applyNumberFormat="1" applyFont="1" applyFill="1" applyBorder="1" applyAlignment="1">
      <alignment horizontal="right" vertical="center"/>
    </xf>
    <xf numFmtId="165" fontId="2" fillId="0" borderId="13" xfId="5" applyFont="1" applyFill="1" applyBorder="1"/>
    <xf numFmtId="165" fontId="2" fillId="0" borderId="13" xfId="0" applyNumberFormat="1" applyFont="1" applyBorder="1" applyAlignment="1">
      <alignment horizontal="justify" vertical="center"/>
    </xf>
    <xf numFmtId="0" fontId="2" fillId="0" borderId="13" xfId="9" applyFont="1" applyFill="1" applyBorder="1" applyAlignment="1">
      <alignment horizontal="justify" vertical="center" wrapText="1"/>
    </xf>
    <xf numFmtId="172" fontId="2" fillId="2" borderId="13" xfId="2" applyNumberFormat="1" applyFont="1" applyFill="1" applyBorder="1" applyAlignment="1">
      <alignment horizontal="right" vertical="center"/>
    </xf>
    <xf numFmtId="43" fontId="2" fillId="2" borderId="13" xfId="0" applyNumberFormat="1" applyFont="1" applyFill="1" applyBorder="1" applyAlignment="1">
      <alignment vertical="center"/>
    </xf>
    <xf numFmtId="0" fontId="3" fillId="6" borderId="15" xfId="0" applyNumberFormat="1" applyFont="1" applyFill="1" applyBorder="1" applyAlignment="1">
      <alignment vertical="center"/>
    </xf>
    <xf numFmtId="0" fontId="2" fillId="6" borderId="18" xfId="0" applyNumberFormat="1" applyFont="1" applyFill="1" applyBorder="1" applyAlignment="1">
      <alignment horizontal="center" vertical="center"/>
    </xf>
    <xf numFmtId="0" fontId="3" fillId="6" borderId="18" xfId="0" applyNumberFormat="1" applyFont="1" applyFill="1" applyBorder="1" applyAlignment="1">
      <alignment horizontal="justify" vertical="center" wrapText="1"/>
    </xf>
    <xf numFmtId="0" fontId="3" fillId="6" borderId="18" xfId="0" applyNumberFormat="1" applyFont="1" applyFill="1" applyBorder="1" applyAlignment="1">
      <alignment horizontal="center" vertical="center" wrapText="1"/>
    </xf>
    <xf numFmtId="168" fontId="3" fillId="6" borderId="18" xfId="0" applyFont="1" applyFill="1" applyBorder="1" applyAlignment="1">
      <alignment horizontal="justify" vertical="center" wrapText="1"/>
    </xf>
    <xf numFmtId="168" fontId="2" fillId="6" borderId="18" xfId="0" applyFont="1" applyFill="1" applyBorder="1" applyAlignment="1">
      <alignment vertical="center"/>
    </xf>
    <xf numFmtId="168" fontId="3" fillId="6" borderId="18" xfId="0" applyFont="1" applyFill="1" applyBorder="1" applyAlignment="1">
      <alignment horizontal="center" vertical="center"/>
    </xf>
    <xf numFmtId="168" fontId="3" fillId="6" borderId="16" xfId="0" applyFont="1" applyFill="1" applyBorder="1" applyAlignment="1">
      <alignment horizontal="justify" vertical="center" wrapText="1"/>
    </xf>
    <xf numFmtId="165" fontId="3" fillId="16" borderId="16" xfId="0" applyNumberFormat="1" applyFont="1" applyFill="1" applyBorder="1" applyAlignment="1">
      <alignment vertical="center"/>
    </xf>
    <xf numFmtId="168" fontId="3" fillId="7" borderId="16" xfId="0" applyFont="1" applyFill="1" applyBorder="1" applyAlignment="1">
      <alignment vertical="center"/>
    </xf>
    <xf numFmtId="0" fontId="2" fillId="7" borderId="24" xfId="0" applyNumberFormat="1" applyFont="1" applyFill="1" applyBorder="1" applyAlignment="1">
      <alignment horizontal="center" vertical="center"/>
    </xf>
    <xf numFmtId="0" fontId="3" fillId="7" borderId="24" xfId="0" applyNumberFormat="1" applyFont="1" applyFill="1" applyBorder="1" applyAlignment="1">
      <alignment horizontal="justify" vertical="center" wrapText="1"/>
    </xf>
    <xf numFmtId="0" fontId="3" fillId="7" borderId="25" xfId="0" applyNumberFormat="1" applyFont="1" applyFill="1" applyBorder="1" applyAlignment="1">
      <alignment horizontal="center" vertical="center" wrapText="1"/>
    </xf>
    <xf numFmtId="168" fontId="3" fillId="7" borderId="25" xfId="0" applyFont="1" applyFill="1" applyBorder="1" applyAlignment="1">
      <alignment horizontal="justify" vertical="center" wrapText="1"/>
    </xf>
    <xf numFmtId="168" fontId="2" fillId="7" borderId="25" xfId="0" applyFont="1" applyFill="1" applyBorder="1" applyAlignment="1">
      <alignment vertical="center"/>
    </xf>
    <xf numFmtId="168" fontId="3" fillId="7" borderId="25" xfId="0" applyFont="1" applyFill="1" applyBorder="1" applyAlignment="1">
      <alignment horizontal="center" vertical="center"/>
    </xf>
    <xf numFmtId="168" fontId="3" fillId="7" borderId="26" xfId="0" applyFont="1" applyFill="1" applyBorder="1" applyAlignment="1">
      <alignment horizontal="justify" vertical="center" wrapText="1"/>
    </xf>
    <xf numFmtId="0" fontId="2" fillId="2" borderId="13" xfId="9" applyFont="1" applyFill="1" applyBorder="1">
      <alignment horizontal="center" vertical="center" wrapText="1"/>
    </xf>
    <xf numFmtId="165" fontId="2" fillId="0" borderId="13" xfId="8" applyFont="1" applyFill="1" applyBorder="1" applyAlignment="1">
      <alignment horizontal="center" vertical="center" wrapText="1"/>
    </xf>
    <xf numFmtId="172" fontId="2" fillId="0" borderId="13" xfId="2" applyNumberFormat="1" applyFont="1" applyFill="1" applyBorder="1" applyAlignment="1">
      <alignment horizontal="right" vertical="center" wrapText="1"/>
    </xf>
    <xf numFmtId="168" fontId="3" fillId="7" borderId="18" xfId="0" applyFont="1" applyFill="1" applyBorder="1" applyAlignment="1">
      <alignment vertical="center"/>
    </xf>
    <xf numFmtId="41" fontId="2" fillId="0" borderId="13" xfId="2" applyFont="1" applyFill="1" applyBorder="1" applyAlignment="1">
      <alignment horizontal="right" vertical="center" wrapText="1"/>
    </xf>
    <xf numFmtId="0" fontId="2" fillId="0" borderId="13" xfId="9" applyFont="1" applyFill="1" applyBorder="1">
      <alignment horizontal="center" vertical="center" wrapText="1"/>
    </xf>
    <xf numFmtId="0" fontId="2" fillId="2" borderId="13" xfId="9" applyFont="1" applyFill="1" applyBorder="1" applyAlignment="1">
      <alignment horizontal="justify" vertical="center" wrapText="1"/>
    </xf>
    <xf numFmtId="0" fontId="3" fillId="16" borderId="13" xfId="0" applyNumberFormat="1" applyFont="1" applyFill="1" applyBorder="1" applyAlignment="1">
      <alignment horizontal="left" vertical="center" wrapText="1"/>
    </xf>
    <xf numFmtId="0" fontId="2" fillId="7" borderId="13" xfId="0" applyNumberFormat="1" applyFont="1" applyFill="1" applyBorder="1" applyAlignment="1">
      <alignment horizontal="justify" vertical="justify"/>
    </xf>
    <xf numFmtId="43" fontId="2" fillId="0" borderId="13" xfId="0" applyNumberFormat="1" applyFont="1" applyBorder="1" applyAlignment="1">
      <alignment vertical="center"/>
    </xf>
    <xf numFmtId="41" fontId="2" fillId="0" borderId="13" xfId="2" applyFont="1" applyFill="1" applyBorder="1" applyAlignment="1">
      <alignment vertical="center"/>
    </xf>
    <xf numFmtId="168" fontId="2" fillId="6" borderId="13" xfId="0" applyFont="1" applyFill="1" applyBorder="1" applyAlignment="1">
      <alignment horizontal="center" vertical="center"/>
    </xf>
    <xf numFmtId="168" fontId="3" fillId="16" borderId="16" xfId="0" applyFont="1" applyFill="1" applyBorder="1" applyAlignment="1">
      <alignment horizontal="center" vertical="center"/>
    </xf>
    <xf numFmtId="168" fontId="2" fillId="7" borderId="13" xfId="0" applyFont="1" applyFill="1" applyBorder="1" applyAlignment="1">
      <alignment horizontal="center" vertical="center"/>
    </xf>
    <xf numFmtId="43" fontId="3" fillId="7" borderId="13" xfId="1" applyFont="1" applyFill="1" applyBorder="1" applyAlignment="1">
      <alignment horizontal="left" vertical="center"/>
    </xf>
    <xf numFmtId="165" fontId="3" fillId="7" borderId="13" xfId="0" applyNumberFormat="1" applyFont="1" applyFill="1" applyBorder="1" applyAlignment="1">
      <alignment horizontal="left" vertical="center"/>
    </xf>
    <xf numFmtId="165" fontId="2" fillId="0" borderId="13" xfId="8" applyFont="1" applyFill="1" applyBorder="1" applyAlignment="1">
      <alignment horizontal="center" vertical="center"/>
    </xf>
    <xf numFmtId="165" fontId="3" fillId="7" borderId="19" xfId="0" applyNumberFormat="1" applyFont="1" applyFill="1" applyBorder="1" applyAlignment="1">
      <alignment vertical="center"/>
    </xf>
    <xf numFmtId="3" fontId="2" fillId="0" borderId="13" xfId="0" applyNumberFormat="1" applyFont="1" applyBorder="1" applyAlignment="1">
      <alignment horizontal="center" vertical="center" wrapText="1"/>
    </xf>
    <xf numFmtId="165" fontId="2" fillId="0" borderId="13" xfId="5" applyFont="1" applyFill="1" applyBorder="1" applyAlignment="1">
      <alignment vertical="center"/>
    </xf>
    <xf numFmtId="43" fontId="3" fillId="7" borderId="13" xfId="1" applyFont="1" applyFill="1" applyBorder="1" applyAlignment="1">
      <alignment vertical="center"/>
    </xf>
    <xf numFmtId="168" fontId="2" fillId="12" borderId="13" xfId="0" applyFont="1" applyFill="1" applyBorder="1" applyAlignment="1">
      <alignment horizontal="justify" vertical="center"/>
    </xf>
    <xf numFmtId="165" fontId="2" fillId="0" borderId="13" xfId="8" applyFont="1" applyFill="1" applyBorder="1" applyAlignment="1">
      <alignment vertical="center"/>
    </xf>
    <xf numFmtId="165" fontId="3" fillId="7" borderId="13" xfId="0" applyNumberFormat="1" applyFont="1" applyFill="1" applyBorder="1" applyAlignment="1">
      <alignment horizontal="justify" vertical="center" wrapText="1"/>
    </xf>
    <xf numFmtId="165" fontId="3" fillId="7" borderId="13" xfId="0" applyNumberFormat="1" applyFont="1" applyFill="1" applyBorder="1" applyAlignment="1">
      <alignment horizontal="center" vertical="center" wrapText="1"/>
    </xf>
    <xf numFmtId="168" fontId="2" fillId="0" borderId="13" xfId="0" applyFont="1" applyBorder="1" applyAlignment="1">
      <alignment horizontal="center" vertical="center"/>
    </xf>
    <xf numFmtId="170" fontId="2" fillId="0" borderId="13" xfId="8" applyNumberFormat="1" applyFont="1" applyFill="1" applyBorder="1" applyAlignment="1">
      <alignment horizontal="right" vertical="center" wrapText="1"/>
    </xf>
    <xf numFmtId="165" fontId="2" fillId="0" borderId="13" xfId="8" applyFont="1" applyFill="1" applyBorder="1" applyAlignment="1">
      <alignment horizontal="left" vertical="center" wrapText="1"/>
    </xf>
    <xf numFmtId="0" fontId="3" fillId="7" borderId="17" xfId="0" applyNumberFormat="1" applyFont="1" applyFill="1" applyBorder="1" applyAlignment="1">
      <alignment horizontal="center" vertical="center" wrapText="1"/>
    </xf>
    <xf numFmtId="0" fontId="2" fillId="2" borderId="19" xfId="7" applyFont="1" applyFill="1" applyBorder="1" applyAlignment="1">
      <alignment horizontal="center" vertical="center" wrapText="1"/>
    </xf>
    <xf numFmtId="0" fontId="2" fillId="2" borderId="13" xfId="7" applyFont="1" applyFill="1" applyBorder="1" applyAlignment="1">
      <alignment horizontal="justify" vertical="center" wrapText="1"/>
    </xf>
    <xf numFmtId="165" fontId="2" fillId="2" borderId="13" xfId="0" applyNumberFormat="1" applyFont="1" applyFill="1" applyBorder="1" applyAlignment="1">
      <alignment vertical="center"/>
    </xf>
    <xf numFmtId="165" fontId="2" fillId="2" borderId="13" xfId="0" applyNumberFormat="1" applyFont="1" applyFill="1" applyBorder="1" applyAlignment="1">
      <alignment horizontal="center" vertical="center"/>
    </xf>
    <xf numFmtId="1" fontId="2" fillId="2" borderId="13" xfId="13" applyNumberFormat="1" applyFont="1" applyFill="1" applyBorder="1" applyAlignment="1">
      <alignment horizontal="center" vertical="center"/>
    </xf>
    <xf numFmtId="43" fontId="2" fillId="0" borderId="13" xfId="1" applyFont="1" applyFill="1" applyBorder="1" applyAlignment="1">
      <alignment horizontal="center" vertical="center" wrapText="1"/>
    </xf>
    <xf numFmtId="43" fontId="2" fillId="0" borderId="13" xfId="1" applyFont="1" applyFill="1" applyBorder="1" applyAlignment="1">
      <alignment horizontal="right" vertical="center" wrapText="1"/>
    </xf>
    <xf numFmtId="0" fontId="2" fillId="0" borderId="13" xfId="1" applyNumberFormat="1" applyFont="1" applyBorder="1" applyAlignment="1">
      <alignment horizontal="center" vertical="center" wrapText="1"/>
    </xf>
    <xf numFmtId="0" fontId="2" fillId="0" borderId="13" xfId="1" applyNumberFormat="1" applyFont="1" applyFill="1" applyBorder="1" applyAlignment="1">
      <alignment horizontal="center" vertical="center" wrapText="1"/>
    </xf>
    <xf numFmtId="43" fontId="2" fillId="0" borderId="13" xfId="1" applyFont="1" applyFill="1" applyBorder="1" applyAlignment="1">
      <alignment horizontal="justify" vertical="center"/>
    </xf>
    <xf numFmtId="43" fontId="2" fillId="0" borderId="13" xfId="1" applyFont="1" applyFill="1" applyBorder="1" applyAlignment="1">
      <alignment horizontal="left" vertical="center" wrapText="1"/>
    </xf>
    <xf numFmtId="0" fontId="3" fillId="6" borderId="13" xfId="0" applyNumberFormat="1" applyFont="1" applyFill="1" applyBorder="1" applyAlignment="1">
      <alignment horizontal="center" vertical="center"/>
    </xf>
    <xf numFmtId="165" fontId="2" fillId="0" borderId="13" xfId="5" applyFont="1" applyBorder="1" applyAlignment="1">
      <alignment horizontal="justify" vertical="center"/>
    </xf>
    <xf numFmtId="165" fontId="2" fillId="0" borderId="13" xfId="8" applyFont="1" applyBorder="1" applyAlignment="1">
      <alignment horizontal="right" vertical="center" wrapText="1"/>
    </xf>
    <xf numFmtId="168" fontId="2" fillId="0" borderId="13" xfId="0" applyFont="1" applyBorder="1" applyAlignment="1">
      <alignment vertical="center"/>
    </xf>
    <xf numFmtId="168" fontId="2" fillId="0" borderId="17" xfId="0" applyFont="1" applyBorder="1" applyAlignment="1">
      <alignment vertical="center" wrapText="1"/>
    </xf>
    <xf numFmtId="165" fontId="2" fillId="2" borderId="13" xfId="8" applyFont="1" applyFill="1" applyBorder="1" applyAlignment="1">
      <alignment horizontal="center" vertical="center"/>
    </xf>
    <xf numFmtId="3" fontId="2" fillId="2" borderId="13" xfId="0" applyNumberFormat="1" applyFont="1" applyFill="1" applyBorder="1" applyAlignment="1">
      <alignment horizontal="center" vertical="center" wrapText="1"/>
    </xf>
    <xf numFmtId="173" fontId="2" fillId="0" borderId="13" xfId="4" applyNumberFormat="1" applyFont="1" applyFill="1" applyBorder="1" applyAlignment="1">
      <alignment horizontal="center" vertical="center"/>
    </xf>
    <xf numFmtId="173" fontId="2" fillId="0" borderId="13" xfId="4" applyNumberFormat="1" applyFont="1" applyFill="1" applyBorder="1" applyAlignment="1">
      <alignment horizontal="justify" vertical="center"/>
    </xf>
    <xf numFmtId="0" fontId="2" fillId="2" borderId="17" xfId="7" applyFont="1" applyFill="1" applyBorder="1" applyAlignment="1">
      <alignment horizontal="center" vertical="center" wrapText="1"/>
    </xf>
    <xf numFmtId="168" fontId="2" fillId="0" borderId="15" xfId="0" applyFont="1" applyBorder="1" applyAlignment="1">
      <alignment horizontal="center" vertical="center"/>
    </xf>
    <xf numFmtId="168" fontId="2" fillId="7" borderId="13" xfId="0" applyFont="1" applyFill="1" applyBorder="1" applyAlignment="1">
      <alignment horizontal="center" vertical="center" wrapText="1"/>
    </xf>
    <xf numFmtId="168" fontId="2" fillId="7" borderId="13" xfId="0" applyFont="1" applyFill="1" applyBorder="1" applyAlignment="1">
      <alignment horizontal="justify" vertical="center" wrapText="1"/>
    </xf>
    <xf numFmtId="165" fontId="2" fillId="7" borderId="13" xfId="5" applyFont="1" applyFill="1" applyBorder="1" applyAlignment="1">
      <alignment horizontal="justify" vertical="center"/>
    </xf>
    <xf numFmtId="165" fontId="3" fillId="7" borderId="13" xfId="5" applyFont="1" applyFill="1" applyBorder="1" applyAlignment="1">
      <alignment horizontal="justify" vertical="center"/>
    </xf>
    <xf numFmtId="165" fontId="3" fillId="7" borderId="13" xfId="5" applyFont="1" applyFill="1" applyBorder="1" applyAlignment="1">
      <alignment horizontal="center" vertical="center"/>
    </xf>
    <xf numFmtId="168" fontId="2" fillId="0" borderId="13" xfId="0" applyFont="1" applyBorder="1" applyAlignment="1">
      <alignment horizontal="center"/>
    </xf>
    <xf numFmtId="0" fontId="3" fillId="0" borderId="13" xfId="0" applyNumberFormat="1" applyFont="1" applyBorder="1" applyAlignment="1">
      <alignment horizontal="center" vertical="center"/>
    </xf>
    <xf numFmtId="168" fontId="3" fillId="0" borderId="13" xfId="0" applyFont="1" applyBorder="1" applyAlignment="1">
      <alignment horizontal="center" vertical="center"/>
    </xf>
    <xf numFmtId="165" fontId="3" fillId="0" borderId="13" xfId="0" applyNumberFormat="1" applyFont="1" applyBorder="1" applyAlignment="1">
      <alignment vertical="center"/>
    </xf>
    <xf numFmtId="0" fontId="2" fillId="2" borderId="13" xfId="7" applyFont="1" applyFill="1" applyBorder="1" applyAlignment="1">
      <alignment horizontal="center" vertical="center"/>
    </xf>
    <xf numFmtId="0" fontId="3" fillId="7" borderId="13" xfId="0" applyNumberFormat="1" applyFont="1" applyFill="1" applyBorder="1" applyAlignment="1">
      <alignment horizontal="left" vertical="center"/>
    </xf>
    <xf numFmtId="0" fontId="3" fillId="7" borderId="13" xfId="0" applyNumberFormat="1" applyFont="1" applyFill="1" applyBorder="1" applyAlignment="1">
      <alignment horizontal="justify" vertical="center"/>
    </xf>
    <xf numFmtId="168" fontId="3" fillId="7" borderId="13" xfId="0" applyFont="1" applyFill="1" applyBorder="1" applyAlignment="1">
      <alignment horizontal="left" vertical="center"/>
    </xf>
    <xf numFmtId="0" fontId="2" fillId="0" borderId="13" xfId="7" applyFont="1" applyBorder="1" applyAlignment="1">
      <alignment horizontal="center" vertical="center"/>
    </xf>
    <xf numFmtId="168" fontId="3" fillId="0" borderId="13" xfId="0" applyFont="1" applyBorder="1" applyAlignment="1">
      <alignment horizontal="left" vertical="center"/>
    </xf>
    <xf numFmtId="174" fontId="2" fillId="0" borderId="13" xfId="3" applyNumberFormat="1" applyFont="1" applyFill="1" applyBorder="1" applyAlignment="1">
      <alignment vertical="center" wrapText="1"/>
    </xf>
    <xf numFmtId="0" fontId="2" fillId="2" borderId="13" xfId="1" applyNumberFormat="1" applyFont="1" applyFill="1" applyBorder="1" applyAlignment="1">
      <alignment horizontal="center" vertical="center" wrapText="1"/>
    </xf>
    <xf numFmtId="165" fontId="2" fillId="2" borderId="15" xfId="5" applyFont="1" applyFill="1" applyBorder="1" applyAlignment="1">
      <alignment horizontal="justify" vertical="center"/>
    </xf>
    <xf numFmtId="165" fontId="2" fillId="2" borderId="16" xfId="5" applyFont="1" applyFill="1" applyBorder="1" applyAlignment="1">
      <alignment horizontal="justify" vertical="center"/>
    </xf>
    <xf numFmtId="165" fontId="2" fillId="0" borderId="15" xfId="5" applyFont="1" applyFill="1" applyBorder="1" applyAlignment="1">
      <alignment horizontal="justify" vertical="center"/>
    </xf>
    <xf numFmtId="165" fontId="2" fillId="0" borderId="16" xfId="5" applyFont="1" applyFill="1" applyBorder="1" applyAlignment="1">
      <alignment horizontal="justify" vertical="center"/>
    </xf>
    <xf numFmtId="0" fontId="2" fillId="0" borderId="15" xfId="7" applyFont="1" applyBorder="1" applyAlignment="1">
      <alignment horizontal="center" vertical="center" wrapText="1"/>
    </xf>
    <xf numFmtId="1" fontId="2" fillId="0" borderId="13" xfId="0" applyNumberFormat="1" applyFont="1" applyBorder="1" applyAlignment="1">
      <alignment horizontal="center" vertical="center" wrapText="1"/>
    </xf>
    <xf numFmtId="0" fontId="3" fillId="7" borderId="15" xfId="7" applyFont="1" applyFill="1" applyBorder="1" applyAlignment="1">
      <alignment vertical="center"/>
    </xf>
    <xf numFmtId="0" fontId="3" fillId="7" borderId="16" xfId="7" applyFont="1" applyFill="1" applyBorder="1" applyAlignment="1">
      <alignment vertical="center"/>
    </xf>
    <xf numFmtId="168" fontId="2" fillId="7" borderId="13" xfId="0" applyFont="1" applyFill="1" applyBorder="1" applyAlignment="1">
      <alignment horizontal="right" vertical="center"/>
    </xf>
    <xf numFmtId="49" fontId="2" fillId="2" borderId="31" xfId="0" applyNumberFormat="1" applyFont="1" applyFill="1" applyBorder="1" applyAlignment="1">
      <alignment horizontal="center" vertical="center" wrapText="1"/>
    </xf>
    <xf numFmtId="165" fontId="3" fillId="7" borderId="15" xfId="8" applyFont="1" applyFill="1" applyBorder="1" applyAlignment="1">
      <alignment horizontal="center" vertical="center"/>
    </xf>
    <xf numFmtId="165" fontId="3" fillId="7" borderId="16" xfId="8" applyFont="1" applyFill="1" applyBorder="1" applyAlignment="1">
      <alignment horizontal="center" vertical="center"/>
    </xf>
    <xf numFmtId="165" fontId="2" fillId="7" borderId="13" xfId="8" applyFont="1" applyFill="1" applyBorder="1" applyAlignment="1">
      <alignment horizontal="center" vertical="center"/>
    </xf>
    <xf numFmtId="49" fontId="2" fillId="0" borderId="13" xfId="7" applyNumberFormat="1" applyFont="1" applyBorder="1" applyAlignment="1">
      <alignment horizontal="justify" vertical="center" wrapText="1"/>
    </xf>
    <xf numFmtId="4" fontId="2" fillId="0" borderId="13" xfId="0" applyNumberFormat="1" applyFont="1" applyBorder="1" applyAlignment="1">
      <alignment vertical="center" wrapText="1"/>
    </xf>
    <xf numFmtId="168" fontId="2" fillId="0" borderId="17" xfId="0" applyFont="1" applyBorder="1"/>
    <xf numFmtId="0" fontId="3" fillId="0" borderId="17" xfId="0" applyNumberFormat="1" applyFont="1" applyBorder="1" applyAlignment="1">
      <alignment horizontal="left" vertical="center" wrapText="1"/>
    </xf>
    <xf numFmtId="168" fontId="3" fillId="7" borderId="21" xfId="0" applyFont="1" applyFill="1" applyBorder="1" applyAlignment="1">
      <alignment vertical="center"/>
    </xf>
    <xf numFmtId="0" fontId="2" fillId="7" borderId="17" xfId="0" applyNumberFormat="1" applyFont="1" applyFill="1" applyBorder="1" applyAlignment="1">
      <alignment horizontal="center" vertical="center"/>
    </xf>
    <xf numFmtId="0" fontId="3" fillId="7" borderId="17" xfId="0" applyNumberFormat="1" applyFont="1" applyFill="1" applyBorder="1" applyAlignment="1">
      <alignment horizontal="justify" vertical="center" wrapText="1"/>
    </xf>
    <xf numFmtId="168" fontId="3" fillId="7" borderId="17" xfId="0" applyFont="1" applyFill="1" applyBorder="1" applyAlignment="1">
      <alignment horizontal="justify" vertical="center" wrapText="1"/>
    </xf>
    <xf numFmtId="168" fontId="2" fillId="7" borderId="17" xfId="0" applyFont="1" applyFill="1" applyBorder="1" applyAlignment="1">
      <alignment vertical="center"/>
    </xf>
    <xf numFmtId="168" fontId="3" fillId="7" borderId="17" xfId="0" applyFont="1" applyFill="1" applyBorder="1" applyAlignment="1">
      <alignment horizontal="center" vertical="center"/>
    </xf>
    <xf numFmtId="165" fontId="3" fillId="7" borderId="17" xfId="8" applyFont="1" applyFill="1" applyBorder="1" applyAlignment="1">
      <alignment horizontal="center" vertical="center"/>
    </xf>
    <xf numFmtId="168" fontId="2" fillId="0" borderId="19" xfId="0" applyFont="1" applyBorder="1"/>
    <xf numFmtId="0" fontId="3" fillId="0" borderId="19" xfId="0" applyNumberFormat="1" applyFont="1" applyBorder="1" applyAlignment="1">
      <alignment horizontal="left" vertical="center" wrapText="1"/>
    </xf>
    <xf numFmtId="168" fontId="2" fillId="0" borderId="19" xfId="0" applyFont="1" applyBorder="1" applyAlignment="1">
      <alignment horizontal="center" vertical="center"/>
    </xf>
    <xf numFmtId="0" fontId="2" fillId="2" borderId="19" xfId="6" applyNumberFormat="1" applyFont="1" applyFill="1" applyBorder="1">
      <alignment horizontal="center" vertical="center" wrapText="1"/>
    </xf>
    <xf numFmtId="0" fontId="2" fillId="0" borderId="19" xfId="7" applyFont="1" applyBorder="1" applyAlignment="1">
      <alignment horizontal="justify" vertical="center" wrapText="1"/>
    </xf>
    <xf numFmtId="0" fontId="2" fillId="0" borderId="19" xfId="7" applyFont="1" applyBorder="1" applyAlignment="1">
      <alignment horizontal="center" vertical="center" wrapText="1"/>
    </xf>
    <xf numFmtId="165" fontId="2" fillId="0" borderId="19" xfId="5" applyFont="1" applyFill="1" applyBorder="1" applyAlignment="1">
      <alignment horizontal="justify" vertical="center"/>
    </xf>
    <xf numFmtId="165" fontId="2" fillId="0" borderId="24" xfId="5" applyFont="1" applyFill="1" applyBorder="1" applyAlignment="1">
      <alignment horizontal="justify" vertical="center"/>
    </xf>
    <xf numFmtId="165" fontId="2" fillId="0" borderId="26" xfId="5" applyFont="1" applyFill="1" applyBorder="1" applyAlignment="1">
      <alignment horizontal="justify" vertical="center"/>
    </xf>
    <xf numFmtId="165" fontId="2" fillId="0" borderId="19" xfId="8" applyFont="1" applyFill="1" applyBorder="1" applyAlignment="1">
      <alignment horizontal="right" vertical="center" wrapText="1"/>
    </xf>
    <xf numFmtId="165" fontId="2" fillId="0" borderId="19" xfId="0" applyNumberFormat="1" applyFont="1" applyBorder="1" applyAlignment="1">
      <alignment vertical="center"/>
    </xf>
    <xf numFmtId="165" fontId="2" fillId="0" borderId="19" xfId="0" applyNumberFormat="1" applyFont="1" applyBorder="1" applyAlignment="1">
      <alignment horizontal="center" vertical="center"/>
    </xf>
    <xf numFmtId="0" fontId="3" fillId="7" borderId="30" xfId="0" applyNumberFormat="1" applyFont="1" applyFill="1" applyBorder="1" applyAlignment="1">
      <alignment horizontal="justify" vertical="center" wrapText="1"/>
    </xf>
    <xf numFmtId="49" fontId="2" fillId="2" borderId="31" xfId="0" applyNumberFormat="1" applyFont="1" applyFill="1" applyBorder="1" applyAlignment="1">
      <alignment horizontal="center" vertical="center"/>
    </xf>
    <xf numFmtId="49" fontId="2" fillId="2" borderId="13" xfId="7" applyNumberFormat="1" applyFont="1" applyFill="1" applyBorder="1" applyAlignment="1">
      <alignment horizontal="justify" vertical="center" wrapText="1"/>
    </xf>
    <xf numFmtId="167" fontId="2" fillId="0" borderId="15" xfId="3" applyFont="1" applyFill="1" applyBorder="1" applyAlignment="1">
      <alignment horizontal="center" vertical="center"/>
    </xf>
    <xf numFmtId="43" fontId="2" fillId="2" borderId="13" xfId="1" applyFont="1" applyFill="1" applyBorder="1" applyAlignment="1">
      <alignment vertical="center"/>
    </xf>
    <xf numFmtId="165" fontId="2" fillId="0" borderId="15" xfId="8" applyFont="1" applyFill="1" applyBorder="1" applyAlignment="1">
      <alignment horizontal="center" vertical="center"/>
    </xf>
    <xf numFmtId="43" fontId="3" fillId="7" borderId="13" xfId="0" applyNumberFormat="1" applyFont="1" applyFill="1" applyBorder="1" applyAlignment="1">
      <alignment vertical="center"/>
    </xf>
    <xf numFmtId="43" fontId="3" fillId="7" borderId="15" xfId="0" applyNumberFormat="1" applyFont="1" applyFill="1" applyBorder="1" applyAlignment="1">
      <alignment vertical="center"/>
    </xf>
    <xf numFmtId="43" fontId="3" fillId="7" borderId="16" xfId="0" applyNumberFormat="1" applyFont="1" applyFill="1" applyBorder="1" applyAlignment="1">
      <alignment vertical="center"/>
    </xf>
    <xf numFmtId="43" fontId="3" fillId="7" borderId="13" xfId="0" applyNumberFormat="1" applyFont="1" applyFill="1" applyBorder="1" applyAlignment="1">
      <alignment horizontal="center" vertical="center"/>
    </xf>
    <xf numFmtId="165" fontId="2" fillId="2" borderId="13" xfId="5" applyFont="1" applyFill="1" applyBorder="1" applyAlignment="1">
      <alignment horizontal="right" vertical="center"/>
    </xf>
    <xf numFmtId="165" fontId="2" fillId="2" borderId="13" xfId="0" applyNumberFormat="1" applyFont="1" applyFill="1" applyBorder="1" applyAlignment="1">
      <alignment horizontal="right" vertical="center" wrapText="1"/>
    </xf>
    <xf numFmtId="168" fontId="2" fillId="0" borderId="15" xfId="0" applyFont="1" applyBorder="1"/>
    <xf numFmtId="165" fontId="2" fillId="0" borderId="23" xfId="0" applyNumberFormat="1" applyFont="1" applyBorder="1" applyAlignment="1">
      <alignment horizontal="center" vertical="center"/>
    </xf>
    <xf numFmtId="165" fontId="2" fillId="0" borderId="15" xfId="5" applyFont="1" applyFill="1" applyBorder="1" applyAlignment="1">
      <alignment horizontal="right" vertical="center"/>
    </xf>
    <xf numFmtId="165" fontId="3" fillId="7" borderId="15" xfId="0" applyNumberFormat="1" applyFont="1" applyFill="1" applyBorder="1" applyAlignment="1">
      <alignment vertical="center"/>
    </xf>
    <xf numFmtId="165" fontId="3" fillId="7" borderId="16" xfId="0" applyNumberFormat="1" applyFont="1" applyFill="1" applyBorder="1" applyAlignment="1">
      <alignment vertical="center"/>
    </xf>
    <xf numFmtId="165" fontId="2" fillId="2" borderId="15" xfId="8" applyFont="1" applyFill="1" applyBorder="1" applyAlignment="1">
      <alignment horizontal="center" vertical="center"/>
    </xf>
    <xf numFmtId="165" fontId="2" fillId="0" borderId="15" xfId="8" applyFont="1" applyFill="1" applyBorder="1" applyAlignment="1">
      <alignment vertical="center"/>
    </xf>
    <xf numFmtId="43" fontId="3" fillId="6" borderId="13" xfId="0" applyNumberFormat="1" applyFont="1" applyFill="1" applyBorder="1" applyAlignment="1">
      <alignment vertical="center"/>
    </xf>
    <xf numFmtId="43" fontId="3" fillId="6" borderId="13" xfId="0" applyNumberFormat="1" applyFont="1" applyFill="1" applyBorder="1" applyAlignment="1">
      <alignment horizontal="center" vertical="center"/>
    </xf>
    <xf numFmtId="168" fontId="3" fillId="7" borderId="13" xfId="0" applyFont="1" applyFill="1" applyBorder="1" applyAlignment="1">
      <alignment horizontal="justify" vertical="center"/>
    </xf>
    <xf numFmtId="165" fontId="2" fillId="0" borderId="15" xfId="0" applyNumberFormat="1" applyFont="1" applyBorder="1" applyAlignment="1">
      <alignment vertical="center"/>
    </xf>
    <xf numFmtId="165" fontId="2" fillId="0" borderId="16" xfId="0" applyNumberFormat="1" applyFont="1" applyBorder="1" applyAlignment="1">
      <alignment vertical="center"/>
    </xf>
    <xf numFmtId="165" fontId="2" fillId="2" borderId="15" xfId="0" applyNumberFormat="1" applyFont="1" applyFill="1" applyBorder="1" applyAlignment="1">
      <alignment vertical="center"/>
    </xf>
    <xf numFmtId="165" fontId="2" fillId="2" borderId="16" xfId="0" applyNumberFormat="1" applyFont="1" applyFill="1" applyBorder="1" applyAlignment="1">
      <alignment vertical="center"/>
    </xf>
    <xf numFmtId="0" fontId="2" fillId="7" borderId="13" xfId="0" applyNumberFormat="1" applyFont="1" applyFill="1" applyBorder="1" applyAlignment="1">
      <alignment horizontal="center" vertical="center" wrapText="1"/>
    </xf>
    <xf numFmtId="0" fontId="2" fillId="7" borderId="13" xfId="0" applyNumberFormat="1" applyFont="1" applyFill="1" applyBorder="1" applyAlignment="1">
      <alignment horizontal="justify" vertical="center" wrapText="1"/>
    </xf>
    <xf numFmtId="165" fontId="2" fillId="0" borderId="15" xfId="8" applyFont="1" applyFill="1" applyBorder="1" applyAlignment="1">
      <alignment horizontal="right" vertical="center"/>
    </xf>
    <xf numFmtId="165" fontId="2" fillId="0" borderId="13" xfId="5" applyFont="1" applyFill="1" applyBorder="1" applyAlignment="1">
      <alignment horizontal="center" vertical="center" wrapText="1"/>
    </xf>
    <xf numFmtId="43" fontId="2" fillId="0" borderId="13" xfId="12" applyFont="1" applyFill="1" applyBorder="1" applyAlignment="1">
      <alignment horizontal="center" vertical="center"/>
    </xf>
    <xf numFmtId="43" fontId="2" fillId="0" borderId="13" xfId="12" applyFont="1" applyFill="1" applyBorder="1" applyAlignment="1">
      <alignment horizontal="right" vertical="center"/>
    </xf>
    <xf numFmtId="0" fontId="3" fillId="7" borderId="13" xfId="0" applyNumberFormat="1" applyFont="1" applyFill="1" applyBorder="1" applyAlignment="1">
      <alignment horizontal="left" vertical="center" wrapText="1"/>
    </xf>
    <xf numFmtId="165" fontId="3" fillId="7" borderId="3" xfId="0" applyNumberFormat="1" applyFont="1" applyFill="1" applyBorder="1" applyAlignment="1">
      <alignment horizontal="center" vertical="center"/>
    </xf>
    <xf numFmtId="0" fontId="2" fillId="0" borderId="13" xfId="12" applyNumberFormat="1" applyFont="1" applyFill="1" applyBorder="1" applyAlignment="1">
      <alignment horizontal="center" vertical="center" wrapText="1"/>
    </xf>
    <xf numFmtId="3" fontId="2" fillId="0" borderId="13" xfId="0" applyNumberFormat="1" applyFont="1" applyBorder="1" applyAlignment="1">
      <alignment horizontal="justify" vertical="center" wrapText="1"/>
    </xf>
    <xf numFmtId="165" fontId="2" fillId="0" borderId="13" xfId="0" applyNumberFormat="1" applyFont="1" applyBorder="1" applyAlignment="1">
      <alignment vertical="center" wrapText="1"/>
    </xf>
    <xf numFmtId="0" fontId="2" fillId="2" borderId="13" xfId="12" applyNumberFormat="1" applyFont="1" applyFill="1" applyBorder="1" applyAlignment="1">
      <alignment horizontal="center" vertical="center" wrapText="1"/>
    </xf>
    <xf numFmtId="0" fontId="2" fillId="6" borderId="13" xfId="0" applyNumberFormat="1" applyFont="1" applyFill="1" applyBorder="1" applyAlignment="1">
      <alignment horizontal="center" vertical="center" wrapText="1"/>
    </xf>
    <xf numFmtId="168" fontId="2" fillId="6" borderId="13" xfId="0" applyFont="1" applyFill="1" applyBorder="1" applyAlignment="1">
      <alignment vertical="center" wrapText="1"/>
    </xf>
    <xf numFmtId="168" fontId="3" fillId="6" borderId="13" xfId="0" applyFont="1" applyFill="1" applyBorder="1" applyAlignment="1">
      <alignment horizontal="center" vertical="center" wrapText="1"/>
    </xf>
    <xf numFmtId="165" fontId="3" fillId="6" borderId="13" xfId="0" applyNumberFormat="1" applyFont="1" applyFill="1" applyBorder="1" applyAlignment="1">
      <alignment vertical="center" wrapText="1"/>
    </xf>
    <xf numFmtId="165" fontId="3" fillId="6" borderId="13" xfId="0" applyNumberFormat="1" applyFont="1" applyFill="1" applyBorder="1" applyAlignment="1">
      <alignment horizontal="center" vertical="center" wrapText="1"/>
    </xf>
    <xf numFmtId="0" fontId="3" fillId="0" borderId="13" xfId="0" applyNumberFormat="1" applyFont="1" applyBorder="1" applyAlignment="1">
      <alignment horizontal="left" vertical="center"/>
    </xf>
    <xf numFmtId="165" fontId="2" fillId="7" borderId="13" xfId="0" applyNumberFormat="1" applyFont="1" applyFill="1" applyBorder="1" applyAlignment="1">
      <alignment vertical="center" wrapText="1"/>
    </xf>
    <xf numFmtId="165" fontId="3" fillId="7" borderId="13" xfId="0" applyNumberFormat="1" applyFont="1" applyFill="1" applyBorder="1" applyAlignment="1">
      <alignment vertical="center" wrapText="1"/>
    </xf>
    <xf numFmtId="168" fontId="2" fillId="7" borderId="13" xfId="0" applyFont="1" applyFill="1" applyBorder="1" applyAlignment="1">
      <alignment vertical="center" wrapText="1"/>
    </xf>
    <xf numFmtId="168" fontId="3" fillId="7" borderId="13" xfId="0" applyFont="1" applyFill="1" applyBorder="1" applyAlignment="1">
      <alignment horizontal="center" vertical="center" wrapText="1"/>
    </xf>
    <xf numFmtId="0" fontId="3" fillId="7" borderId="15" xfId="0" applyNumberFormat="1" applyFont="1" applyFill="1" applyBorder="1" applyAlignment="1">
      <alignment vertical="center"/>
    </xf>
    <xf numFmtId="0" fontId="3" fillId="7" borderId="16" xfId="0" applyNumberFormat="1" applyFont="1" applyFill="1" applyBorder="1" applyAlignment="1">
      <alignment vertical="center"/>
    </xf>
    <xf numFmtId="0" fontId="2" fillId="0" borderId="13" xfId="0" applyNumberFormat="1" applyFont="1" applyBorder="1" applyAlignment="1" applyProtection="1">
      <alignment horizontal="center" vertical="center"/>
      <protection locked="0"/>
    </xf>
    <xf numFmtId="0" fontId="3" fillId="10" borderId="13" xfId="0" applyNumberFormat="1" applyFont="1" applyFill="1" applyBorder="1" applyAlignment="1">
      <alignment horizontal="left" vertical="center"/>
    </xf>
    <xf numFmtId="0" fontId="3" fillId="10" borderId="13" xfId="0" applyNumberFormat="1" applyFont="1" applyFill="1" applyBorder="1" applyAlignment="1">
      <alignment horizontal="center" vertical="center"/>
    </xf>
    <xf numFmtId="0" fontId="3" fillId="10" borderId="13" xfId="0" applyNumberFormat="1" applyFont="1" applyFill="1" applyBorder="1" applyAlignment="1">
      <alignment horizontal="justify" vertical="center" wrapText="1"/>
    </xf>
    <xf numFmtId="0" fontId="3" fillId="10" borderId="13" xfId="0" applyNumberFormat="1" applyFont="1" applyFill="1" applyBorder="1" applyAlignment="1">
      <alignment horizontal="center" vertical="center" wrapText="1"/>
    </xf>
    <xf numFmtId="168" fontId="3" fillId="10" borderId="13" xfId="0" applyFont="1" applyFill="1" applyBorder="1" applyAlignment="1">
      <alignment horizontal="justify" vertical="center" wrapText="1"/>
    </xf>
    <xf numFmtId="165" fontId="3" fillId="0" borderId="13" xfId="5" applyFont="1" applyFill="1" applyBorder="1" applyAlignment="1">
      <alignment horizontal="justify" vertical="center"/>
    </xf>
    <xf numFmtId="165" fontId="2" fillId="0" borderId="16" xfId="8" applyFont="1" applyFill="1" applyBorder="1" applyAlignment="1">
      <alignment vertical="center"/>
    </xf>
    <xf numFmtId="165" fontId="2" fillId="0" borderId="13" xfId="0" applyNumberFormat="1" applyFont="1" applyBorder="1" applyAlignment="1">
      <alignment horizontal="justify" vertical="center" wrapText="1"/>
    </xf>
    <xf numFmtId="165" fontId="2" fillId="0" borderId="15" xfId="0" applyNumberFormat="1" applyFont="1" applyBorder="1" applyAlignment="1">
      <alignment horizontal="justify" vertical="center" wrapText="1"/>
    </xf>
    <xf numFmtId="165" fontId="2" fillId="0" borderId="13" xfId="5" applyFont="1" applyFill="1" applyBorder="1" applyAlignment="1">
      <alignment horizontal="justify" vertical="center" wrapText="1"/>
    </xf>
    <xf numFmtId="165" fontId="2" fillId="0" borderId="13" xfId="0" applyNumberFormat="1" applyFont="1" applyBorder="1" applyAlignment="1">
      <alignment horizontal="right" vertical="center"/>
    </xf>
    <xf numFmtId="165" fontId="2" fillId="0" borderId="16" xfId="0" applyNumberFormat="1" applyFont="1" applyBorder="1" applyAlignment="1">
      <alignment horizontal="justify" vertical="center" wrapText="1"/>
    </xf>
    <xf numFmtId="0" fontId="3" fillId="0" borderId="3" xfId="0" applyNumberFormat="1" applyFont="1" applyBorder="1" applyAlignment="1">
      <alignment horizontal="left" vertical="center"/>
    </xf>
    <xf numFmtId="0" fontId="3" fillId="0" borderId="3" xfId="0" applyNumberFormat="1" applyFont="1" applyBorder="1" applyAlignment="1">
      <alignment horizontal="center" vertical="center"/>
    </xf>
    <xf numFmtId="0" fontId="3" fillId="0" borderId="3" xfId="0" applyNumberFormat="1" applyFont="1" applyBorder="1" applyAlignment="1">
      <alignment horizontal="justify" vertical="center" wrapText="1"/>
    </xf>
    <xf numFmtId="0" fontId="3" fillId="0" borderId="3" xfId="0" applyNumberFormat="1" applyFont="1" applyBorder="1" applyAlignment="1">
      <alignment horizontal="center" vertical="center" wrapText="1"/>
    </xf>
    <xf numFmtId="168" fontId="3" fillId="0" borderId="3" xfId="0" applyFont="1" applyBorder="1" applyAlignment="1">
      <alignment horizontal="justify" vertical="center" wrapText="1"/>
    </xf>
    <xf numFmtId="0" fontId="2" fillId="11" borderId="3" xfId="0" applyNumberFormat="1" applyFont="1" applyFill="1" applyBorder="1" applyAlignment="1">
      <alignment horizontal="left" vertical="center"/>
    </xf>
    <xf numFmtId="0" fontId="2" fillId="11" borderId="3" xfId="0" applyNumberFormat="1" applyFont="1" applyFill="1" applyBorder="1" applyAlignment="1">
      <alignment horizontal="center" vertical="center"/>
    </xf>
    <xf numFmtId="0" fontId="2" fillId="11" borderId="3" xfId="0" applyNumberFormat="1" applyFont="1" applyFill="1" applyBorder="1" applyAlignment="1">
      <alignment horizontal="justify" vertical="center" wrapText="1"/>
    </xf>
    <xf numFmtId="0" fontId="2" fillId="11" borderId="3" xfId="0" applyNumberFormat="1" applyFont="1" applyFill="1" applyBorder="1" applyAlignment="1">
      <alignment horizontal="center" vertical="center" wrapText="1"/>
    </xf>
    <xf numFmtId="168" fontId="2" fillId="11" borderId="3" xfId="0" applyFont="1" applyFill="1" applyBorder="1" applyAlignment="1">
      <alignment horizontal="justify" vertical="center" wrapText="1"/>
    </xf>
    <xf numFmtId="168" fontId="3" fillId="0" borderId="13" xfId="0" applyFont="1" applyBorder="1" applyAlignment="1">
      <alignment horizontal="justify" vertical="center" wrapText="1"/>
    </xf>
    <xf numFmtId="168" fontId="3" fillId="0" borderId="13" xfId="0" applyFont="1" applyBorder="1" applyAlignment="1">
      <alignment horizontal="justify" vertical="center"/>
    </xf>
    <xf numFmtId="0" fontId="3" fillId="9" borderId="30" xfId="0" applyNumberFormat="1" applyFont="1" applyFill="1" applyBorder="1" applyAlignment="1">
      <alignment horizontal="left" vertical="center" wrapText="1"/>
    </xf>
    <xf numFmtId="0" fontId="3" fillId="9" borderId="30" xfId="0" applyNumberFormat="1" applyFont="1" applyFill="1" applyBorder="1" applyAlignment="1">
      <alignment horizontal="center" vertical="center" wrapText="1"/>
    </xf>
    <xf numFmtId="0" fontId="3" fillId="9" borderId="30" xfId="0" applyNumberFormat="1" applyFont="1" applyFill="1" applyBorder="1" applyAlignment="1">
      <alignment horizontal="justify" vertical="center" wrapText="1"/>
    </xf>
    <xf numFmtId="168" fontId="3" fillId="9" borderId="30" xfId="0" applyFont="1" applyFill="1" applyBorder="1" applyAlignment="1">
      <alignment horizontal="justify" vertical="center" wrapText="1"/>
    </xf>
    <xf numFmtId="168" fontId="3" fillId="9" borderId="30" xfId="0" applyFont="1" applyFill="1" applyBorder="1" applyAlignment="1">
      <alignment horizontal="center" vertical="center" wrapText="1"/>
    </xf>
    <xf numFmtId="168" fontId="3" fillId="9" borderId="30" xfId="0" applyFont="1" applyFill="1" applyBorder="1" applyAlignment="1">
      <alignment horizontal="center" vertical="center"/>
    </xf>
    <xf numFmtId="165" fontId="3" fillId="15" borderId="20" xfId="0" applyNumberFormat="1" applyFont="1" applyFill="1" applyBorder="1" applyAlignment="1">
      <alignment vertical="center"/>
    </xf>
    <xf numFmtId="165" fontId="3" fillId="15" borderId="37" xfId="0" applyNumberFormat="1" applyFont="1" applyFill="1" applyBorder="1" applyAlignment="1">
      <alignment horizontal="center" vertical="center"/>
    </xf>
    <xf numFmtId="165" fontId="3" fillId="7" borderId="37" xfId="8" applyFont="1" applyFill="1" applyBorder="1" applyAlignment="1">
      <alignment horizontal="center" vertical="center"/>
    </xf>
    <xf numFmtId="0" fontId="2" fillId="2" borderId="3" xfId="7" applyFont="1" applyFill="1" applyBorder="1" applyAlignment="1">
      <alignment horizontal="center" vertical="center" wrapText="1"/>
    </xf>
    <xf numFmtId="0" fontId="3" fillId="11" borderId="3" xfId="0" applyNumberFormat="1" applyFont="1" applyFill="1" applyBorder="1" applyAlignment="1">
      <alignment horizontal="left" vertical="center"/>
    </xf>
    <xf numFmtId="0" fontId="3" fillId="4" borderId="34" xfId="0" applyNumberFormat="1" applyFont="1" applyFill="1" applyBorder="1" applyAlignment="1">
      <alignment horizontal="left" vertical="center"/>
    </xf>
    <xf numFmtId="0" fontId="3" fillId="4" borderId="35" xfId="0" applyNumberFormat="1" applyFont="1" applyFill="1" applyBorder="1" applyAlignment="1">
      <alignment horizontal="center" vertical="center"/>
    </xf>
    <xf numFmtId="168" fontId="3" fillId="4" borderId="35" xfId="0" applyFont="1" applyFill="1" applyBorder="1" applyAlignment="1">
      <alignment horizontal="center"/>
    </xf>
    <xf numFmtId="168" fontId="3" fillId="4" borderId="36" xfId="0" applyFont="1" applyFill="1" applyBorder="1" applyAlignment="1">
      <alignment horizontal="center" vertical="center"/>
    </xf>
    <xf numFmtId="0" fontId="13" fillId="5" borderId="39" xfId="0" applyNumberFormat="1" applyFont="1" applyFill="1" applyBorder="1" applyAlignment="1">
      <alignment horizontal="center" vertical="center"/>
    </xf>
    <xf numFmtId="0" fontId="13" fillId="5" borderId="39" xfId="0" applyNumberFormat="1" applyFont="1" applyFill="1" applyBorder="1" applyAlignment="1">
      <alignment horizontal="left" vertical="center"/>
    </xf>
    <xf numFmtId="0" fontId="13" fillId="5" borderId="13" xfId="0" applyNumberFormat="1" applyFont="1" applyFill="1" applyBorder="1" applyAlignment="1">
      <alignment horizontal="justify" vertical="center" wrapText="1"/>
    </xf>
    <xf numFmtId="165" fontId="13" fillId="5" borderId="13" xfId="0" applyNumberFormat="1" applyFont="1" applyFill="1" applyBorder="1" applyAlignment="1">
      <alignment horizontal="left" vertical="center"/>
    </xf>
    <xf numFmtId="165" fontId="13" fillId="5" borderId="13" xfId="0" applyNumberFormat="1" applyFont="1" applyFill="1" applyBorder="1" applyAlignment="1">
      <alignment horizontal="center" vertical="center"/>
    </xf>
    <xf numFmtId="0" fontId="31" fillId="5" borderId="13" xfId="0" applyNumberFormat="1" applyFont="1" applyFill="1" applyBorder="1" applyAlignment="1">
      <alignment horizontal="center" vertical="center"/>
    </xf>
    <xf numFmtId="0" fontId="13" fillId="5" borderId="13" xfId="0" applyNumberFormat="1" applyFont="1" applyFill="1" applyBorder="1" applyAlignment="1">
      <alignment horizontal="center" vertical="center" wrapText="1"/>
    </xf>
    <xf numFmtId="168" fontId="13" fillId="5" borderId="13" xfId="0" applyFont="1" applyFill="1" applyBorder="1" applyAlignment="1">
      <alignment horizontal="justify" vertical="center" wrapText="1"/>
    </xf>
    <xf numFmtId="168" fontId="31" fillId="5" borderId="13" xfId="0" applyFont="1" applyFill="1" applyBorder="1" applyAlignment="1">
      <alignment horizontal="center" vertical="center"/>
    </xf>
    <xf numFmtId="168" fontId="31" fillId="2" borderId="0" xfId="0" applyFont="1" applyFill="1"/>
    <xf numFmtId="168" fontId="31" fillId="0" borderId="0" xfId="0" applyFont="1"/>
    <xf numFmtId="0" fontId="3" fillId="6" borderId="18" xfId="0" applyNumberFormat="1" applyFont="1" applyFill="1" applyBorder="1" applyAlignment="1">
      <alignment vertical="center"/>
    </xf>
    <xf numFmtId="0" fontId="3" fillId="6" borderId="16" xfId="0" applyNumberFormat="1" applyFont="1" applyFill="1" applyBorder="1" applyAlignment="1">
      <alignment vertical="center"/>
    </xf>
    <xf numFmtId="0" fontId="3" fillId="16" borderId="16" xfId="0" applyNumberFormat="1" applyFont="1" applyFill="1" applyBorder="1" applyAlignment="1">
      <alignment horizontal="left" vertical="center"/>
    </xf>
    <xf numFmtId="168" fontId="13" fillId="5" borderId="39" xfId="0" applyFont="1" applyFill="1" applyBorder="1" applyAlignment="1">
      <alignment horizontal="center" vertical="center"/>
    </xf>
    <xf numFmtId="0" fontId="13" fillId="5" borderId="39" xfId="0" applyNumberFormat="1" applyFont="1" applyFill="1" applyBorder="1" applyAlignment="1">
      <alignment horizontal="justify" vertical="center" wrapText="1"/>
    </xf>
    <xf numFmtId="0" fontId="31" fillId="5" borderId="39" xfId="0" applyNumberFormat="1" applyFont="1" applyFill="1" applyBorder="1" applyAlignment="1">
      <alignment horizontal="center" vertical="center"/>
    </xf>
    <xf numFmtId="0" fontId="13" fillId="5" borderId="39" xfId="0" applyNumberFormat="1" applyFont="1" applyFill="1" applyBorder="1" applyAlignment="1">
      <alignment horizontal="center" vertical="center" wrapText="1"/>
    </xf>
    <xf numFmtId="168" fontId="13" fillId="5" borderId="39" xfId="0" applyFont="1" applyFill="1" applyBorder="1" applyAlignment="1">
      <alignment horizontal="justify" vertical="center" wrapText="1"/>
    </xf>
    <xf numFmtId="168" fontId="31" fillId="5" borderId="39" xfId="0" applyFont="1" applyFill="1" applyBorder="1" applyAlignment="1">
      <alignment horizontal="center" vertical="center"/>
    </xf>
    <xf numFmtId="165" fontId="13" fillId="5" borderId="39" xfId="0" applyNumberFormat="1" applyFont="1" applyFill="1" applyBorder="1" applyAlignment="1">
      <alignment horizontal="left" vertical="center"/>
    </xf>
    <xf numFmtId="165" fontId="13" fillId="5" borderId="39" xfId="0" applyNumberFormat="1" applyFont="1" applyFill="1" applyBorder="1" applyAlignment="1">
      <alignment horizontal="center" vertical="center"/>
    </xf>
    <xf numFmtId="168" fontId="13" fillId="2" borderId="0" xfId="0" applyFont="1" applyFill="1" applyAlignment="1">
      <alignment vertical="center"/>
    </xf>
    <xf numFmtId="168" fontId="13" fillId="0" borderId="0" xfId="0" applyFont="1" applyAlignment="1">
      <alignment vertical="center"/>
    </xf>
    <xf numFmtId="165" fontId="13" fillId="5" borderId="13" xfId="8" applyFont="1" applyFill="1" applyBorder="1" applyAlignment="1">
      <alignment horizontal="center" vertical="center"/>
    </xf>
    <xf numFmtId="0" fontId="3" fillId="48" borderId="13" xfId="0" applyNumberFormat="1" applyFont="1" applyFill="1" applyBorder="1" applyAlignment="1">
      <alignment horizontal="center" vertical="center" wrapText="1"/>
    </xf>
    <xf numFmtId="0" fontId="2" fillId="0" borderId="17" xfId="7"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2" fillId="0" borderId="30" xfId="0" applyNumberFormat="1" applyFont="1" applyBorder="1" applyAlignment="1" applyProtection="1">
      <alignment horizontal="justify" vertical="center" wrapText="1"/>
      <protection locked="0"/>
    </xf>
    <xf numFmtId="49" fontId="2" fillId="0" borderId="33" xfId="0" applyNumberFormat="1" applyFont="1" applyBorder="1" applyAlignment="1">
      <alignment horizontal="center" vertical="center"/>
    </xf>
    <xf numFmtId="170" fontId="2" fillId="0" borderId="15" xfId="5"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43" fontId="2" fillId="0" borderId="13" xfId="1" applyFont="1" applyFill="1" applyBorder="1"/>
    <xf numFmtId="43" fontId="2" fillId="0" borderId="13" xfId="1" applyFont="1" applyFill="1" applyBorder="1" applyAlignment="1">
      <alignment vertical="center" wrapText="1"/>
    </xf>
    <xf numFmtId="4" fontId="2" fillId="0" borderId="15" xfId="0" applyNumberFormat="1" applyFont="1" applyBorder="1" applyAlignment="1">
      <alignment vertical="center"/>
    </xf>
    <xf numFmtId="3" fontId="6" fillId="0" borderId="58" xfId="0" applyNumberFormat="1" applyFont="1" applyBorder="1" applyAlignment="1">
      <alignment horizontal="right" vertical="center" wrapText="1"/>
    </xf>
    <xf numFmtId="168" fontId="3" fillId="7" borderId="16" xfId="0" applyFont="1" applyFill="1" applyBorder="1" applyAlignment="1">
      <alignment horizontal="left" vertical="center"/>
    </xf>
    <xf numFmtId="0" fontId="3" fillId="7" borderId="30" xfId="0" applyNumberFormat="1" applyFont="1" applyFill="1" applyBorder="1" applyAlignment="1">
      <alignment horizontal="center" vertical="center" wrapText="1"/>
    </xf>
    <xf numFmtId="168" fontId="3" fillId="7" borderId="20" xfId="0" applyFont="1" applyFill="1" applyBorder="1" applyAlignment="1">
      <alignment vertical="center"/>
    </xf>
    <xf numFmtId="168" fontId="3" fillId="7" borderId="29" xfId="0" applyFont="1" applyFill="1" applyBorder="1" applyAlignment="1">
      <alignment vertical="center"/>
    </xf>
    <xf numFmtId="0" fontId="2" fillId="7" borderId="30" xfId="0" applyNumberFormat="1" applyFont="1" applyFill="1" applyBorder="1" applyAlignment="1">
      <alignment horizontal="center" vertical="center"/>
    </xf>
    <xf numFmtId="168" fontId="3" fillId="7" borderId="30" xfId="0" applyFont="1" applyFill="1" applyBorder="1" applyAlignment="1">
      <alignment horizontal="justify" vertical="center" wrapText="1"/>
    </xf>
    <xf numFmtId="168" fontId="2" fillId="7" borderId="30" xfId="0" applyFont="1" applyFill="1" applyBorder="1" applyAlignment="1">
      <alignment vertical="center"/>
    </xf>
    <xf numFmtId="168" fontId="3" fillId="7" borderId="30" xfId="0" applyFont="1" applyFill="1" applyBorder="1" applyAlignment="1">
      <alignment horizontal="center" vertical="center"/>
    </xf>
    <xf numFmtId="165" fontId="3" fillId="7" borderId="30" xfId="8" applyFont="1" applyFill="1" applyBorder="1" applyAlignment="1">
      <alignment horizontal="center" vertical="center"/>
    </xf>
    <xf numFmtId="168" fontId="3" fillId="7" borderId="25" xfId="0" applyFont="1" applyFill="1" applyBorder="1" applyAlignment="1">
      <alignment vertical="center"/>
    </xf>
    <xf numFmtId="0" fontId="3" fillId="7" borderId="25" xfId="0" applyNumberFormat="1" applyFont="1" applyFill="1" applyBorder="1" applyAlignment="1">
      <alignment horizontal="justify" vertical="center" wrapText="1"/>
    </xf>
    <xf numFmtId="0" fontId="2" fillId="0" borderId="3" xfId="9" applyFont="1" applyFill="1" applyBorder="1">
      <alignment horizontal="center" vertical="center" wrapText="1"/>
    </xf>
    <xf numFmtId="0" fontId="2" fillId="2" borderId="17" xfId="6" applyNumberFormat="1" applyFont="1" applyFill="1" applyBorder="1">
      <alignment horizontal="center" vertical="center" wrapText="1"/>
    </xf>
    <xf numFmtId="49" fontId="2" fillId="0" borderId="59" xfId="0" applyNumberFormat="1" applyFont="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8" xfId="0" applyNumberFormat="1" applyFont="1" applyFill="1" applyBorder="1" applyAlignment="1">
      <alignment horizontal="justify" vertical="center" wrapText="1"/>
    </xf>
    <xf numFmtId="0" fontId="2" fillId="2" borderId="15" xfId="0" applyNumberFormat="1" applyFont="1" applyFill="1" applyBorder="1" applyAlignment="1" applyProtection="1">
      <alignment horizontal="justify" vertical="center" wrapText="1"/>
      <protection locked="0"/>
    </xf>
    <xf numFmtId="0" fontId="2" fillId="2" borderId="15" xfId="0" applyNumberFormat="1" applyFont="1" applyFill="1" applyBorder="1" applyAlignment="1">
      <alignment horizontal="justify" vertical="center" wrapText="1"/>
    </xf>
    <xf numFmtId="168" fontId="2" fillId="5" borderId="0" xfId="0" applyFont="1" applyFill="1"/>
    <xf numFmtId="0" fontId="3" fillId="5" borderId="2" xfId="0" applyNumberFormat="1" applyFont="1" applyFill="1" applyBorder="1" applyAlignment="1">
      <alignment horizontal="center" vertical="center" wrapText="1"/>
    </xf>
    <xf numFmtId="168" fontId="2" fillId="5" borderId="2" xfId="0" applyFont="1" applyFill="1" applyBorder="1" applyAlignment="1">
      <alignment horizontal="justify" vertical="center" wrapText="1"/>
    </xf>
    <xf numFmtId="168" fontId="13" fillId="5" borderId="3" xfId="0" applyFont="1" applyFill="1" applyBorder="1" applyAlignment="1">
      <alignment horizontal="center" vertical="center" wrapText="1"/>
    </xf>
    <xf numFmtId="170" fontId="4" fillId="4" borderId="0" xfId="5" applyNumberFormat="1" applyFont="1" applyFill="1" applyBorder="1" applyAlignment="1">
      <alignment horizontal="center" vertical="center" wrapText="1"/>
    </xf>
    <xf numFmtId="0" fontId="3" fillId="6" borderId="15" xfId="0" applyNumberFormat="1" applyFont="1" applyFill="1" applyBorder="1" applyAlignment="1">
      <alignment horizontal="center" vertical="center" wrapText="1"/>
    </xf>
    <xf numFmtId="0" fontId="3" fillId="6" borderId="15" xfId="0" applyNumberFormat="1" applyFont="1" applyFill="1" applyBorder="1" applyAlignment="1">
      <alignment vertical="center" wrapText="1"/>
    </xf>
    <xf numFmtId="0" fontId="3" fillId="6" borderId="18" xfId="0" applyNumberFormat="1" applyFont="1" applyFill="1" applyBorder="1" applyAlignment="1">
      <alignment vertical="center" wrapText="1"/>
    </xf>
    <xf numFmtId="0" fontId="3" fillId="6" borderId="16" xfId="0" applyNumberFormat="1" applyFont="1" applyFill="1" applyBorder="1" applyAlignment="1">
      <alignment vertical="center" wrapText="1"/>
    </xf>
    <xf numFmtId="168" fontId="31" fillId="5" borderId="19" xfId="0" applyFont="1" applyFill="1" applyBorder="1" applyAlignment="1">
      <alignment horizontal="center" vertical="center"/>
    </xf>
    <xf numFmtId="0" fontId="13" fillId="5" borderId="19" xfId="0" applyNumberFormat="1" applyFont="1" applyFill="1" applyBorder="1" applyAlignment="1">
      <alignment horizontal="center" vertical="center" wrapText="1"/>
    </xf>
    <xf numFmtId="165" fontId="13" fillId="5" borderId="19" xfId="0" applyNumberFormat="1" applyFont="1" applyFill="1" applyBorder="1" applyAlignment="1">
      <alignment horizontal="center" vertical="center"/>
    </xf>
    <xf numFmtId="0" fontId="2" fillId="0" borderId="30" xfId="0" applyNumberFormat="1" applyFont="1" applyBorder="1" applyAlignment="1">
      <alignment horizontal="center" vertical="center" wrapText="1"/>
    </xf>
    <xf numFmtId="168" fontId="3" fillId="7" borderId="26" xfId="0" applyFont="1" applyFill="1" applyBorder="1" applyAlignment="1">
      <alignment vertical="center"/>
    </xf>
    <xf numFmtId="0" fontId="2" fillId="0" borderId="17" xfId="0" applyNumberFormat="1" applyFont="1" applyBorder="1" applyAlignment="1">
      <alignment horizontal="center" vertical="center" wrapText="1"/>
    </xf>
    <xf numFmtId="0" fontId="3" fillId="7" borderId="19" xfId="0" applyNumberFormat="1" applyFont="1" applyFill="1" applyBorder="1" applyAlignment="1">
      <alignment horizontal="justify" vertical="center" wrapText="1"/>
    </xf>
    <xf numFmtId="0" fontId="13" fillId="5" borderId="19" xfId="0" applyNumberFormat="1" applyFont="1" applyFill="1" applyBorder="1" applyAlignment="1">
      <alignment horizontal="justify" vertical="center" wrapText="1"/>
    </xf>
    <xf numFmtId="0" fontId="2" fillId="0" borderId="23" xfId="0" applyNumberFormat="1" applyFont="1" applyBorder="1" applyAlignment="1">
      <alignment horizontal="justify" vertical="center" wrapText="1"/>
    </xf>
    <xf numFmtId="0" fontId="2" fillId="2" borderId="23" xfId="0" applyNumberFormat="1" applyFont="1" applyFill="1" applyBorder="1" applyAlignment="1" applyProtection="1">
      <alignment horizontal="justify" vertical="center" wrapText="1"/>
      <protection locked="0"/>
    </xf>
    <xf numFmtId="0" fontId="2" fillId="0" borderId="3" xfId="7" applyFont="1" applyBorder="1" applyAlignment="1">
      <alignment horizontal="center" vertical="center" wrapText="1"/>
    </xf>
    <xf numFmtId="0" fontId="4" fillId="0" borderId="0" xfId="0" applyNumberFormat="1" applyFont="1" applyAlignment="1">
      <alignment horizontal="center" vertical="center" wrapText="1"/>
    </xf>
    <xf numFmtId="168" fontId="4" fillId="0" borderId="25" xfId="0" applyFont="1" applyBorder="1" applyAlignment="1">
      <alignment horizontal="center" vertical="center" wrapText="1"/>
    </xf>
    <xf numFmtId="168" fontId="4" fillId="0" borderId="0" xfId="0" applyFont="1" applyAlignment="1">
      <alignment horizontal="center" vertical="center" wrapText="1"/>
    </xf>
    <xf numFmtId="170" fontId="4" fillId="0" borderId="0" xfId="5" applyNumberFormat="1" applyFont="1" applyFill="1" applyBorder="1" applyAlignment="1">
      <alignment horizontal="center" vertical="center" wrapText="1"/>
    </xf>
    <xf numFmtId="168" fontId="2" fillId="0" borderId="17" xfId="0" applyFont="1" applyBorder="1" applyAlignment="1">
      <alignment horizontal="center" vertical="center" wrapText="1"/>
    </xf>
    <xf numFmtId="168" fontId="2" fillId="0" borderId="22" xfId="0" applyFont="1" applyBorder="1" applyAlignment="1">
      <alignment horizontal="center" vertical="center" wrapText="1"/>
    </xf>
    <xf numFmtId="168" fontId="2" fillId="0" borderId="19" xfId="0" applyFont="1" applyBorder="1" applyAlignment="1">
      <alignment horizontal="center" vertical="center" wrapText="1"/>
    </xf>
    <xf numFmtId="0" fontId="3" fillId="0" borderId="22" xfId="0" applyNumberFormat="1" applyFont="1" applyBorder="1" applyAlignment="1">
      <alignment horizontal="left" vertical="center" wrapText="1"/>
    </xf>
    <xf numFmtId="168" fontId="3" fillId="0" borderId="28" xfId="0" applyFont="1" applyBorder="1" applyAlignment="1">
      <alignment vertical="center"/>
    </xf>
    <xf numFmtId="0" fontId="3" fillId="0" borderId="21" xfId="0" applyNumberFormat="1" applyFont="1" applyBorder="1" applyAlignment="1">
      <alignment horizontal="left" vertical="center" wrapText="1"/>
    </xf>
    <xf numFmtId="168" fontId="3" fillId="0" borderId="62" xfId="0" applyFont="1" applyBorder="1" applyAlignment="1">
      <alignment vertical="center"/>
    </xf>
    <xf numFmtId="0" fontId="3" fillId="0" borderId="63" xfId="0" applyNumberFormat="1" applyFont="1" applyBorder="1" applyAlignment="1">
      <alignment horizontal="left" vertical="center" wrapText="1"/>
    </xf>
    <xf numFmtId="168" fontId="2" fillId="0" borderId="62" xfId="0" applyFont="1" applyBorder="1"/>
    <xf numFmtId="168" fontId="2" fillId="0" borderId="24" xfId="0" applyFont="1" applyBorder="1"/>
    <xf numFmtId="0" fontId="3" fillId="0" borderId="26" xfId="0" applyNumberFormat="1" applyFont="1" applyBorder="1" applyAlignment="1">
      <alignment horizontal="left" vertical="center" wrapText="1"/>
    </xf>
    <xf numFmtId="0" fontId="3" fillId="6" borderId="17" xfId="0" applyNumberFormat="1" applyFont="1" applyFill="1" applyBorder="1" applyAlignment="1">
      <alignment horizontal="center" vertical="center" wrapText="1"/>
    </xf>
    <xf numFmtId="0" fontId="3" fillId="0" borderId="61" xfId="0" applyNumberFormat="1" applyFont="1" applyBorder="1" applyAlignment="1">
      <alignment horizontal="left" vertical="center" wrapText="1"/>
    </xf>
    <xf numFmtId="0" fontId="3" fillId="0" borderId="64"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168" fontId="3" fillId="6" borderId="13" xfId="0" applyFont="1" applyFill="1" applyBorder="1" applyAlignment="1">
      <alignment vertical="center"/>
    </xf>
    <xf numFmtId="175" fontId="3" fillId="6" borderId="13" xfId="0" applyNumberFormat="1" applyFont="1" applyFill="1" applyBorder="1" applyAlignment="1">
      <alignment vertical="center"/>
    </xf>
    <xf numFmtId="0" fontId="3" fillId="16" borderId="13" xfId="0" applyNumberFormat="1" applyFont="1" applyFill="1" applyBorder="1" applyAlignment="1">
      <alignment vertical="center"/>
    </xf>
    <xf numFmtId="168" fontId="3" fillId="16" borderId="13" xfId="0" applyFont="1" applyFill="1" applyBorder="1" applyAlignment="1">
      <alignment vertical="center"/>
    </xf>
    <xf numFmtId="175" fontId="3" fillId="16" borderId="13" xfId="0" applyNumberFormat="1" applyFont="1" applyFill="1" applyBorder="1" applyAlignment="1">
      <alignment vertical="center"/>
    </xf>
    <xf numFmtId="0" fontId="3" fillId="16" borderId="15" xfId="0" applyNumberFormat="1" applyFont="1" applyFill="1" applyBorder="1" applyAlignment="1">
      <alignment horizontal="center" vertical="center" wrapText="1"/>
    </xf>
    <xf numFmtId="0" fontId="3" fillId="16" borderId="16" xfId="0" applyNumberFormat="1" applyFont="1" applyFill="1" applyBorder="1" applyAlignment="1">
      <alignment vertical="center"/>
    </xf>
    <xf numFmtId="0" fontId="3" fillId="16" borderId="23" xfId="0" applyNumberFormat="1" applyFont="1" applyFill="1" applyBorder="1" applyAlignment="1">
      <alignment horizontal="center" vertical="center" wrapText="1"/>
    </xf>
    <xf numFmtId="0" fontId="3" fillId="16" borderId="27" xfId="0" applyNumberFormat="1" applyFont="1" applyFill="1" applyBorder="1" applyAlignment="1">
      <alignment horizontal="center" vertical="center" wrapText="1"/>
    </xf>
    <xf numFmtId="0" fontId="3" fillId="6" borderId="13" xfId="0" applyNumberFormat="1" applyFont="1" applyFill="1" applyBorder="1" applyAlignment="1">
      <alignment horizontal="justify" vertical="center"/>
    </xf>
    <xf numFmtId="0" fontId="3" fillId="16" borderId="13" xfId="0" applyNumberFormat="1" applyFont="1" applyFill="1" applyBorder="1" applyAlignment="1">
      <alignment horizontal="justify" vertical="center"/>
    </xf>
    <xf numFmtId="168" fontId="6" fillId="0" borderId="13" xfId="0" applyFont="1" applyBorder="1"/>
    <xf numFmtId="0" fontId="3" fillId="0" borderId="13" xfId="7" applyFont="1" applyBorder="1" applyAlignment="1">
      <alignment horizontal="justify" vertical="center" wrapText="1"/>
    </xf>
    <xf numFmtId="0" fontId="3" fillId="0" borderId="13" xfId="7" applyFont="1" applyBorder="1" applyAlignment="1">
      <alignment horizontal="left" vertical="center"/>
    </xf>
    <xf numFmtId="0" fontId="3" fillId="0" borderId="17" xfId="0" applyNumberFormat="1" applyFont="1" applyBorder="1" applyAlignment="1">
      <alignment horizontal="center" vertical="center" wrapText="1"/>
    </xf>
    <xf numFmtId="0" fontId="3" fillId="16" borderId="17" xfId="0" applyNumberFormat="1" applyFont="1" applyFill="1" applyBorder="1" applyAlignment="1">
      <alignment horizontal="center" vertical="center" wrapText="1"/>
    </xf>
    <xf numFmtId="0" fontId="3" fillId="16" borderId="17" xfId="0" applyNumberFormat="1" applyFont="1" applyFill="1" applyBorder="1" applyAlignment="1">
      <alignment horizontal="left" vertical="center"/>
    </xf>
    <xf numFmtId="0" fontId="3" fillId="16" borderId="17" xfId="0" applyNumberFormat="1" applyFont="1" applyFill="1" applyBorder="1" applyAlignment="1">
      <alignment vertical="center"/>
    </xf>
    <xf numFmtId="168" fontId="3" fillId="16" borderId="17" xfId="0" applyFont="1" applyFill="1" applyBorder="1" applyAlignment="1">
      <alignment vertical="center"/>
    </xf>
    <xf numFmtId="175" fontId="3" fillId="16" borderId="17" xfId="0" applyNumberFormat="1" applyFont="1" applyFill="1" applyBorder="1" applyAlignment="1">
      <alignment vertical="center"/>
    </xf>
    <xf numFmtId="168" fontId="2" fillId="0" borderId="3" xfId="0" applyFont="1" applyBorder="1"/>
    <xf numFmtId="0" fontId="3" fillId="2" borderId="3" xfId="0" applyNumberFormat="1" applyFont="1" applyFill="1" applyBorder="1" applyAlignment="1">
      <alignment horizontal="center" vertical="center" wrapText="1"/>
    </xf>
    <xf numFmtId="168" fontId="3" fillId="2" borderId="3" xfId="0" applyFont="1" applyFill="1" applyBorder="1" applyAlignment="1">
      <alignment vertical="center"/>
    </xf>
    <xf numFmtId="175" fontId="3" fillId="2" borderId="3" xfId="0" applyNumberFormat="1" applyFont="1" applyFill="1" applyBorder="1" applyAlignment="1">
      <alignment vertical="center"/>
    </xf>
    <xf numFmtId="0" fontId="3" fillId="2" borderId="3" xfId="0" applyNumberFormat="1" applyFont="1" applyFill="1" applyBorder="1" applyAlignment="1">
      <alignment vertical="center"/>
    </xf>
    <xf numFmtId="0" fontId="3" fillId="9" borderId="13" xfId="0" applyNumberFormat="1" applyFont="1" applyFill="1" applyBorder="1" applyAlignment="1">
      <alignment horizontal="left" vertical="center"/>
    </xf>
    <xf numFmtId="0" fontId="3" fillId="9" borderId="13" xfId="0" applyNumberFormat="1" applyFont="1" applyFill="1" applyBorder="1" applyAlignment="1">
      <alignment horizontal="center" vertical="center"/>
    </xf>
    <xf numFmtId="0" fontId="3" fillId="9" borderId="13" xfId="0" applyNumberFormat="1" applyFont="1" applyFill="1" applyBorder="1" applyAlignment="1">
      <alignment horizontal="left" vertical="center" wrapText="1"/>
    </xf>
    <xf numFmtId="168" fontId="3" fillId="9" borderId="13" xfId="0" applyFont="1" applyFill="1" applyBorder="1" applyAlignment="1">
      <alignment horizontal="left" vertical="center" wrapText="1"/>
    </xf>
    <xf numFmtId="0" fontId="3" fillId="16" borderId="16" xfId="0" applyNumberFormat="1" applyFont="1" applyFill="1" applyBorder="1" applyAlignment="1">
      <alignment horizontal="center" vertical="center" wrapText="1"/>
    </xf>
    <xf numFmtId="0" fontId="3" fillId="0" borderId="13" xfId="0" applyNumberFormat="1" applyFont="1" applyBorder="1" applyAlignment="1">
      <alignment horizontal="justify" vertical="center" wrapText="1"/>
    </xf>
    <xf numFmtId="0" fontId="3" fillId="0" borderId="13" xfId="0" applyNumberFormat="1" applyFont="1" applyBorder="1" applyAlignment="1">
      <alignment horizontal="justify" vertical="center"/>
    </xf>
    <xf numFmtId="0" fontId="3" fillId="16" borderId="15" xfId="0" applyNumberFormat="1" applyFont="1" applyFill="1" applyBorder="1" applyAlignment="1">
      <alignment vertical="center"/>
    </xf>
    <xf numFmtId="168" fontId="3" fillId="17" borderId="13" xfId="0" applyFont="1" applyFill="1" applyBorder="1" applyAlignment="1">
      <alignment horizontal="left" vertical="center"/>
    </xf>
    <xf numFmtId="168" fontId="2" fillId="0" borderId="13" xfId="0" applyFont="1" applyBorder="1" applyAlignment="1">
      <alignment horizontal="justify" vertical="center" wrapText="1"/>
    </xf>
    <xf numFmtId="1" fontId="2" fillId="0" borderId="13" xfId="0" applyNumberFormat="1" applyFont="1" applyBorder="1" applyAlignment="1">
      <alignment horizontal="center" vertical="center"/>
    </xf>
    <xf numFmtId="0" fontId="2" fillId="0" borderId="13" xfId="0" applyNumberFormat="1" applyFont="1" applyBorder="1" applyAlignment="1">
      <alignment horizontal="justify" vertical="center" wrapText="1"/>
    </xf>
    <xf numFmtId="168" fontId="2" fillId="12" borderId="13" xfId="0" applyFont="1" applyFill="1" applyBorder="1" applyAlignment="1">
      <alignment horizontal="center" vertical="center"/>
    </xf>
    <xf numFmtId="170" fontId="2" fillId="0" borderId="13"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168" fontId="2" fillId="2" borderId="13" xfId="0" applyFont="1" applyFill="1" applyBorder="1" applyAlignment="1">
      <alignment horizontal="justify" vertical="center" wrapText="1"/>
    </xf>
    <xf numFmtId="168" fontId="2" fillId="0" borderId="13" xfId="0" applyFont="1" applyBorder="1" applyAlignment="1">
      <alignment horizontal="center" vertical="center" wrapText="1"/>
    </xf>
    <xf numFmtId="0" fontId="2" fillId="2" borderId="13" xfId="0" applyNumberFormat="1" applyFont="1" applyFill="1" applyBorder="1" applyAlignment="1">
      <alignment horizontal="justify" vertical="center" wrapText="1"/>
    </xf>
    <xf numFmtId="168" fontId="2" fillId="12" borderId="13" xfId="0" applyFont="1" applyFill="1" applyBorder="1" applyAlignment="1">
      <alignment horizontal="center" vertical="center" wrapText="1"/>
    </xf>
    <xf numFmtId="0" fontId="2" fillId="0" borderId="13" xfId="6" applyNumberFormat="1" applyFont="1" applyFill="1" applyBorder="1" applyAlignment="1">
      <alignment horizontal="justify" vertical="center" wrapText="1"/>
    </xf>
    <xf numFmtId="168" fontId="2" fillId="14" borderId="13" xfId="0" applyFont="1" applyFill="1" applyBorder="1" applyAlignment="1">
      <alignment horizontal="center" vertical="center" wrapText="1"/>
    </xf>
    <xf numFmtId="168" fontId="2" fillId="12" borderId="13" xfId="0"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0" fontId="3" fillId="6" borderId="15" xfId="0" applyNumberFormat="1" applyFont="1" applyFill="1" applyBorder="1" applyAlignment="1">
      <alignment horizontal="left" vertical="center" wrapText="1"/>
    </xf>
    <xf numFmtId="0" fontId="3" fillId="6" borderId="16" xfId="0" applyNumberFormat="1" applyFont="1" applyFill="1" applyBorder="1" applyAlignment="1">
      <alignment horizontal="left" vertical="center" wrapText="1"/>
    </xf>
    <xf numFmtId="168" fontId="3" fillId="0" borderId="0" xfId="0" applyFont="1" applyAlignment="1">
      <alignment horizontal="center" vertical="center" wrapText="1"/>
    </xf>
    <xf numFmtId="170" fontId="4" fillId="4" borderId="9" xfId="5" applyNumberFormat="1" applyFont="1" applyFill="1" applyBorder="1" applyAlignment="1">
      <alignment horizontal="center" vertical="center" wrapText="1"/>
    </xf>
    <xf numFmtId="168" fontId="4" fillId="4" borderId="9" xfId="0" applyFont="1" applyFill="1" applyBorder="1" applyAlignment="1">
      <alignment horizontal="center" vertical="center" wrapText="1"/>
    </xf>
    <xf numFmtId="165" fontId="2" fillId="0" borderId="17" xfId="5" applyFont="1" applyFill="1" applyBorder="1" applyAlignment="1">
      <alignment horizontal="justify" vertical="center"/>
    </xf>
    <xf numFmtId="43" fontId="2" fillId="0" borderId="13" xfId="8" applyNumberFormat="1" applyFont="1" applyFill="1" applyBorder="1" applyAlignment="1">
      <alignment vertical="center"/>
    </xf>
    <xf numFmtId="165" fontId="2" fillId="0" borderId="13" xfId="0" applyNumberFormat="1" applyFont="1" applyBorder="1" applyAlignment="1">
      <alignment horizontal="center" vertical="center" wrapText="1"/>
    </xf>
    <xf numFmtId="165" fontId="2" fillId="0" borderId="16" xfId="0" applyNumberFormat="1" applyFont="1" applyBorder="1" applyAlignment="1">
      <alignment horizontal="center" vertical="center"/>
    </xf>
    <xf numFmtId="165" fontId="3" fillId="7" borderId="17" xfId="0" applyNumberFormat="1" applyFont="1" applyFill="1" applyBorder="1" applyAlignment="1">
      <alignment vertical="center"/>
    </xf>
    <xf numFmtId="43" fontId="3" fillId="6" borderId="19" xfId="0" applyNumberFormat="1" applyFont="1" applyFill="1" applyBorder="1" applyAlignment="1">
      <alignment vertical="center"/>
    </xf>
    <xf numFmtId="168" fontId="2" fillId="2" borderId="3" xfId="0" applyFont="1" applyFill="1" applyBorder="1" applyAlignment="1">
      <alignment horizontal="left" vertical="center" wrapText="1"/>
    </xf>
    <xf numFmtId="165" fontId="3" fillId="7" borderId="22" xfId="0" applyNumberFormat="1" applyFont="1" applyFill="1" applyBorder="1" applyAlignment="1">
      <alignment vertical="center"/>
    </xf>
    <xf numFmtId="168" fontId="55" fillId="0" borderId="3" xfId="0" applyFont="1" applyBorder="1" applyAlignment="1">
      <alignment horizontal="center" vertical="center"/>
    </xf>
    <xf numFmtId="169" fontId="30" fillId="0" borderId="3" xfId="0" applyNumberFormat="1" applyFont="1" applyBorder="1" applyAlignment="1">
      <alignment horizontal="left" vertical="center"/>
    </xf>
    <xf numFmtId="14" fontId="30" fillId="0" borderId="3" xfId="0" applyNumberFormat="1" applyFont="1" applyBorder="1" applyAlignment="1">
      <alignment horizontal="left" vertical="center"/>
    </xf>
    <xf numFmtId="3" fontId="56" fillId="3" borderId="3" xfId="0" applyNumberFormat="1" applyFont="1" applyFill="1" applyBorder="1" applyAlignment="1">
      <alignment horizontal="center" vertical="center" wrapText="1"/>
    </xf>
    <xf numFmtId="172" fontId="2" fillId="0" borderId="13" xfId="2" applyNumberFormat="1" applyFont="1" applyFill="1" applyBorder="1" applyAlignment="1">
      <alignment horizontal="center" vertical="center"/>
    </xf>
    <xf numFmtId="172" fontId="2" fillId="0" borderId="13" xfId="2" applyNumberFormat="1" applyFont="1" applyFill="1" applyBorder="1" applyAlignment="1">
      <alignment vertical="center"/>
    </xf>
    <xf numFmtId="172" fontId="3" fillId="7" borderId="13" xfId="2" applyNumberFormat="1" applyFont="1" applyFill="1" applyBorder="1" applyAlignment="1">
      <alignment vertical="center"/>
    </xf>
    <xf numFmtId="172" fontId="4" fillId="0" borderId="0" xfId="2" applyNumberFormat="1" applyFont="1" applyFill="1" applyBorder="1" applyAlignment="1">
      <alignment horizontal="center" vertical="center" wrapText="1"/>
    </xf>
    <xf numFmtId="172" fontId="13" fillId="5" borderId="13" xfId="2" applyNumberFormat="1" applyFont="1" applyFill="1" applyBorder="1" applyAlignment="1">
      <alignment horizontal="center" vertical="center"/>
    </xf>
    <xf numFmtId="172" fontId="3" fillId="6" borderId="13" xfId="2" applyNumberFormat="1" applyFont="1" applyFill="1" applyBorder="1" applyAlignment="1">
      <alignment horizontal="center" vertical="center"/>
    </xf>
    <xf numFmtId="172" fontId="3" fillId="16" borderId="13" xfId="2" applyNumberFormat="1" applyFont="1" applyFill="1" applyBorder="1" applyAlignment="1">
      <alignment vertical="center"/>
    </xf>
    <xf numFmtId="172" fontId="3" fillId="7" borderId="13" xfId="2" applyNumberFormat="1" applyFont="1" applyFill="1" applyBorder="1" applyAlignment="1">
      <alignment horizontal="center" vertical="center"/>
    </xf>
    <xf numFmtId="172" fontId="2" fillId="2" borderId="13" xfId="2" applyNumberFormat="1" applyFont="1" applyFill="1" applyBorder="1" applyAlignment="1">
      <alignment horizontal="right" vertical="center" wrapText="1"/>
    </xf>
    <xf numFmtId="172" fontId="13" fillId="5" borderId="13" xfId="2" applyNumberFormat="1" applyFont="1" applyFill="1" applyBorder="1" applyAlignment="1">
      <alignment horizontal="left" vertical="center"/>
    </xf>
    <xf numFmtId="172" fontId="3" fillId="6" borderId="13" xfId="2" applyNumberFormat="1" applyFont="1" applyFill="1" applyBorder="1" applyAlignment="1">
      <alignment vertical="center"/>
    </xf>
    <xf numFmtId="172" fontId="2" fillId="0" borderId="13" xfId="2" applyNumberFormat="1" applyFont="1" applyFill="1" applyBorder="1" applyAlignment="1">
      <alignment horizontal="center" vertical="center" wrapText="1"/>
    </xf>
    <xf numFmtId="165" fontId="3" fillId="16" borderId="13" xfId="0" applyNumberFormat="1" applyFont="1" applyFill="1" applyBorder="1" applyAlignment="1">
      <alignment vertical="center" wrapText="1"/>
    </xf>
    <xf numFmtId="172" fontId="2" fillId="2" borderId="13" xfId="2" applyNumberFormat="1" applyFont="1" applyFill="1" applyBorder="1" applyAlignment="1">
      <alignment horizontal="center" vertical="center" wrapText="1"/>
    </xf>
    <xf numFmtId="172" fontId="3" fillId="7" borderId="13" xfId="2" applyNumberFormat="1" applyFont="1" applyFill="1" applyBorder="1" applyAlignment="1">
      <alignment horizontal="justify" vertical="center"/>
    </xf>
    <xf numFmtId="172" fontId="2" fillId="2" borderId="13" xfId="2" applyNumberFormat="1" applyFont="1" applyFill="1" applyBorder="1" applyAlignment="1">
      <alignment horizontal="center" vertical="center"/>
    </xf>
    <xf numFmtId="168" fontId="3" fillId="10" borderId="13" xfId="0" applyFont="1" applyFill="1" applyBorder="1" applyAlignment="1">
      <alignment horizontal="center" vertical="center"/>
    </xf>
    <xf numFmtId="43" fontId="3" fillId="10" borderId="13" xfId="0" applyNumberFormat="1" applyFont="1" applyFill="1" applyBorder="1" applyAlignment="1">
      <alignment vertical="center"/>
    </xf>
    <xf numFmtId="43" fontId="3" fillId="10" borderId="13" xfId="0" applyNumberFormat="1" applyFont="1" applyFill="1" applyBorder="1" applyAlignment="1">
      <alignment horizontal="center" vertical="center"/>
    </xf>
    <xf numFmtId="168" fontId="3" fillId="10" borderId="0" xfId="0" applyFont="1" applyFill="1" applyAlignment="1">
      <alignment vertical="center"/>
    </xf>
    <xf numFmtId="168" fontId="3" fillId="0" borderId="3" xfId="0" applyFont="1" applyBorder="1" applyAlignment="1">
      <alignment horizontal="center" vertical="center"/>
    </xf>
    <xf numFmtId="43" fontId="3" fillId="0" borderId="11" xfId="0" applyNumberFormat="1" applyFont="1" applyBorder="1" applyAlignment="1">
      <alignment vertical="center"/>
    </xf>
    <xf numFmtId="43" fontId="3" fillId="0" borderId="12" xfId="0" applyNumberFormat="1" applyFont="1" applyBorder="1" applyAlignment="1">
      <alignment vertical="center"/>
    </xf>
    <xf numFmtId="43" fontId="3" fillId="0" borderId="5" xfId="0" applyNumberFormat="1" applyFont="1" applyBorder="1" applyAlignment="1">
      <alignment vertical="center"/>
    </xf>
    <xf numFmtId="43" fontId="3" fillId="0" borderId="13" xfId="0" applyNumberFormat="1" applyFont="1" applyBorder="1" applyAlignment="1">
      <alignment vertical="center"/>
    </xf>
    <xf numFmtId="43" fontId="3" fillId="0" borderId="0" xfId="0" applyNumberFormat="1" applyFont="1" applyAlignment="1">
      <alignment vertical="center"/>
    </xf>
    <xf numFmtId="43" fontId="3" fillId="0" borderId="0" xfId="0" applyNumberFormat="1" applyFont="1" applyAlignment="1">
      <alignment horizontal="center" vertical="center"/>
    </xf>
    <xf numFmtId="168" fontId="2" fillId="11" borderId="3" xfId="0" applyFont="1" applyFill="1" applyBorder="1" applyAlignment="1">
      <alignment horizontal="center" vertical="center"/>
    </xf>
    <xf numFmtId="43" fontId="3" fillId="11" borderId="9" xfId="0" applyNumberFormat="1" applyFont="1" applyFill="1" applyBorder="1" applyAlignment="1">
      <alignment vertical="center"/>
    </xf>
    <xf numFmtId="43" fontId="3" fillId="11" borderId="3" xfId="0" applyNumberFormat="1" applyFont="1" applyFill="1" applyBorder="1" applyAlignment="1">
      <alignment vertical="center"/>
    </xf>
    <xf numFmtId="43" fontId="3" fillId="11" borderId="7" xfId="0" applyNumberFormat="1" applyFont="1" applyFill="1" applyBorder="1" applyAlignment="1">
      <alignment vertical="center"/>
    </xf>
    <xf numFmtId="43" fontId="3" fillId="11" borderId="13" xfId="0" applyNumberFormat="1" applyFont="1" applyFill="1" applyBorder="1" applyAlignment="1">
      <alignment vertical="center"/>
    </xf>
    <xf numFmtId="43" fontId="3" fillId="11" borderId="3" xfId="0" applyNumberFormat="1" applyFont="1" applyFill="1" applyBorder="1" applyAlignment="1">
      <alignment horizontal="center" vertical="center"/>
    </xf>
    <xf numFmtId="168" fontId="2" fillId="11" borderId="0" xfId="0" applyFont="1" applyFill="1" applyAlignment="1">
      <alignment vertical="center"/>
    </xf>
    <xf numFmtId="168" fontId="3" fillId="4" borderId="35" xfId="0" applyFont="1" applyFill="1" applyBorder="1" applyAlignment="1">
      <alignment horizontal="center" vertical="center"/>
    </xf>
    <xf numFmtId="168" fontId="57" fillId="0" borderId="3" xfId="0" applyFont="1" applyBorder="1" applyAlignment="1">
      <alignment vertical="center"/>
    </xf>
    <xf numFmtId="0" fontId="3" fillId="17" borderId="13" xfId="0" applyNumberFormat="1" applyFont="1" applyFill="1" applyBorder="1" applyAlignment="1">
      <alignment horizontal="left" vertical="center"/>
    </xf>
    <xf numFmtId="43" fontId="54" fillId="0" borderId="13" xfId="1" applyFont="1" applyFill="1" applyBorder="1" applyAlignment="1">
      <alignment horizontal="center" vertical="center" wrapText="1"/>
    </xf>
    <xf numFmtId="168" fontId="3" fillId="0" borderId="0" xfId="0" applyFont="1" applyAlignment="1">
      <alignment horizontal="center" vertical="center" wrapText="1"/>
    </xf>
    <xf numFmtId="168" fontId="3" fillId="0" borderId="65" xfId="0" applyFont="1" applyBorder="1" applyAlignment="1">
      <alignment horizontal="center" vertical="center" wrapText="1"/>
    </xf>
    <xf numFmtId="0" fontId="4" fillId="4" borderId="66" xfId="0" applyNumberFormat="1" applyFont="1" applyFill="1" applyBorder="1" applyAlignment="1">
      <alignment horizontal="center" vertical="center" wrapText="1"/>
    </xf>
    <xf numFmtId="0" fontId="4" fillId="4" borderId="65" xfId="0" applyNumberFormat="1" applyFont="1" applyFill="1" applyBorder="1" applyAlignment="1">
      <alignment horizontal="center" vertical="center" wrapText="1"/>
    </xf>
    <xf numFmtId="165" fontId="2" fillId="0" borderId="17" xfId="0" applyNumberFormat="1" applyFont="1" applyBorder="1" applyAlignment="1">
      <alignment horizontal="center" vertical="center"/>
    </xf>
    <xf numFmtId="165" fontId="2" fillId="0" borderId="22" xfId="0" applyNumberFormat="1" applyFont="1" applyBorder="1" applyAlignment="1">
      <alignment horizontal="center" vertical="center"/>
    </xf>
    <xf numFmtId="165" fontId="2" fillId="0" borderId="19" xfId="0" applyNumberFormat="1" applyFont="1" applyBorder="1" applyAlignment="1">
      <alignment horizontal="center" vertical="center"/>
    </xf>
    <xf numFmtId="165" fontId="2" fillId="0" borderId="17" xfId="0" applyNumberFormat="1" applyFont="1" applyBorder="1" applyAlignment="1">
      <alignment horizontal="center" vertical="center" wrapText="1"/>
    </xf>
    <xf numFmtId="165" fontId="2" fillId="0" borderId="22" xfId="0" applyNumberFormat="1" applyFont="1" applyBorder="1" applyAlignment="1">
      <alignment horizontal="center" vertical="center" wrapText="1"/>
    </xf>
    <xf numFmtId="165" fontId="2" fillId="0" borderId="19" xfId="0" applyNumberFormat="1" applyFont="1" applyBorder="1" applyAlignment="1">
      <alignment horizontal="center" vertical="center" wrapText="1"/>
    </xf>
    <xf numFmtId="168" fontId="53" fillId="5" borderId="7" xfId="0" applyFont="1" applyFill="1" applyBorder="1" applyAlignment="1">
      <alignment horizontal="center" vertical="center" wrapText="1"/>
    </xf>
    <xf numFmtId="168" fontId="53" fillId="5" borderId="8" xfId="0" applyFont="1" applyFill="1" applyBorder="1" applyAlignment="1">
      <alignment horizontal="center" vertical="center" wrapText="1"/>
    </xf>
    <xf numFmtId="168" fontId="53" fillId="5" borderId="9" xfId="0" applyFont="1" applyFill="1" applyBorder="1" applyAlignment="1">
      <alignment horizontal="center" vertical="center" wrapText="1"/>
    </xf>
    <xf numFmtId="168" fontId="4" fillId="4" borderId="61" xfId="0" applyFont="1" applyFill="1" applyBorder="1" applyAlignment="1">
      <alignment horizontal="center" vertical="center" wrapText="1"/>
    </xf>
    <xf numFmtId="168" fontId="4" fillId="4" borderId="12" xfId="0" applyFont="1" applyFill="1" applyBorder="1" applyAlignment="1">
      <alignment horizontal="center" vertical="center" wrapText="1"/>
    </xf>
    <xf numFmtId="0" fontId="4" fillId="4" borderId="61"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53" fillId="5" borderId="7" xfId="0" applyNumberFormat="1" applyFont="1" applyFill="1" applyBorder="1" applyAlignment="1">
      <alignment horizontal="center" vertical="center" wrapText="1"/>
    </xf>
    <xf numFmtId="0" fontId="53" fillId="5" borderId="8" xfId="0" applyNumberFormat="1" applyFont="1" applyFill="1" applyBorder="1" applyAlignment="1">
      <alignment horizontal="center" vertical="center" wrapText="1"/>
    </xf>
    <xf numFmtId="0" fontId="53" fillId="5" borderId="9" xfId="0" applyNumberFormat="1" applyFont="1" applyFill="1" applyBorder="1" applyAlignment="1">
      <alignment horizontal="center" vertical="center" wrapText="1"/>
    </xf>
    <xf numFmtId="170" fontId="53" fillId="5" borderId="7" xfId="5" applyNumberFormat="1" applyFont="1" applyFill="1" applyBorder="1" applyAlignment="1">
      <alignment horizontal="center" vertical="center" wrapText="1"/>
    </xf>
    <xf numFmtId="170" fontId="53" fillId="5" borderId="8" xfId="5" applyNumberFormat="1" applyFont="1" applyFill="1" applyBorder="1" applyAlignment="1">
      <alignment horizontal="center" vertical="center" wrapText="1"/>
    </xf>
    <xf numFmtId="170" fontId="53" fillId="5" borderId="9" xfId="5" applyNumberFormat="1" applyFont="1" applyFill="1" applyBorder="1" applyAlignment="1">
      <alignment horizontal="center" vertical="center" wrapText="1"/>
    </xf>
    <xf numFmtId="170" fontId="4" fillId="4" borderId="61" xfId="5" applyNumberFormat="1" applyFont="1" applyFill="1" applyBorder="1" applyAlignment="1">
      <alignment horizontal="center" vertical="center" wrapText="1"/>
    </xf>
    <xf numFmtId="170" fontId="4" fillId="4" borderId="12" xfId="5" applyNumberFormat="1" applyFont="1" applyFill="1" applyBorder="1" applyAlignment="1">
      <alignment horizontal="center" vertical="center" wrapText="1"/>
    </xf>
    <xf numFmtId="168" fontId="4" fillId="4" borderId="1" xfId="0" applyFont="1" applyFill="1" applyBorder="1" applyAlignment="1">
      <alignment horizontal="center" vertical="center" wrapText="1"/>
    </xf>
    <xf numFmtId="168" fontId="4" fillId="4" borderId="60" xfId="0" applyFont="1" applyFill="1" applyBorder="1" applyAlignment="1">
      <alignment horizontal="center" vertical="center" wrapText="1"/>
    </xf>
    <xf numFmtId="0" fontId="2" fillId="0" borderId="13" xfId="0" applyNumberFormat="1" applyFont="1" applyBorder="1" applyAlignment="1">
      <alignment horizontal="justify" vertical="center" wrapText="1"/>
    </xf>
    <xf numFmtId="0" fontId="2" fillId="0" borderId="17" xfId="0" applyNumberFormat="1" applyFont="1" applyBorder="1" applyAlignment="1">
      <alignment horizontal="justify" vertical="center" wrapText="1"/>
    </xf>
    <xf numFmtId="0" fontId="2" fillId="0" borderId="19" xfId="0" applyNumberFormat="1" applyFont="1" applyBorder="1" applyAlignment="1">
      <alignment horizontal="justify" vertical="center" wrapText="1"/>
    </xf>
    <xf numFmtId="168" fontId="3" fillId="7" borderId="15" xfId="0" applyFont="1" applyFill="1" applyBorder="1" applyAlignment="1">
      <alignment horizontal="left" vertical="center"/>
    </xf>
    <xf numFmtId="168" fontId="3" fillId="7" borderId="18" xfId="0" applyFont="1" applyFill="1" applyBorder="1" applyAlignment="1">
      <alignment horizontal="left" vertical="center"/>
    </xf>
    <xf numFmtId="0" fontId="2" fillId="0" borderId="13" xfId="0" applyNumberFormat="1" applyFont="1" applyBorder="1" applyAlignment="1">
      <alignment horizontal="center" vertical="center" wrapText="1"/>
    </xf>
    <xf numFmtId="168" fontId="2" fillId="12" borderId="13" xfId="0" applyFont="1" applyFill="1" applyBorder="1" applyAlignment="1">
      <alignment horizontal="center" vertical="center" wrapText="1"/>
    </xf>
    <xf numFmtId="168" fontId="2" fillId="0" borderId="13" xfId="0" applyFont="1" applyBorder="1" applyAlignment="1">
      <alignment horizontal="center" vertical="center" wrapText="1"/>
    </xf>
    <xf numFmtId="168" fontId="2" fillId="0" borderId="13" xfId="0" applyFont="1" applyBorder="1" applyAlignment="1">
      <alignment horizontal="justify" vertical="center" wrapText="1"/>
    </xf>
    <xf numFmtId="0" fontId="2" fillId="2" borderId="13" xfId="0" applyNumberFormat="1" applyFont="1" applyFill="1" applyBorder="1" applyAlignment="1">
      <alignment horizontal="justify" vertical="center" wrapText="1"/>
    </xf>
    <xf numFmtId="168" fontId="2" fillId="12" borderId="13" xfId="0" applyFont="1" applyFill="1" applyBorder="1" applyAlignment="1">
      <alignment horizontal="justify" vertical="center" wrapText="1"/>
    </xf>
    <xf numFmtId="168" fontId="2" fillId="0" borderId="17" xfId="0" applyFont="1" applyBorder="1" applyAlignment="1">
      <alignment horizontal="justify" vertical="center" wrapText="1"/>
    </xf>
    <xf numFmtId="168" fontId="2" fillId="0" borderId="19" xfId="0" applyFont="1" applyBorder="1" applyAlignment="1">
      <alignment horizontal="justify" vertical="center" wrapText="1"/>
    </xf>
    <xf numFmtId="0" fontId="2" fillId="0" borderId="22" xfId="0" applyNumberFormat="1" applyFont="1" applyBorder="1" applyAlignment="1">
      <alignment horizontal="justify" vertical="center" wrapText="1"/>
    </xf>
    <xf numFmtId="0" fontId="3" fillId="9" borderId="20" xfId="0" applyNumberFormat="1" applyFont="1" applyFill="1" applyBorder="1" applyAlignment="1">
      <alignment horizontal="left" vertical="center" wrapText="1"/>
    </xf>
    <xf numFmtId="0" fontId="3" fillId="9" borderId="38" xfId="0" applyNumberFormat="1" applyFont="1" applyFill="1" applyBorder="1" applyAlignment="1">
      <alignment horizontal="left" vertical="center" wrapText="1"/>
    </xf>
    <xf numFmtId="0" fontId="3" fillId="9" borderId="29" xfId="0" applyNumberFormat="1" applyFont="1" applyFill="1" applyBorder="1" applyAlignment="1">
      <alignment horizontal="left" vertical="center" wrapText="1"/>
    </xf>
    <xf numFmtId="170" fontId="2" fillId="0" borderId="13" xfId="0" applyNumberFormat="1" applyFont="1" applyBorder="1" applyAlignment="1">
      <alignment horizontal="justify" vertical="center" wrapText="1"/>
    </xf>
    <xf numFmtId="0" fontId="2" fillId="0" borderId="13" xfId="7" applyFont="1" applyBorder="1" applyAlignment="1">
      <alignment horizontal="justify" vertical="center" wrapText="1"/>
    </xf>
    <xf numFmtId="168" fontId="2" fillId="2" borderId="13" xfId="0" applyFont="1" applyFill="1" applyBorder="1" applyAlignment="1">
      <alignment horizontal="justify" vertical="center" wrapText="1"/>
    </xf>
    <xf numFmtId="49" fontId="2" fillId="2" borderId="13" xfId="0" applyNumberFormat="1" applyFont="1" applyFill="1" applyBorder="1" applyAlignment="1">
      <alignment horizontal="justify" vertical="center" wrapText="1"/>
    </xf>
    <xf numFmtId="0" fontId="2" fillId="12" borderId="13" xfId="0" applyNumberFormat="1" applyFont="1" applyFill="1" applyBorder="1" applyAlignment="1">
      <alignment horizontal="justify" vertical="center" wrapText="1"/>
    </xf>
    <xf numFmtId="49" fontId="2" fillId="0" borderId="13" xfId="0" applyNumberFormat="1" applyFont="1" applyBorder="1" applyAlignment="1">
      <alignment horizontal="justify" vertical="center" wrapText="1"/>
    </xf>
    <xf numFmtId="0" fontId="2" fillId="2" borderId="17" xfId="0" applyNumberFormat="1" applyFont="1" applyFill="1" applyBorder="1" applyAlignment="1">
      <alignment horizontal="justify" vertical="center" wrapText="1"/>
    </xf>
    <xf numFmtId="0" fontId="2" fillId="2" borderId="22" xfId="0" applyNumberFormat="1" applyFont="1" applyFill="1" applyBorder="1" applyAlignment="1">
      <alignment horizontal="justify" vertical="center" wrapText="1"/>
    </xf>
    <xf numFmtId="0" fontId="2" fillId="2" borderId="19" xfId="0" applyNumberFormat="1" applyFont="1" applyFill="1" applyBorder="1" applyAlignment="1">
      <alignment horizontal="justify" vertical="center" wrapText="1"/>
    </xf>
    <xf numFmtId="168" fontId="2" fillId="12" borderId="13" xfId="0" applyFont="1" applyFill="1" applyBorder="1" applyAlignment="1">
      <alignment horizontal="center" vertical="center"/>
    </xf>
    <xf numFmtId="0" fontId="2" fillId="0" borderId="13" xfId="6" applyNumberFormat="1" applyFont="1" applyFill="1" applyBorder="1" applyAlignment="1">
      <alignment horizontal="justify" vertical="center" wrapText="1"/>
    </xf>
    <xf numFmtId="168" fontId="2" fillId="0" borderId="13" xfId="0" applyFont="1" applyBorder="1" applyAlignment="1">
      <alignment horizontal="center" vertical="center"/>
    </xf>
    <xf numFmtId="168" fontId="2" fillId="14" borderId="13" xfId="0" applyFont="1" applyFill="1" applyBorder="1" applyAlignment="1">
      <alignment horizontal="center" vertical="center" wrapText="1"/>
    </xf>
    <xf numFmtId="1" fontId="2" fillId="0" borderId="13" xfId="0" applyNumberFormat="1" applyFont="1" applyBorder="1" applyAlignment="1">
      <alignment horizontal="center" vertical="center"/>
    </xf>
    <xf numFmtId="0" fontId="3" fillId="6" borderId="15" xfId="0" applyNumberFormat="1" applyFont="1" applyFill="1" applyBorder="1" applyAlignment="1">
      <alignment horizontal="left" vertical="center" wrapText="1"/>
    </xf>
    <xf numFmtId="0" fontId="3" fillId="6" borderId="18" xfId="0" applyNumberFormat="1" applyFont="1" applyFill="1" applyBorder="1" applyAlignment="1">
      <alignment horizontal="left" vertical="center" wrapText="1"/>
    </xf>
    <xf numFmtId="0" fontId="3" fillId="6" borderId="16" xfId="0" applyNumberFormat="1" applyFont="1" applyFill="1" applyBorder="1" applyAlignment="1">
      <alignment horizontal="left" vertical="center" wrapText="1"/>
    </xf>
    <xf numFmtId="168" fontId="2" fillId="0" borderId="17" xfId="0" applyFont="1" applyBorder="1" applyAlignment="1">
      <alignment horizontal="center" vertical="center" wrapText="1"/>
    </xf>
    <xf numFmtId="168" fontId="2" fillId="0" borderId="19" xfId="0" applyFont="1" applyBorder="1" applyAlignment="1">
      <alignment horizontal="center" vertical="center" wrapText="1"/>
    </xf>
    <xf numFmtId="168" fontId="3" fillId="0" borderId="0" xfId="0" applyFont="1" applyAlignment="1">
      <alignment horizontal="center" vertical="top" wrapText="1"/>
    </xf>
    <xf numFmtId="168" fontId="3" fillId="0" borderId="0" xfId="0" applyFont="1" applyAlignment="1">
      <alignment horizontal="center" vertical="top"/>
    </xf>
    <xf numFmtId="170" fontId="4" fillId="4" borderId="7" xfId="5" applyNumberFormat="1" applyFont="1" applyFill="1" applyBorder="1" applyAlignment="1">
      <alignment horizontal="center" vertical="center" wrapText="1"/>
    </xf>
    <xf numFmtId="170" fontId="4" fillId="4" borderId="8" xfId="5" applyNumberFormat="1" applyFont="1" applyFill="1" applyBorder="1" applyAlignment="1">
      <alignment horizontal="center" vertical="center" wrapText="1"/>
    </xf>
    <xf numFmtId="170" fontId="4" fillId="4" borderId="9" xfId="5" applyNumberFormat="1" applyFont="1" applyFill="1" applyBorder="1" applyAlignment="1">
      <alignment horizontal="center" vertical="center" wrapText="1"/>
    </xf>
    <xf numFmtId="168" fontId="4" fillId="4" borderId="7" xfId="0" applyFont="1" applyFill="1" applyBorder="1" applyAlignment="1">
      <alignment horizontal="center" vertical="center" wrapText="1"/>
    </xf>
    <xf numFmtId="168" fontId="4" fillId="4" borderId="9" xfId="0" applyFont="1" applyFill="1" applyBorder="1" applyAlignment="1">
      <alignment horizontal="center" vertical="center" wrapText="1"/>
    </xf>
    <xf numFmtId="168" fontId="13" fillId="5" borderId="67" xfId="0" applyFont="1" applyFill="1" applyBorder="1" applyAlignment="1">
      <alignment horizontal="center" vertical="center"/>
    </xf>
    <xf numFmtId="168" fontId="13" fillId="5" borderId="19" xfId="0" applyFont="1" applyFill="1" applyBorder="1" applyAlignment="1">
      <alignment horizontal="center" vertical="center"/>
    </xf>
    <xf numFmtId="168" fontId="13" fillId="5" borderId="68" xfId="0" applyFont="1" applyFill="1" applyBorder="1" applyAlignment="1">
      <alignment horizontal="center" vertical="center"/>
    </xf>
    <xf numFmtId="168" fontId="13" fillId="5" borderId="24" xfId="0" applyFont="1" applyFill="1" applyBorder="1" applyAlignment="1">
      <alignment horizontal="center" vertical="center"/>
    </xf>
  </cellXfs>
  <cellStyles count="388">
    <cellStyle name="20% - Énfasis1" xfId="36" builtinId="30" customBuiltin="1"/>
    <cellStyle name="20% - Énfasis1 2" xfId="233" xr:uid="{00000000-0005-0000-0000-000001000000}"/>
    <cellStyle name="20% - Énfasis1 2 2" xfId="285" xr:uid="{00000000-0005-0000-0000-000002000000}"/>
    <cellStyle name="20% - Énfasis1 2 3" xfId="286" xr:uid="{00000000-0005-0000-0000-000003000000}"/>
    <cellStyle name="20% - Énfasis1 2 4" xfId="284" xr:uid="{00000000-0005-0000-0000-000004000000}"/>
    <cellStyle name="20% - Énfasis2" xfId="40" builtinId="34" customBuiltin="1"/>
    <cellStyle name="20% - Énfasis2 2" xfId="253" xr:uid="{00000000-0005-0000-0000-000006000000}"/>
    <cellStyle name="20% - Énfasis2 2 2" xfId="288" xr:uid="{00000000-0005-0000-0000-000007000000}"/>
    <cellStyle name="20% - Énfasis2 2 3" xfId="289" xr:uid="{00000000-0005-0000-0000-000008000000}"/>
    <cellStyle name="20% - Énfasis2 2 4" xfId="287" xr:uid="{00000000-0005-0000-0000-000009000000}"/>
    <cellStyle name="20% - Énfasis3" xfId="44" builtinId="38" customBuiltin="1"/>
    <cellStyle name="20% - Énfasis3 2" xfId="61" xr:uid="{00000000-0005-0000-0000-00000B000000}"/>
    <cellStyle name="20% - Énfasis3 2 2" xfId="291" xr:uid="{00000000-0005-0000-0000-00000C000000}"/>
    <cellStyle name="20% - Énfasis3 2 3" xfId="292" xr:uid="{00000000-0005-0000-0000-00000D000000}"/>
    <cellStyle name="20% - Énfasis3 2 4" xfId="290" xr:uid="{00000000-0005-0000-0000-00000E000000}"/>
    <cellStyle name="20% - Énfasis4" xfId="48" builtinId="42" customBuiltin="1"/>
    <cellStyle name="20% - Énfasis4 2" xfId="257" xr:uid="{00000000-0005-0000-0000-000010000000}"/>
    <cellStyle name="20% - Énfasis4 2 2" xfId="294" xr:uid="{00000000-0005-0000-0000-000011000000}"/>
    <cellStyle name="20% - Énfasis4 2 3" xfId="295" xr:uid="{00000000-0005-0000-0000-000012000000}"/>
    <cellStyle name="20% - Énfasis4 2 4" xfId="293" xr:uid="{00000000-0005-0000-0000-000013000000}"/>
    <cellStyle name="20% - Énfasis5" xfId="52" builtinId="46" customBuiltin="1"/>
    <cellStyle name="20% - Énfasis5 2" xfId="223" xr:uid="{00000000-0005-0000-0000-000015000000}"/>
    <cellStyle name="20% - Énfasis5 2 2" xfId="297" xr:uid="{00000000-0005-0000-0000-000016000000}"/>
    <cellStyle name="20% - Énfasis5 2 3" xfId="298" xr:uid="{00000000-0005-0000-0000-000017000000}"/>
    <cellStyle name="20% - Énfasis5 2 4" xfId="296" xr:uid="{00000000-0005-0000-0000-000018000000}"/>
    <cellStyle name="20% - Énfasis6" xfId="56" builtinId="50" customBuiltin="1"/>
    <cellStyle name="20% - Énfasis6 2" xfId="215" xr:uid="{00000000-0005-0000-0000-00001A000000}"/>
    <cellStyle name="20% - Énfasis6 2 2" xfId="300" xr:uid="{00000000-0005-0000-0000-00001B000000}"/>
    <cellStyle name="20% - Énfasis6 2 3" xfId="301" xr:uid="{00000000-0005-0000-0000-00001C000000}"/>
    <cellStyle name="20% - Énfasis6 2 4" xfId="299" xr:uid="{00000000-0005-0000-0000-00001D000000}"/>
    <cellStyle name="40% - Énfasis1" xfId="37" builtinId="31" customBuiltin="1"/>
    <cellStyle name="40% - Énfasis1 2" xfId="196" xr:uid="{00000000-0005-0000-0000-00001F000000}"/>
    <cellStyle name="40% - Énfasis1 2 2" xfId="303" xr:uid="{00000000-0005-0000-0000-000020000000}"/>
    <cellStyle name="40% - Énfasis1 2 3" xfId="304" xr:uid="{00000000-0005-0000-0000-000021000000}"/>
    <cellStyle name="40% - Énfasis1 2 4" xfId="302" xr:uid="{00000000-0005-0000-0000-000022000000}"/>
    <cellStyle name="40% - Énfasis2" xfId="41" builtinId="35" customBuiltin="1"/>
    <cellStyle name="40% - Énfasis2 2" xfId="251" xr:uid="{00000000-0005-0000-0000-000024000000}"/>
    <cellStyle name="40% - Énfasis2 2 2" xfId="306" xr:uid="{00000000-0005-0000-0000-000025000000}"/>
    <cellStyle name="40% - Énfasis2 2 3" xfId="307" xr:uid="{00000000-0005-0000-0000-000026000000}"/>
    <cellStyle name="40% - Énfasis2 2 4" xfId="305" xr:uid="{00000000-0005-0000-0000-000027000000}"/>
    <cellStyle name="40% - Énfasis3" xfId="45" builtinId="39" customBuiltin="1"/>
    <cellStyle name="40% - Énfasis3 2" xfId="260" xr:uid="{00000000-0005-0000-0000-000029000000}"/>
    <cellStyle name="40% - Énfasis3 2 2" xfId="309" xr:uid="{00000000-0005-0000-0000-00002A000000}"/>
    <cellStyle name="40% - Énfasis3 2 3" xfId="310" xr:uid="{00000000-0005-0000-0000-00002B000000}"/>
    <cellStyle name="40% - Énfasis3 2 4" xfId="308" xr:uid="{00000000-0005-0000-0000-00002C000000}"/>
    <cellStyle name="40% - Énfasis4" xfId="49" builtinId="43" customBuiltin="1"/>
    <cellStyle name="40% - Énfasis4 2" xfId="218" xr:uid="{00000000-0005-0000-0000-00002E000000}"/>
    <cellStyle name="40% - Énfasis4 2 2" xfId="312" xr:uid="{00000000-0005-0000-0000-00002F000000}"/>
    <cellStyle name="40% - Énfasis4 2 3" xfId="313" xr:uid="{00000000-0005-0000-0000-000030000000}"/>
    <cellStyle name="40% - Énfasis4 2 4" xfId="311" xr:uid="{00000000-0005-0000-0000-000031000000}"/>
    <cellStyle name="40% - Énfasis5" xfId="53" builtinId="47" customBuiltin="1"/>
    <cellStyle name="40% - Énfasis5 2" xfId="250" xr:uid="{00000000-0005-0000-0000-000033000000}"/>
    <cellStyle name="40% - Énfasis5 2 2" xfId="315" xr:uid="{00000000-0005-0000-0000-000034000000}"/>
    <cellStyle name="40% - Énfasis5 2 3" xfId="316" xr:uid="{00000000-0005-0000-0000-000035000000}"/>
    <cellStyle name="40% - Énfasis5 2 4" xfId="314" xr:uid="{00000000-0005-0000-0000-000036000000}"/>
    <cellStyle name="40% - Énfasis6" xfId="57" builtinId="51" customBuiltin="1"/>
    <cellStyle name="40% - Énfasis6 2" xfId="67" xr:uid="{00000000-0005-0000-0000-000038000000}"/>
    <cellStyle name="40% - Énfasis6 2 2" xfId="318" xr:uid="{00000000-0005-0000-0000-000039000000}"/>
    <cellStyle name="40% - Énfasis6 2 3" xfId="319" xr:uid="{00000000-0005-0000-0000-00003A000000}"/>
    <cellStyle name="40% - Énfasis6 2 4" xfId="317" xr:uid="{00000000-0005-0000-0000-00003B000000}"/>
    <cellStyle name="60% - Énfasis1" xfId="38" builtinId="32" customBuiltin="1"/>
    <cellStyle name="60% - Énfasis1 2" xfId="213" xr:uid="{00000000-0005-0000-0000-00003D000000}"/>
    <cellStyle name="60% - Énfasis1 2 2" xfId="320" xr:uid="{00000000-0005-0000-0000-00003E000000}"/>
    <cellStyle name="60% - Énfasis2" xfId="42" builtinId="36" customBuiltin="1"/>
    <cellStyle name="60% - Énfasis2 2" xfId="242" xr:uid="{00000000-0005-0000-0000-000040000000}"/>
    <cellStyle name="60% - Énfasis2 2 2" xfId="321" xr:uid="{00000000-0005-0000-0000-000041000000}"/>
    <cellStyle name="60% - Énfasis3" xfId="46" builtinId="40" customBuiltin="1"/>
    <cellStyle name="60% - Énfasis3 2" xfId="72" xr:uid="{00000000-0005-0000-0000-000043000000}"/>
    <cellStyle name="60% - Énfasis3 2 2" xfId="322" xr:uid="{00000000-0005-0000-0000-000044000000}"/>
    <cellStyle name="60% - Énfasis4" xfId="50" builtinId="44" customBuiltin="1"/>
    <cellStyle name="60% - Énfasis4 2" xfId="237" xr:uid="{00000000-0005-0000-0000-000046000000}"/>
    <cellStyle name="60% - Énfasis4 2 2" xfId="323" xr:uid="{00000000-0005-0000-0000-000047000000}"/>
    <cellStyle name="60% - Énfasis5" xfId="54" builtinId="48" customBuiltin="1"/>
    <cellStyle name="60% - Énfasis5 2" xfId="235" xr:uid="{00000000-0005-0000-0000-000049000000}"/>
    <cellStyle name="60% - Énfasis5 2 2" xfId="324" xr:uid="{00000000-0005-0000-0000-00004A000000}"/>
    <cellStyle name="60% - Énfasis6" xfId="58" builtinId="52" customBuiltin="1"/>
    <cellStyle name="60% - Énfasis6 2" xfId="80" xr:uid="{00000000-0005-0000-0000-00004C000000}"/>
    <cellStyle name="60% - Énfasis6 2 2" xfId="325" xr:uid="{00000000-0005-0000-0000-00004D000000}"/>
    <cellStyle name="Buena 2" xfId="326" xr:uid="{00000000-0005-0000-0000-00004E000000}"/>
    <cellStyle name="Cálculo" xfId="28" builtinId="22" customBuiltin="1"/>
    <cellStyle name="Cálculo 2" xfId="69" xr:uid="{00000000-0005-0000-0000-000050000000}"/>
    <cellStyle name="Cálculo 2 2" xfId="327" xr:uid="{00000000-0005-0000-0000-000051000000}"/>
    <cellStyle name="Celda de comprobación" xfId="30" builtinId="23" customBuiltin="1"/>
    <cellStyle name="Celda de comprobación 2" xfId="68" xr:uid="{00000000-0005-0000-0000-000053000000}"/>
    <cellStyle name="Celda de comprobación 2 2" xfId="328" xr:uid="{00000000-0005-0000-0000-000054000000}"/>
    <cellStyle name="Celda vinculada" xfId="29" builtinId="24" customBuiltin="1"/>
    <cellStyle name="Celda vinculada 2" xfId="171" xr:uid="{00000000-0005-0000-0000-000056000000}"/>
    <cellStyle name="Celda vinculada 2 2" xfId="329" xr:uid="{00000000-0005-0000-0000-000057000000}"/>
    <cellStyle name="Encabezado 1" xfId="20" builtinId="16" customBuiltin="1"/>
    <cellStyle name="Encabezado 4" xfId="23" builtinId="19" customBuiltin="1"/>
    <cellStyle name="Encabezado 4 2" xfId="201" xr:uid="{00000000-0005-0000-0000-00005A000000}"/>
    <cellStyle name="Encabezado 4 2 2" xfId="330" xr:uid="{00000000-0005-0000-0000-00005B000000}"/>
    <cellStyle name="Énfasis1" xfId="35" builtinId="29" customBuiltin="1"/>
    <cellStyle name="Énfasis1 2" xfId="224" xr:uid="{00000000-0005-0000-0000-00005D000000}"/>
    <cellStyle name="Énfasis1 2 2" xfId="331" xr:uid="{00000000-0005-0000-0000-00005E000000}"/>
    <cellStyle name="Énfasis2" xfId="39" builtinId="33" customBuiltin="1"/>
    <cellStyle name="Énfasis2 2" xfId="184" xr:uid="{00000000-0005-0000-0000-000060000000}"/>
    <cellStyle name="Énfasis2 2 2" xfId="332" xr:uid="{00000000-0005-0000-0000-000061000000}"/>
    <cellStyle name="Énfasis3" xfId="43" builtinId="37" customBuiltin="1"/>
    <cellStyle name="Énfasis3 2" xfId="173" xr:uid="{00000000-0005-0000-0000-000063000000}"/>
    <cellStyle name="Énfasis3 2 2" xfId="333" xr:uid="{00000000-0005-0000-0000-000064000000}"/>
    <cellStyle name="Énfasis4" xfId="47" builtinId="41" customBuiltin="1"/>
    <cellStyle name="Énfasis4 2" xfId="188" xr:uid="{00000000-0005-0000-0000-000066000000}"/>
    <cellStyle name="Énfasis4 2 2" xfId="334" xr:uid="{00000000-0005-0000-0000-000067000000}"/>
    <cellStyle name="Énfasis5" xfId="51" builtinId="45" customBuiltin="1"/>
    <cellStyle name="Énfasis5 2" xfId="265" xr:uid="{00000000-0005-0000-0000-000069000000}"/>
    <cellStyle name="Énfasis5 2 2" xfId="335" xr:uid="{00000000-0005-0000-0000-00006A000000}"/>
    <cellStyle name="Énfasis6" xfId="55" builtinId="49" customBuiltin="1"/>
    <cellStyle name="Énfasis6 2" xfId="248" xr:uid="{00000000-0005-0000-0000-00006C000000}"/>
    <cellStyle name="Énfasis6 2 2" xfId="336" xr:uid="{00000000-0005-0000-0000-00006D000000}"/>
    <cellStyle name="Entrada" xfId="26" builtinId="20" customBuiltin="1"/>
    <cellStyle name="Entrada 2" xfId="181" xr:uid="{00000000-0005-0000-0000-00006F000000}"/>
    <cellStyle name="Entrada 2 2" xfId="337" xr:uid="{00000000-0005-0000-0000-000070000000}"/>
    <cellStyle name="Euro" xfId="338" xr:uid="{00000000-0005-0000-0000-000071000000}"/>
    <cellStyle name="Euro 2" xfId="339" xr:uid="{00000000-0005-0000-0000-000072000000}"/>
    <cellStyle name="Excel Built-in Normal 2" xfId="119" xr:uid="{00000000-0005-0000-0000-000073000000}"/>
    <cellStyle name="Excel Built-in Normal 2 2" xfId="244" xr:uid="{00000000-0005-0000-0000-000074000000}"/>
    <cellStyle name="F2" xfId="340" xr:uid="{00000000-0005-0000-0000-000075000000}"/>
    <cellStyle name="F3" xfId="341" xr:uid="{00000000-0005-0000-0000-000076000000}"/>
    <cellStyle name="F4" xfId="342" xr:uid="{00000000-0005-0000-0000-000077000000}"/>
    <cellStyle name="F5" xfId="343" xr:uid="{00000000-0005-0000-0000-000078000000}"/>
    <cellStyle name="F6" xfId="344" xr:uid="{00000000-0005-0000-0000-000079000000}"/>
    <cellStyle name="F7" xfId="345" xr:uid="{00000000-0005-0000-0000-00007A000000}"/>
    <cellStyle name="F8" xfId="346" xr:uid="{00000000-0005-0000-0000-00007B000000}"/>
    <cellStyle name="Hipervínculo 2" xfId="192" xr:uid="{00000000-0005-0000-0000-00007C000000}"/>
    <cellStyle name="Incorrecto" xfId="24" builtinId="27" customBuiltin="1"/>
    <cellStyle name="Incorrecto 2" xfId="254" xr:uid="{00000000-0005-0000-0000-00007E000000}"/>
    <cellStyle name="Incorrecto 2 2" xfId="347" xr:uid="{00000000-0005-0000-0000-00007F000000}"/>
    <cellStyle name="KPT04" xfId="6" xr:uid="{00000000-0005-0000-0000-000080000000}"/>
    <cellStyle name="KPT04 2" xfId="9" xr:uid="{00000000-0005-0000-0000-000081000000}"/>
    <cellStyle name="KPT04 2 2" xfId="261" xr:uid="{00000000-0005-0000-0000-000082000000}"/>
    <cellStyle name="KPT04 3" xfId="263" xr:uid="{00000000-0005-0000-0000-000083000000}"/>
    <cellStyle name="KPT04_Main" xfId="14" xr:uid="{00000000-0005-0000-0000-000084000000}"/>
    <cellStyle name="Millares" xfId="1" builtinId="3"/>
    <cellStyle name="Millares [0]" xfId="2" builtinId="6"/>
    <cellStyle name="Millares [0] 2" xfId="97" xr:uid="{00000000-0005-0000-0000-000087000000}"/>
    <cellStyle name="Millares [0] 2 2" xfId="160" xr:uid="{00000000-0005-0000-0000-000088000000}"/>
    <cellStyle name="Millares [0] 3" xfId="123" xr:uid="{00000000-0005-0000-0000-000089000000}"/>
    <cellStyle name="Millares [0] 4" xfId="164" xr:uid="{00000000-0005-0000-0000-00008A000000}"/>
    <cellStyle name="Millares 2" xfId="5" xr:uid="{00000000-0005-0000-0000-00008B000000}"/>
    <cellStyle name="Millares 2 2" xfId="8" xr:uid="{00000000-0005-0000-0000-00008C000000}"/>
    <cellStyle name="Millares 2 2 2" xfId="12" xr:uid="{00000000-0005-0000-0000-00008D000000}"/>
    <cellStyle name="Millares 2 2 2 2" xfId="95" xr:uid="{00000000-0005-0000-0000-00008E000000}"/>
    <cellStyle name="Millares 2 2 2 2 2" xfId="159" xr:uid="{00000000-0005-0000-0000-00008F000000}"/>
    <cellStyle name="Millares 2 3" xfId="348" xr:uid="{00000000-0005-0000-0000-000090000000}"/>
    <cellStyle name="Millares 2 4" xfId="103" xr:uid="{00000000-0005-0000-0000-000091000000}"/>
    <cellStyle name="Millares 2 4 2" xfId="166" xr:uid="{00000000-0005-0000-0000-000092000000}"/>
    <cellStyle name="Millares 3" xfId="115" xr:uid="{00000000-0005-0000-0000-000093000000}"/>
    <cellStyle name="Millares 3 2" xfId="124" xr:uid="{00000000-0005-0000-0000-000094000000}"/>
    <cellStyle name="Millares 3 3" xfId="121" xr:uid="{00000000-0005-0000-0000-000095000000}"/>
    <cellStyle name="Millares 4" xfId="120" xr:uid="{00000000-0005-0000-0000-000096000000}"/>
    <cellStyle name="Millares 6" xfId="122" xr:uid="{00000000-0005-0000-0000-000097000000}"/>
    <cellStyle name="Moneda" xfId="3" builtinId="4"/>
    <cellStyle name="Moneda [0]" xfId="4" builtinId="7"/>
    <cellStyle name="Moneda [0] 2" xfId="101" xr:uid="{00000000-0005-0000-0000-00009A000000}"/>
    <cellStyle name="Moneda [0] 2 2" xfId="125" xr:uid="{00000000-0005-0000-0000-00009B000000}"/>
    <cellStyle name="Moneda [0] 2 2 2" xfId="168" xr:uid="{00000000-0005-0000-0000-00009C000000}"/>
    <cellStyle name="Moneda [0] 2 3" xfId="163" xr:uid="{00000000-0005-0000-0000-00009D000000}"/>
    <cellStyle name="Moneda 10" xfId="139" xr:uid="{00000000-0005-0000-0000-00009E000000}"/>
    <cellStyle name="Moneda 11" xfId="144" xr:uid="{00000000-0005-0000-0000-00009F000000}"/>
    <cellStyle name="Moneda 12" xfId="145" xr:uid="{00000000-0005-0000-0000-0000A0000000}"/>
    <cellStyle name="Moneda 13" xfId="146" xr:uid="{00000000-0005-0000-0000-0000A1000000}"/>
    <cellStyle name="Moneda 14" xfId="147" xr:uid="{00000000-0005-0000-0000-0000A2000000}"/>
    <cellStyle name="Moneda 15" xfId="148" xr:uid="{00000000-0005-0000-0000-0000A3000000}"/>
    <cellStyle name="Moneda 16" xfId="149" xr:uid="{00000000-0005-0000-0000-0000A4000000}"/>
    <cellStyle name="Moneda 2" xfId="11" xr:uid="{00000000-0005-0000-0000-0000A5000000}"/>
    <cellStyle name="Moneda 2 2" xfId="102" xr:uid="{00000000-0005-0000-0000-0000A6000000}"/>
    <cellStyle name="Moneda 2 3" xfId="100" xr:uid="{00000000-0005-0000-0000-0000A7000000}"/>
    <cellStyle name="Moneda 2 4" xfId="131" xr:uid="{00000000-0005-0000-0000-0000A8000000}"/>
    <cellStyle name="Moneda 2 5" xfId="162" xr:uid="{00000000-0005-0000-0000-0000A9000000}"/>
    <cellStyle name="Moneda 3" xfId="13" xr:uid="{00000000-0005-0000-0000-0000AA000000}"/>
    <cellStyle name="Moneda 3 2" xfId="118" xr:uid="{00000000-0005-0000-0000-0000AB000000}"/>
    <cellStyle name="Moneda 4" xfId="130" xr:uid="{00000000-0005-0000-0000-0000AC000000}"/>
    <cellStyle name="Moneda 5" xfId="134" xr:uid="{00000000-0005-0000-0000-0000AD000000}"/>
    <cellStyle name="Moneda 6" xfId="135" xr:uid="{00000000-0005-0000-0000-0000AE000000}"/>
    <cellStyle name="Moneda 7" xfId="136" xr:uid="{00000000-0005-0000-0000-0000AF000000}"/>
    <cellStyle name="Moneda 8" xfId="138" xr:uid="{00000000-0005-0000-0000-0000B0000000}"/>
    <cellStyle name="Moneda 9" xfId="137" xr:uid="{00000000-0005-0000-0000-0000B1000000}"/>
    <cellStyle name="Neutral" xfId="25" builtinId="28" customBuiltin="1"/>
    <cellStyle name="Neutral 2" xfId="77" xr:uid="{00000000-0005-0000-0000-0000B3000000}"/>
    <cellStyle name="Neutral 2 2" xfId="349" xr:uid="{00000000-0005-0000-0000-0000B4000000}"/>
    <cellStyle name="Normal" xfId="0" builtinId="0"/>
    <cellStyle name="Normal 10" xfId="94" xr:uid="{00000000-0005-0000-0000-0000B6000000}"/>
    <cellStyle name="Normal 10 2" xfId="194" xr:uid="{00000000-0005-0000-0000-0000B7000000}"/>
    <cellStyle name="Normal 10 3" xfId="387" xr:uid="{00000000-0005-0000-0000-0000B8000000}"/>
    <cellStyle name="Normal 11" xfId="107" xr:uid="{00000000-0005-0000-0000-0000B9000000}"/>
    <cellStyle name="Normal 11 2" xfId="247" xr:uid="{00000000-0005-0000-0000-0000BA000000}"/>
    <cellStyle name="Normal 12" xfId="104" xr:uid="{00000000-0005-0000-0000-0000BB000000}"/>
    <cellStyle name="Normal 12 2" xfId="208" xr:uid="{00000000-0005-0000-0000-0000BC000000}"/>
    <cellStyle name="Normal 13" xfId="90" xr:uid="{00000000-0005-0000-0000-0000BD000000}"/>
    <cellStyle name="Normal 13 2" xfId="227" xr:uid="{00000000-0005-0000-0000-0000BE000000}"/>
    <cellStyle name="Normal 14" xfId="92" xr:uid="{00000000-0005-0000-0000-0000BF000000}"/>
    <cellStyle name="Normal 14 2" xfId="238" xr:uid="{00000000-0005-0000-0000-0000C0000000}"/>
    <cellStyle name="Normal 14 3" xfId="350" xr:uid="{00000000-0005-0000-0000-0000C1000000}"/>
    <cellStyle name="Normal 15" xfId="105" xr:uid="{00000000-0005-0000-0000-0000C2000000}"/>
    <cellStyle name="Normal 15 2" xfId="216" xr:uid="{00000000-0005-0000-0000-0000C3000000}"/>
    <cellStyle name="Normal 16" xfId="88" xr:uid="{00000000-0005-0000-0000-0000C4000000}"/>
    <cellStyle name="Normal 16 2" xfId="74" xr:uid="{00000000-0005-0000-0000-0000C5000000}"/>
    <cellStyle name="Normal 17" xfId="106" xr:uid="{00000000-0005-0000-0000-0000C6000000}"/>
    <cellStyle name="Normal 17 2" xfId="178" xr:uid="{00000000-0005-0000-0000-0000C7000000}"/>
    <cellStyle name="Normal 18" xfId="87" xr:uid="{00000000-0005-0000-0000-0000C8000000}"/>
    <cellStyle name="Normal 18 2" xfId="187" xr:uid="{00000000-0005-0000-0000-0000C9000000}"/>
    <cellStyle name="Normal 19" xfId="108" xr:uid="{00000000-0005-0000-0000-0000CA000000}"/>
    <cellStyle name="Normal 19 2" xfId="204" xr:uid="{00000000-0005-0000-0000-0000CB000000}"/>
    <cellStyle name="Normal 2" xfId="7" xr:uid="{00000000-0005-0000-0000-0000CC000000}"/>
    <cellStyle name="Normal 2 2" xfId="10" xr:uid="{00000000-0005-0000-0000-0000CD000000}"/>
    <cellStyle name="Normal 2 2 10" xfId="352" xr:uid="{00000000-0005-0000-0000-0000CE000000}"/>
    <cellStyle name="Normal 2 2 2" xfId="15" xr:uid="{00000000-0005-0000-0000-0000CF000000}"/>
    <cellStyle name="Normal 2 2 2 2" xfId="132" xr:uid="{00000000-0005-0000-0000-0000D0000000}"/>
    <cellStyle name="Normal 2 2 2 2 2" xfId="230" xr:uid="{00000000-0005-0000-0000-0000D1000000}"/>
    <cellStyle name="Normal 2 2 2 2 2 2" xfId="356" xr:uid="{00000000-0005-0000-0000-0000D2000000}"/>
    <cellStyle name="Normal 2 2 2 2 2 3" xfId="355" xr:uid="{00000000-0005-0000-0000-0000D3000000}"/>
    <cellStyle name="Normal 2 2 2 2 3" xfId="354" xr:uid="{00000000-0005-0000-0000-0000D4000000}"/>
    <cellStyle name="Normal 2 2 2 3" xfId="212" xr:uid="{00000000-0005-0000-0000-0000D5000000}"/>
    <cellStyle name="Normal 2 2 2 3 2" xfId="357" xr:uid="{00000000-0005-0000-0000-0000D6000000}"/>
    <cellStyle name="Normal 2 2 2 4" xfId="358" xr:uid="{00000000-0005-0000-0000-0000D7000000}"/>
    <cellStyle name="Normal 2 2 2 5" xfId="353" xr:uid="{00000000-0005-0000-0000-0000D8000000}"/>
    <cellStyle name="Normal 2 2 3" xfId="221" xr:uid="{00000000-0005-0000-0000-0000D9000000}"/>
    <cellStyle name="Normal 2 2 3 2" xfId="359" xr:uid="{00000000-0005-0000-0000-0000DA000000}"/>
    <cellStyle name="Normal 2 2 7" xfId="360" xr:uid="{00000000-0005-0000-0000-0000DB000000}"/>
    <cellStyle name="Normal 2 2 8" xfId="361" xr:uid="{00000000-0005-0000-0000-0000DC000000}"/>
    <cellStyle name="Normal 2 2 9" xfId="362" xr:uid="{00000000-0005-0000-0000-0000DD000000}"/>
    <cellStyle name="Normal 2 3" xfId="16" xr:uid="{00000000-0005-0000-0000-0000DE000000}"/>
    <cellStyle name="Normal 2 3 2" xfId="126" xr:uid="{00000000-0005-0000-0000-0000DF000000}"/>
    <cellStyle name="Normal 2 3 2 2" xfId="364" xr:uid="{00000000-0005-0000-0000-0000E0000000}"/>
    <cellStyle name="Normal 2 3 3" xfId="167" xr:uid="{00000000-0005-0000-0000-0000E1000000}"/>
    <cellStyle name="Normal 2 3 3 2" xfId="270" xr:uid="{00000000-0005-0000-0000-0000E2000000}"/>
    <cellStyle name="Normal 2 3 3 3" xfId="365" xr:uid="{00000000-0005-0000-0000-0000E3000000}"/>
    <cellStyle name="Normal 2 3 4" xfId="246" xr:uid="{00000000-0005-0000-0000-0000E4000000}"/>
    <cellStyle name="Normal 2 3 5" xfId="363" xr:uid="{00000000-0005-0000-0000-0000E5000000}"/>
    <cellStyle name="Normal 2 4" xfId="117" xr:uid="{00000000-0005-0000-0000-0000E6000000}"/>
    <cellStyle name="Normal 2 4 2" xfId="197" xr:uid="{00000000-0005-0000-0000-0000E7000000}"/>
    <cellStyle name="Normal 2 4 3" xfId="366" xr:uid="{00000000-0005-0000-0000-0000E8000000}"/>
    <cellStyle name="Normal 2 5" xfId="367" xr:uid="{00000000-0005-0000-0000-0000E9000000}"/>
    <cellStyle name="Normal 2 6" xfId="368" xr:uid="{00000000-0005-0000-0000-0000EA000000}"/>
    <cellStyle name="Normal 2 7" xfId="351" xr:uid="{00000000-0005-0000-0000-0000EB000000}"/>
    <cellStyle name="Normal 2_FUT INGRESOS 2010 Y FLS Y TESORERIA FLS AGOSTO 26" xfId="369" xr:uid="{00000000-0005-0000-0000-0000EC000000}"/>
    <cellStyle name="Normal 20" xfId="86" xr:uid="{00000000-0005-0000-0000-0000ED000000}"/>
    <cellStyle name="Normal 20 2" xfId="234" xr:uid="{00000000-0005-0000-0000-0000EE000000}"/>
    <cellStyle name="Normal 21" xfId="91" xr:uid="{00000000-0005-0000-0000-0000EF000000}"/>
    <cellStyle name="Normal 21 2" xfId="209" xr:uid="{00000000-0005-0000-0000-0000F0000000}"/>
    <cellStyle name="Normal 22" xfId="89" xr:uid="{00000000-0005-0000-0000-0000F1000000}"/>
    <cellStyle name="Normal 22 2" xfId="193" xr:uid="{00000000-0005-0000-0000-0000F2000000}"/>
    <cellStyle name="Normal 23" xfId="109" xr:uid="{00000000-0005-0000-0000-0000F3000000}"/>
    <cellStyle name="Normal 23 2" xfId="239" xr:uid="{00000000-0005-0000-0000-0000F4000000}"/>
    <cellStyle name="Normal 24" xfId="110" xr:uid="{00000000-0005-0000-0000-0000F5000000}"/>
    <cellStyle name="Normal 24 2" xfId="268" xr:uid="{00000000-0005-0000-0000-0000F6000000}"/>
    <cellStyle name="Normal 25" xfId="111" xr:uid="{00000000-0005-0000-0000-0000F7000000}"/>
    <cellStyle name="Normal 25 2" xfId="240" xr:uid="{00000000-0005-0000-0000-0000F8000000}"/>
    <cellStyle name="Normal 26" xfId="112" xr:uid="{00000000-0005-0000-0000-0000F9000000}"/>
    <cellStyle name="Normal 26 2" xfId="258" xr:uid="{00000000-0005-0000-0000-0000FA000000}"/>
    <cellStyle name="Normal 27" xfId="113" xr:uid="{00000000-0005-0000-0000-0000FB000000}"/>
    <cellStyle name="Normal 27 2" xfId="241" xr:uid="{00000000-0005-0000-0000-0000FC000000}"/>
    <cellStyle name="Normal 28" xfId="114" xr:uid="{00000000-0005-0000-0000-0000FD000000}"/>
    <cellStyle name="Normal 28 2" xfId="78" xr:uid="{00000000-0005-0000-0000-0000FE000000}"/>
    <cellStyle name="Normal 29" xfId="116" xr:uid="{00000000-0005-0000-0000-0000FF000000}"/>
    <cellStyle name="Normal 29 2" xfId="75" xr:uid="{00000000-0005-0000-0000-000000010000}"/>
    <cellStyle name="Normal 3" xfId="17" xr:uid="{00000000-0005-0000-0000-000001010000}"/>
    <cellStyle name="Normal 3 2" xfId="127" xr:uid="{00000000-0005-0000-0000-000002010000}"/>
    <cellStyle name="Normal 3 2 2" xfId="210" xr:uid="{00000000-0005-0000-0000-000003010000}"/>
    <cellStyle name="Normal 3 2 3" xfId="370" xr:uid="{00000000-0005-0000-0000-000004010000}"/>
    <cellStyle name="Normal 3 3" xfId="264" xr:uid="{00000000-0005-0000-0000-000005010000}"/>
    <cellStyle name="Normal 3 4" xfId="277" xr:uid="{00000000-0005-0000-0000-000006010000}"/>
    <cellStyle name="Normal 3 5" xfId="63" xr:uid="{00000000-0005-0000-0000-000007010000}"/>
    <cellStyle name="Normal 30" xfId="128" xr:uid="{00000000-0005-0000-0000-000008010000}"/>
    <cellStyle name="Normal 30 2" xfId="176" xr:uid="{00000000-0005-0000-0000-000009010000}"/>
    <cellStyle name="Normal 31" xfId="142" xr:uid="{00000000-0005-0000-0000-00000A010000}"/>
    <cellStyle name="Normal 31 2" xfId="82" xr:uid="{00000000-0005-0000-0000-00000B010000}"/>
    <cellStyle name="Normal 32" xfId="140" xr:uid="{00000000-0005-0000-0000-00000C010000}"/>
    <cellStyle name="Normal 32 2" xfId="73" xr:uid="{00000000-0005-0000-0000-00000D010000}"/>
    <cellStyle name="Normal 33" xfId="141" xr:uid="{00000000-0005-0000-0000-00000E010000}"/>
    <cellStyle name="Normal 33 2" xfId="200" xr:uid="{00000000-0005-0000-0000-00000F010000}"/>
    <cellStyle name="Normal 34" xfId="133" xr:uid="{00000000-0005-0000-0000-000010010000}"/>
    <cellStyle name="Normal 34 2" xfId="180" xr:uid="{00000000-0005-0000-0000-000011010000}"/>
    <cellStyle name="Normal 35" xfId="143" xr:uid="{00000000-0005-0000-0000-000012010000}"/>
    <cellStyle name="Normal 35 2" xfId="174" xr:uid="{00000000-0005-0000-0000-000013010000}"/>
    <cellStyle name="Normal 36" xfId="150" xr:uid="{00000000-0005-0000-0000-000014010000}"/>
    <cellStyle name="Normal 36 2" xfId="198" xr:uid="{00000000-0005-0000-0000-000015010000}"/>
    <cellStyle name="Normal 37" xfId="158" xr:uid="{00000000-0005-0000-0000-000016010000}"/>
    <cellStyle name="Normal 37 2" xfId="217" xr:uid="{00000000-0005-0000-0000-000017010000}"/>
    <cellStyle name="Normal 38" xfId="153" xr:uid="{00000000-0005-0000-0000-000018010000}"/>
    <cellStyle name="Normal 38 2" xfId="243" xr:uid="{00000000-0005-0000-0000-000019010000}"/>
    <cellStyle name="Normal 39" xfId="161" xr:uid="{00000000-0005-0000-0000-00001A010000}"/>
    <cellStyle name="Normal 39 2" xfId="189" xr:uid="{00000000-0005-0000-0000-00001B010000}"/>
    <cellStyle name="Normal 4" xfId="84" xr:uid="{00000000-0005-0000-0000-00001C010000}"/>
    <cellStyle name="Normal 4 2" xfId="262" xr:uid="{00000000-0005-0000-0000-00001D010000}"/>
    <cellStyle name="Normal 4 2 2" xfId="372" xr:uid="{00000000-0005-0000-0000-00001E010000}"/>
    <cellStyle name="Normal 4 3" xfId="371" xr:uid="{00000000-0005-0000-0000-00001F010000}"/>
    <cellStyle name="Normal 40" xfId="151" xr:uid="{00000000-0005-0000-0000-000020010000}"/>
    <cellStyle name="Normal 40 2" xfId="179" xr:uid="{00000000-0005-0000-0000-000021010000}"/>
    <cellStyle name="Normal 41" xfId="165" xr:uid="{00000000-0005-0000-0000-000022010000}"/>
    <cellStyle name="Normal 41 2" xfId="222" xr:uid="{00000000-0005-0000-0000-000023010000}"/>
    <cellStyle name="Normal 42" xfId="169" xr:uid="{00000000-0005-0000-0000-000024010000}"/>
    <cellStyle name="Normal 42 2" xfId="272" xr:uid="{00000000-0005-0000-0000-000025010000}"/>
    <cellStyle name="Normal 43" xfId="157" xr:uid="{00000000-0005-0000-0000-000026010000}"/>
    <cellStyle name="Normal 43 2" xfId="183" xr:uid="{00000000-0005-0000-0000-000027010000}"/>
    <cellStyle name="Normal 44" xfId="154" xr:uid="{00000000-0005-0000-0000-000028010000}"/>
    <cellStyle name="Normal 44 2" xfId="185" xr:uid="{00000000-0005-0000-0000-000029010000}"/>
    <cellStyle name="Normal 45" xfId="155" xr:uid="{00000000-0005-0000-0000-00002A010000}"/>
    <cellStyle name="Normal 45 2" xfId="259" xr:uid="{00000000-0005-0000-0000-00002B010000}"/>
    <cellStyle name="Normal 46" xfId="152" xr:uid="{00000000-0005-0000-0000-00002C010000}"/>
    <cellStyle name="Normal 46 2" xfId="236" xr:uid="{00000000-0005-0000-0000-00002D010000}"/>
    <cellStyle name="Normal 47" xfId="156" xr:uid="{00000000-0005-0000-0000-00002E010000}"/>
    <cellStyle name="Normal 47 2" xfId="232" xr:uid="{00000000-0005-0000-0000-00002F010000}"/>
    <cellStyle name="Normal 48" xfId="60" xr:uid="{00000000-0005-0000-0000-000030010000}"/>
    <cellStyle name="Normal 49" xfId="71" xr:uid="{00000000-0005-0000-0000-000031010000}"/>
    <cellStyle name="Normal 5" xfId="93" xr:uid="{00000000-0005-0000-0000-000032010000}"/>
    <cellStyle name="Normal 5 2" xfId="186" xr:uid="{00000000-0005-0000-0000-000033010000}"/>
    <cellStyle name="Normal 5 3" xfId="373" xr:uid="{00000000-0005-0000-0000-000034010000}"/>
    <cellStyle name="Normal 50" xfId="79" xr:uid="{00000000-0005-0000-0000-000035010000}"/>
    <cellStyle name="Normal 51" xfId="211" xr:uid="{00000000-0005-0000-0000-000036010000}"/>
    <cellStyle name="Normal 52" xfId="219" xr:uid="{00000000-0005-0000-0000-000037010000}"/>
    <cellStyle name="Normal 53" xfId="175" xr:uid="{00000000-0005-0000-0000-000038010000}"/>
    <cellStyle name="Normal 54" xfId="191" xr:uid="{00000000-0005-0000-0000-000039010000}"/>
    <cellStyle name="Normal 55" xfId="214" xr:uid="{00000000-0005-0000-0000-00003A010000}"/>
    <cellStyle name="Normal 56" xfId="170" xr:uid="{00000000-0005-0000-0000-00003B010000}"/>
    <cellStyle name="Normal 57" xfId="226" xr:uid="{00000000-0005-0000-0000-00003C010000}"/>
    <cellStyle name="Normal 58" xfId="76" xr:uid="{00000000-0005-0000-0000-00003D010000}"/>
    <cellStyle name="Normal 59" xfId="207" xr:uid="{00000000-0005-0000-0000-00003E010000}"/>
    <cellStyle name="Normal 6" xfId="19" xr:uid="{00000000-0005-0000-0000-00003F010000}"/>
    <cellStyle name="Normal 6 2" xfId="70" xr:uid="{00000000-0005-0000-0000-000040010000}"/>
    <cellStyle name="Normal 60" xfId="228" xr:uid="{00000000-0005-0000-0000-000041010000}"/>
    <cellStyle name="Normal 61" xfId="195" xr:uid="{00000000-0005-0000-0000-000042010000}"/>
    <cellStyle name="Normal 62" xfId="182" xr:uid="{00000000-0005-0000-0000-000043010000}"/>
    <cellStyle name="Normal 63" xfId="81" xr:uid="{00000000-0005-0000-0000-000044010000}"/>
    <cellStyle name="Normal 64" xfId="172" xr:uid="{00000000-0005-0000-0000-000045010000}"/>
    <cellStyle name="Normal 65" xfId="199" xr:uid="{00000000-0005-0000-0000-000046010000}"/>
    <cellStyle name="Normal 66" xfId="206" xr:uid="{00000000-0005-0000-0000-000047010000}"/>
    <cellStyle name="Normal 67" xfId="229" xr:uid="{00000000-0005-0000-0000-000048010000}"/>
    <cellStyle name="Normal 68" xfId="256" xr:uid="{00000000-0005-0000-0000-000049010000}"/>
    <cellStyle name="Normal 69" xfId="266" xr:uid="{00000000-0005-0000-0000-00004A010000}"/>
    <cellStyle name="Normal 7" xfId="18" xr:uid="{00000000-0005-0000-0000-00004B010000}"/>
    <cellStyle name="Normal 7 2" xfId="225" xr:uid="{00000000-0005-0000-0000-00004C010000}"/>
    <cellStyle name="Normal 7 3" xfId="374" xr:uid="{00000000-0005-0000-0000-00004D010000}"/>
    <cellStyle name="Normal 70" xfId="267" xr:uid="{00000000-0005-0000-0000-00004E010000}"/>
    <cellStyle name="Normal 71" xfId="245" xr:uid="{00000000-0005-0000-0000-00004F010000}"/>
    <cellStyle name="Normal 72" xfId="202" xr:uid="{00000000-0005-0000-0000-000050010000}"/>
    <cellStyle name="Normal 73" xfId="278" xr:uid="{00000000-0005-0000-0000-000051010000}"/>
    <cellStyle name="Normal 74" xfId="271" xr:uid="{00000000-0005-0000-0000-000052010000}"/>
    <cellStyle name="Normal 75" xfId="280" xr:uid="{00000000-0005-0000-0000-000053010000}"/>
    <cellStyle name="Normal 76" xfId="66" xr:uid="{00000000-0005-0000-0000-000054010000}"/>
    <cellStyle name="Normal 77" xfId="275" xr:uid="{00000000-0005-0000-0000-000055010000}"/>
    <cellStyle name="Normal 78" xfId="276" xr:uid="{00000000-0005-0000-0000-000056010000}"/>
    <cellStyle name="Normal 79" xfId="273" xr:uid="{00000000-0005-0000-0000-000057010000}"/>
    <cellStyle name="Normal 8" xfId="85" xr:uid="{00000000-0005-0000-0000-000058010000}"/>
    <cellStyle name="Normal 8 2" xfId="83" xr:uid="{00000000-0005-0000-0000-000059010000}"/>
    <cellStyle name="Normal 8 3" xfId="375" xr:uid="{00000000-0005-0000-0000-00005A010000}"/>
    <cellStyle name="Normal 80" xfId="279" xr:uid="{00000000-0005-0000-0000-00005B010000}"/>
    <cellStyle name="Normal 81" xfId="177" xr:uid="{00000000-0005-0000-0000-00005C010000}"/>
    <cellStyle name="Normal 82" xfId="274" xr:uid="{00000000-0005-0000-0000-00005D010000}"/>
    <cellStyle name="Normal 83" xfId="255" xr:uid="{00000000-0005-0000-0000-00005E010000}"/>
    <cellStyle name="Normal 84" xfId="281" xr:uid="{00000000-0005-0000-0000-00005F010000}"/>
    <cellStyle name="Normal 85" xfId="59" xr:uid="{00000000-0005-0000-0000-000060010000}"/>
    <cellStyle name="Normal 86" xfId="282" xr:uid="{00000000-0005-0000-0000-000061010000}"/>
    <cellStyle name="Normal 9" xfId="99" xr:uid="{00000000-0005-0000-0000-000062010000}"/>
    <cellStyle name="Normal 9 2" xfId="62" xr:uid="{00000000-0005-0000-0000-000063010000}"/>
    <cellStyle name="Normal 9 3" xfId="283" xr:uid="{00000000-0005-0000-0000-000064010000}"/>
    <cellStyle name="Notas" xfId="32" builtinId="10" customBuiltin="1"/>
    <cellStyle name="Notas 2" xfId="203" xr:uid="{00000000-0005-0000-0000-000066010000}"/>
    <cellStyle name="Notas 2 2" xfId="376" xr:uid="{00000000-0005-0000-0000-000067010000}"/>
    <cellStyle name="Notas 3" xfId="377" xr:uid="{00000000-0005-0000-0000-000068010000}"/>
    <cellStyle name="Porcentaje 2 2" xfId="96" xr:uid="{00000000-0005-0000-0000-00006A010000}"/>
    <cellStyle name="Porcentaje 2 2 2" xfId="98" xr:uid="{00000000-0005-0000-0000-00006B010000}"/>
    <cellStyle name="Porcentaje 2 3" xfId="129" xr:uid="{00000000-0005-0000-0000-00006C010000}"/>
    <cellStyle name="Salida" xfId="27" builtinId="21" customBuiltin="1"/>
    <cellStyle name="Salida 2" xfId="205" xr:uid="{00000000-0005-0000-0000-00006E010000}"/>
    <cellStyle name="Salida 2 2" xfId="378" xr:uid="{00000000-0005-0000-0000-00006F010000}"/>
    <cellStyle name="TableStyleLight1" xfId="379" xr:uid="{00000000-0005-0000-0000-000070010000}"/>
    <cellStyle name="Texto de advertencia" xfId="31" builtinId="11" customBuiltin="1"/>
    <cellStyle name="Texto de advertencia 2" xfId="249" xr:uid="{00000000-0005-0000-0000-000072010000}"/>
    <cellStyle name="Texto de advertencia 2 2" xfId="380" xr:uid="{00000000-0005-0000-0000-000073010000}"/>
    <cellStyle name="Texto explicativo" xfId="33" builtinId="53" customBuiltin="1"/>
    <cellStyle name="Texto explicativo 2" xfId="252" xr:uid="{00000000-0005-0000-0000-000075010000}"/>
    <cellStyle name="Texto explicativo 2 2" xfId="381" xr:uid="{00000000-0005-0000-0000-000076010000}"/>
    <cellStyle name="Título 1 2" xfId="269" xr:uid="{00000000-0005-0000-0000-000077010000}"/>
    <cellStyle name="Título 1 2 2" xfId="382" xr:uid="{00000000-0005-0000-0000-000078010000}"/>
    <cellStyle name="Título 2" xfId="21" builtinId="17" customBuiltin="1"/>
    <cellStyle name="Título 2 2" xfId="65" xr:uid="{00000000-0005-0000-0000-00007A010000}"/>
    <cellStyle name="Título 2 2 2" xfId="383" xr:uid="{00000000-0005-0000-0000-00007B010000}"/>
    <cellStyle name="Título 3" xfId="22" builtinId="18" customBuiltin="1"/>
    <cellStyle name="Título 3 2" xfId="190" xr:uid="{00000000-0005-0000-0000-00007D010000}"/>
    <cellStyle name="Título 3 2 2" xfId="384" xr:uid="{00000000-0005-0000-0000-00007E010000}"/>
    <cellStyle name="Título 4" xfId="64" xr:uid="{00000000-0005-0000-0000-00007F010000}"/>
    <cellStyle name="Título 4 2" xfId="385" xr:uid="{00000000-0005-0000-0000-000080010000}"/>
    <cellStyle name="Título 5" xfId="231" xr:uid="{00000000-0005-0000-0000-000081010000}"/>
    <cellStyle name="Total" xfId="34" builtinId="25" customBuiltin="1"/>
    <cellStyle name="Total 2" xfId="220" xr:uid="{00000000-0005-0000-0000-000083010000}"/>
    <cellStyle name="Total 2 2" xfId="386" xr:uid="{00000000-0005-0000-0000-000084010000}"/>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52500" cy="707571"/>
    <xdr:pic>
      <xdr:nvPicPr>
        <xdr:cNvPr id="4" name="Imagen 3" descr="C:\Users\AUXPLANEACION03\Desktop\Gobernacion_del_quindio.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52500" cy="70757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263525</xdr:colOff>
      <xdr:row>0</xdr:row>
      <xdr:rowOff>289856</xdr:rowOff>
    </xdr:from>
    <xdr:to>
      <xdr:col>3</xdr:col>
      <xdr:colOff>151117</xdr:colOff>
      <xdr:row>2</xdr:row>
      <xdr:rowOff>226810</xdr:rowOff>
    </xdr:to>
    <xdr:pic>
      <xdr:nvPicPr>
        <xdr:cNvPr id="8" name="Imagen 1">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263525" y="289856"/>
          <a:ext cx="2850548" cy="8227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486"/>
  <sheetViews>
    <sheetView showGridLines="0" tabSelected="1" zoomScale="60" zoomScaleNormal="60" workbookViewId="0">
      <selection activeCell="C3" sqref="C3:AI3"/>
    </sheetView>
  </sheetViews>
  <sheetFormatPr baseColWidth="10" defaultColWidth="11.42578125" defaultRowHeight="15" x14ac:dyDescent="0.2"/>
  <cols>
    <col min="1" max="1" width="12.7109375" style="1" customWidth="1"/>
    <col min="2" max="2" width="10.7109375" style="12" customWidth="1"/>
    <col min="3" max="3" width="12.5703125" style="12" customWidth="1"/>
    <col min="4" max="4" width="10.85546875" style="12" customWidth="1"/>
    <col min="5" max="5" width="11.5703125" style="12" customWidth="1"/>
    <col min="6" max="6" width="11.5703125" style="13" customWidth="1"/>
    <col min="7" max="7" width="12" style="14" customWidth="1"/>
    <col min="8" max="8" width="71.28515625" style="15" customWidth="1"/>
    <col min="9" max="9" width="12.42578125" style="15" customWidth="1"/>
    <col min="10" max="10" width="40.7109375" style="15" customWidth="1"/>
    <col min="11" max="11" width="19.140625" style="13" customWidth="1"/>
    <col min="12" max="12" width="32.7109375" style="15" customWidth="1"/>
    <col min="13" max="13" width="14.28515625" style="15" customWidth="1"/>
    <col min="14" max="14" width="40" style="17" customWidth="1"/>
    <col min="15" max="15" width="16.85546875" style="16" customWidth="1"/>
    <col min="16" max="16" width="42.140625" style="17" customWidth="1"/>
    <col min="17" max="17" width="18.28515625" style="14" customWidth="1"/>
    <col min="18" max="18" width="23" style="16" customWidth="1"/>
    <col min="19" max="19" width="24" style="14" customWidth="1"/>
    <col min="20" max="20" width="48.28515625" style="17" customWidth="1"/>
    <col min="21" max="21" width="59.140625" style="17" customWidth="1"/>
    <col min="22" max="22" width="28.85546875" style="1" customWidth="1"/>
    <col min="23" max="23" width="27.7109375" style="1" customWidth="1"/>
    <col min="24" max="24" width="24.42578125" style="1" customWidth="1"/>
    <col min="25" max="25" width="28.28515625" style="1" customWidth="1"/>
    <col min="26" max="26" width="29.140625" style="1" customWidth="1"/>
    <col min="27" max="27" width="30.7109375" style="1" customWidth="1"/>
    <col min="28" max="28" width="31.85546875" style="4" customWidth="1"/>
    <col min="29" max="29" width="30.28515625" style="4" customWidth="1"/>
    <col min="30" max="30" width="29.7109375" style="1" customWidth="1"/>
    <col min="31" max="31" width="27.7109375" style="1" customWidth="1"/>
    <col min="32" max="32" width="29.7109375" style="19" customWidth="1"/>
    <col min="33" max="33" width="33.7109375" style="1" customWidth="1"/>
    <col min="34" max="34" width="28.42578125" style="1" customWidth="1"/>
    <col min="35" max="35" width="31" style="4" customWidth="1"/>
    <col min="36" max="36" width="32" style="4" customWidth="1"/>
    <col min="37" max="37" width="43.42578125" style="58" customWidth="1"/>
    <col min="38" max="38" width="50.42578125" style="4" customWidth="1"/>
    <col min="39" max="77" width="11.42578125" style="4"/>
    <col min="78" max="16384" width="11.42578125" style="1"/>
  </cols>
  <sheetData>
    <row r="1" spans="1:77" ht="15.75" customHeight="1" x14ac:dyDescent="0.2">
      <c r="B1" s="38"/>
      <c r="C1" s="39"/>
      <c r="D1" s="39"/>
      <c r="E1" s="39"/>
      <c r="F1" s="39"/>
      <c r="G1" s="39"/>
      <c r="H1" s="39"/>
      <c r="I1" s="39"/>
      <c r="J1" s="53"/>
      <c r="K1" s="37"/>
      <c r="L1" s="53"/>
      <c r="M1" s="53"/>
      <c r="N1" s="29"/>
      <c r="O1" s="37" t="s">
        <v>0</v>
      </c>
      <c r="P1" s="29"/>
      <c r="Q1" s="29"/>
      <c r="R1" s="29"/>
      <c r="S1" s="29"/>
      <c r="T1" s="51"/>
      <c r="U1" s="51"/>
      <c r="V1" s="29"/>
      <c r="W1" s="29"/>
      <c r="X1" s="29"/>
      <c r="Y1" s="29"/>
      <c r="Z1" s="29"/>
      <c r="AA1" s="29"/>
      <c r="AB1" s="29"/>
      <c r="AC1" s="29"/>
      <c r="AD1" s="29"/>
      <c r="AE1" s="29"/>
      <c r="AF1" s="29"/>
      <c r="AG1" s="2"/>
      <c r="AJ1" s="3" t="s">
        <v>1</v>
      </c>
      <c r="AK1" s="537" t="s">
        <v>1432</v>
      </c>
    </row>
    <row r="2" spans="1:77" ht="15.75" customHeight="1" x14ac:dyDescent="0.2">
      <c r="B2" s="30"/>
      <c r="C2" s="526"/>
      <c r="D2" s="526"/>
      <c r="E2" s="526"/>
      <c r="F2" s="526"/>
      <c r="G2" s="526"/>
      <c r="H2" s="579" t="s">
        <v>2</v>
      </c>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80"/>
      <c r="AJ2" s="5" t="s">
        <v>3</v>
      </c>
      <c r="AK2" s="538">
        <v>4</v>
      </c>
    </row>
    <row r="3" spans="1:77" ht="24.75" customHeight="1" x14ac:dyDescent="0.2">
      <c r="B3" s="30"/>
      <c r="C3" s="579" t="s">
        <v>1421</v>
      </c>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80"/>
      <c r="AJ3" s="3" t="s">
        <v>4</v>
      </c>
      <c r="AK3" s="539">
        <v>44266</v>
      </c>
    </row>
    <row r="4" spans="1:77" ht="17.25" customHeight="1" x14ac:dyDescent="0.2">
      <c r="B4" s="31"/>
      <c r="C4" s="32"/>
      <c r="D4" s="32"/>
      <c r="E4" s="32"/>
      <c r="F4" s="32"/>
      <c r="G4" s="32"/>
      <c r="H4" s="32"/>
      <c r="I4" s="32"/>
      <c r="J4" s="54"/>
      <c r="K4" s="10"/>
      <c r="L4" s="54"/>
      <c r="M4" s="54"/>
      <c r="N4" s="32"/>
      <c r="O4" s="10"/>
      <c r="P4" s="32"/>
      <c r="Q4" s="32"/>
      <c r="R4" s="32"/>
      <c r="S4" s="32"/>
      <c r="T4" s="52"/>
      <c r="U4" s="52"/>
      <c r="W4" s="32"/>
      <c r="X4" s="32"/>
      <c r="Y4" s="32"/>
      <c r="Z4" s="32"/>
      <c r="AA4" s="32"/>
      <c r="AB4" s="32"/>
      <c r="AC4" s="32"/>
      <c r="AD4" s="32"/>
      <c r="AE4" s="32"/>
      <c r="AF4" s="32"/>
      <c r="AG4" s="1" t="s">
        <v>0</v>
      </c>
      <c r="AJ4" s="3" t="s">
        <v>5</v>
      </c>
      <c r="AK4" s="540" t="s">
        <v>1433</v>
      </c>
    </row>
    <row r="5" spans="1:77" s="7" customFormat="1" ht="62.25" customHeight="1" x14ac:dyDescent="0.25">
      <c r="A5" s="581" t="s">
        <v>6</v>
      </c>
      <c r="B5" s="589" t="s">
        <v>7</v>
      </c>
      <c r="C5" s="591"/>
      <c r="D5" s="589" t="s">
        <v>8</v>
      </c>
      <c r="E5" s="591"/>
      <c r="F5" s="589" t="s">
        <v>9</v>
      </c>
      <c r="G5" s="591"/>
      <c r="H5" s="604" t="s">
        <v>10</v>
      </c>
      <c r="I5" s="589" t="s">
        <v>11</v>
      </c>
      <c r="J5" s="590"/>
      <c r="K5" s="590"/>
      <c r="L5" s="591"/>
      <c r="M5" s="589" t="s">
        <v>12</v>
      </c>
      <c r="N5" s="590"/>
      <c r="O5" s="590"/>
      <c r="P5" s="591"/>
      <c r="Q5" s="592" t="s">
        <v>13</v>
      </c>
      <c r="R5" s="594" t="s">
        <v>14</v>
      </c>
      <c r="S5" s="596" t="s">
        <v>15</v>
      </c>
      <c r="T5" s="597"/>
      <c r="U5" s="598"/>
      <c r="V5" s="599" t="s">
        <v>16</v>
      </c>
      <c r="W5" s="600"/>
      <c r="X5" s="600"/>
      <c r="Y5" s="600"/>
      <c r="Z5" s="600"/>
      <c r="AA5" s="600"/>
      <c r="AB5" s="600"/>
      <c r="AC5" s="600"/>
      <c r="AD5" s="600"/>
      <c r="AE5" s="600"/>
      <c r="AF5" s="600"/>
      <c r="AG5" s="600"/>
      <c r="AH5" s="601"/>
      <c r="AI5" s="602" t="s">
        <v>17</v>
      </c>
      <c r="AJ5" s="527" t="s">
        <v>18</v>
      </c>
      <c r="AK5" s="114" t="s">
        <v>19</v>
      </c>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row>
    <row r="6" spans="1:77" s="7" customFormat="1" ht="71.25" customHeight="1" x14ac:dyDescent="0.25">
      <c r="A6" s="582"/>
      <c r="B6" s="60" t="s">
        <v>20</v>
      </c>
      <c r="C6" s="113" t="s">
        <v>21</v>
      </c>
      <c r="D6" s="60" t="s">
        <v>20</v>
      </c>
      <c r="E6" s="113" t="s">
        <v>21</v>
      </c>
      <c r="F6" s="60" t="s">
        <v>20</v>
      </c>
      <c r="G6" s="113" t="s">
        <v>21</v>
      </c>
      <c r="H6" s="605"/>
      <c r="I6" s="60" t="s">
        <v>22</v>
      </c>
      <c r="J6" s="60" t="s">
        <v>23</v>
      </c>
      <c r="K6" s="60" t="s">
        <v>24</v>
      </c>
      <c r="L6" s="60" t="s">
        <v>25</v>
      </c>
      <c r="M6" s="60" t="s">
        <v>22</v>
      </c>
      <c r="N6" s="60" t="s">
        <v>26</v>
      </c>
      <c r="O6" s="60" t="s">
        <v>27</v>
      </c>
      <c r="P6" s="113" t="s">
        <v>28</v>
      </c>
      <c r="Q6" s="593"/>
      <c r="R6" s="595"/>
      <c r="S6" s="528" t="s">
        <v>29</v>
      </c>
      <c r="T6" s="112" t="s">
        <v>30</v>
      </c>
      <c r="U6" s="112" t="s">
        <v>31</v>
      </c>
      <c r="V6" s="114" t="s">
        <v>32</v>
      </c>
      <c r="W6" s="114" t="s">
        <v>33</v>
      </c>
      <c r="X6" s="114" t="s">
        <v>34</v>
      </c>
      <c r="Y6" s="114" t="s">
        <v>35</v>
      </c>
      <c r="Z6" s="114" t="s">
        <v>36</v>
      </c>
      <c r="AA6" s="114" t="s">
        <v>37</v>
      </c>
      <c r="AB6" s="114" t="s">
        <v>38</v>
      </c>
      <c r="AC6" s="114" t="s">
        <v>39</v>
      </c>
      <c r="AD6" s="114" t="s">
        <v>40</v>
      </c>
      <c r="AE6" s="114" t="s">
        <v>41</v>
      </c>
      <c r="AF6" s="114" t="s">
        <v>42</v>
      </c>
      <c r="AG6" s="114" t="s">
        <v>43</v>
      </c>
      <c r="AH6" s="114" t="s">
        <v>44</v>
      </c>
      <c r="AI6" s="603"/>
      <c r="AJ6" s="441"/>
      <c r="AK6" s="11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row>
    <row r="7" spans="1:77" s="7" customFormat="1" ht="16.5" customHeight="1" x14ac:dyDescent="0.25">
      <c r="A7" s="457"/>
      <c r="B7" s="457"/>
      <c r="C7" s="457"/>
      <c r="D7" s="457"/>
      <c r="E7" s="457"/>
      <c r="F7" s="457"/>
      <c r="G7" s="457"/>
      <c r="H7" s="458"/>
      <c r="I7" s="457"/>
      <c r="J7" s="457"/>
      <c r="K7" s="457"/>
      <c r="L7" s="457"/>
      <c r="M7" s="457"/>
      <c r="N7" s="457"/>
      <c r="O7" s="457"/>
      <c r="P7" s="457"/>
      <c r="Q7" s="459"/>
      <c r="R7" s="457"/>
      <c r="S7" s="459"/>
      <c r="T7" s="459"/>
      <c r="U7" s="459"/>
      <c r="V7" s="460"/>
      <c r="W7" s="460"/>
      <c r="X7" s="460"/>
      <c r="Y7" s="460"/>
      <c r="Z7" s="460"/>
      <c r="AA7" s="460"/>
      <c r="AB7" s="460"/>
      <c r="AC7" s="460"/>
      <c r="AD7" s="460"/>
      <c r="AE7" s="460"/>
      <c r="AF7" s="460"/>
      <c r="AG7" s="460"/>
      <c r="AH7" s="460"/>
      <c r="AI7" s="460"/>
      <c r="AJ7" s="460"/>
      <c r="AK7" s="460"/>
    </row>
    <row r="8" spans="1:77" s="404" customFormat="1" ht="26.25" customHeight="1" x14ac:dyDescent="0.25">
      <c r="A8" s="40" t="s">
        <v>45</v>
      </c>
      <c r="B8" s="41"/>
      <c r="C8" s="44"/>
      <c r="D8" s="41"/>
      <c r="E8" s="44"/>
      <c r="F8" s="42"/>
      <c r="G8" s="43"/>
      <c r="H8" s="383"/>
      <c r="I8" s="383"/>
      <c r="J8" s="383"/>
      <c r="K8" s="386"/>
      <c r="L8" s="383"/>
      <c r="M8" s="383"/>
      <c r="N8" s="388"/>
      <c r="O8" s="387"/>
      <c r="P8" s="387"/>
      <c r="Q8" s="446"/>
      <c r="R8" s="447"/>
      <c r="S8" s="43"/>
      <c r="T8" s="388"/>
      <c r="U8" s="388"/>
      <c r="V8" s="385">
        <f t="shared" ref="V8:AI9" si="0">V9</f>
        <v>0</v>
      </c>
      <c r="W8" s="385">
        <f t="shared" si="0"/>
        <v>0</v>
      </c>
      <c r="X8" s="385">
        <f t="shared" si="0"/>
        <v>0</v>
      </c>
      <c r="Y8" s="385">
        <f t="shared" si="0"/>
        <v>0</v>
      </c>
      <c r="Z8" s="385">
        <f t="shared" si="0"/>
        <v>0</v>
      </c>
      <c r="AA8" s="385">
        <f t="shared" si="0"/>
        <v>0</v>
      </c>
      <c r="AB8" s="385">
        <f t="shared" si="0"/>
        <v>0</v>
      </c>
      <c r="AC8" s="385">
        <f t="shared" si="0"/>
        <v>0</v>
      </c>
      <c r="AD8" s="385">
        <f t="shared" si="0"/>
        <v>0</v>
      </c>
      <c r="AE8" s="385">
        <f t="shared" si="0"/>
        <v>0</v>
      </c>
      <c r="AF8" s="385">
        <f t="shared" si="0"/>
        <v>176000000</v>
      </c>
      <c r="AG8" s="385">
        <f t="shared" si="0"/>
        <v>0</v>
      </c>
      <c r="AH8" s="385">
        <f t="shared" si="0"/>
        <v>0</v>
      </c>
      <c r="AI8" s="448">
        <f t="shared" si="0"/>
        <v>176000000</v>
      </c>
      <c r="AJ8" s="385"/>
      <c r="AK8" s="448"/>
      <c r="AL8" s="403"/>
      <c r="AM8" s="403"/>
      <c r="AN8" s="403"/>
      <c r="AO8" s="403"/>
      <c r="AP8" s="403"/>
      <c r="AQ8" s="403"/>
      <c r="AR8" s="403"/>
      <c r="AS8" s="403"/>
      <c r="AT8" s="403"/>
      <c r="AU8" s="403"/>
      <c r="AV8" s="403"/>
      <c r="AW8" s="403"/>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row>
    <row r="9" spans="1:77" s="9" customFormat="1" ht="26.25" customHeight="1" x14ac:dyDescent="0.25">
      <c r="A9" s="115"/>
      <c r="B9" s="116">
        <v>4</v>
      </c>
      <c r="C9" s="63" t="s">
        <v>46</v>
      </c>
      <c r="D9" s="443"/>
      <c r="E9" s="444"/>
      <c r="F9" s="444"/>
      <c r="G9" s="444"/>
      <c r="H9" s="445"/>
      <c r="I9" s="525"/>
      <c r="J9" s="118"/>
      <c r="K9" s="117"/>
      <c r="L9" s="118"/>
      <c r="M9" s="118"/>
      <c r="N9" s="119"/>
      <c r="O9" s="116"/>
      <c r="P9" s="116"/>
      <c r="Q9" s="120"/>
      <c r="R9" s="116"/>
      <c r="S9" s="121"/>
      <c r="T9" s="119"/>
      <c r="U9" s="119"/>
      <c r="V9" s="122">
        <f>V10</f>
        <v>0</v>
      </c>
      <c r="W9" s="122">
        <f t="shared" si="0"/>
        <v>0</v>
      </c>
      <c r="X9" s="122">
        <f t="shared" si="0"/>
        <v>0</v>
      </c>
      <c r="Y9" s="122">
        <f t="shared" si="0"/>
        <v>0</v>
      </c>
      <c r="Z9" s="122">
        <f t="shared" si="0"/>
        <v>0</v>
      </c>
      <c r="AA9" s="122">
        <f t="shared" si="0"/>
        <v>0</v>
      </c>
      <c r="AB9" s="122">
        <f t="shared" si="0"/>
        <v>0</v>
      </c>
      <c r="AC9" s="122">
        <f t="shared" si="0"/>
        <v>0</v>
      </c>
      <c r="AD9" s="122">
        <f t="shared" si="0"/>
        <v>0</v>
      </c>
      <c r="AE9" s="122">
        <f t="shared" si="0"/>
        <v>0</v>
      </c>
      <c r="AF9" s="122">
        <f t="shared" si="0"/>
        <v>176000000</v>
      </c>
      <c r="AG9" s="122">
        <f t="shared" si="0"/>
        <v>0</v>
      </c>
      <c r="AH9" s="122">
        <f t="shared" si="0"/>
        <v>0</v>
      </c>
      <c r="AI9" s="122">
        <f>AI10</f>
        <v>176000000</v>
      </c>
      <c r="AJ9" s="122"/>
      <c r="AK9" s="12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row>
    <row r="10" spans="1:77" s="9" customFormat="1" ht="26.25" customHeight="1" x14ac:dyDescent="0.25">
      <c r="A10" s="115"/>
      <c r="B10" s="67"/>
      <c r="C10" s="67"/>
      <c r="D10" s="64">
        <v>45</v>
      </c>
      <c r="E10" s="62" t="s">
        <v>47</v>
      </c>
      <c r="F10" s="123"/>
      <c r="G10" s="124"/>
      <c r="H10" s="125"/>
      <c r="I10" s="125"/>
      <c r="J10" s="127"/>
      <c r="K10" s="126"/>
      <c r="L10" s="127"/>
      <c r="M10" s="127"/>
      <c r="N10" s="129"/>
      <c r="O10" s="128"/>
      <c r="P10" s="128"/>
      <c r="Q10" s="127"/>
      <c r="R10" s="130"/>
      <c r="S10" s="131"/>
      <c r="T10" s="131"/>
      <c r="U10" s="132"/>
      <c r="V10" s="132">
        <f>V11+V15</f>
        <v>0</v>
      </c>
      <c r="W10" s="132">
        <f t="shared" ref="W10:AI10" si="1">W11+W15</f>
        <v>0</v>
      </c>
      <c r="X10" s="132">
        <f t="shared" si="1"/>
        <v>0</v>
      </c>
      <c r="Y10" s="132">
        <f t="shared" si="1"/>
        <v>0</v>
      </c>
      <c r="Z10" s="132">
        <f t="shared" si="1"/>
        <v>0</v>
      </c>
      <c r="AA10" s="132">
        <f t="shared" si="1"/>
        <v>0</v>
      </c>
      <c r="AB10" s="132">
        <f t="shared" si="1"/>
        <v>0</v>
      </c>
      <c r="AC10" s="132">
        <f t="shared" si="1"/>
        <v>0</v>
      </c>
      <c r="AD10" s="132">
        <f t="shared" si="1"/>
        <v>0</v>
      </c>
      <c r="AE10" s="132">
        <f t="shared" si="1"/>
        <v>0</v>
      </c>
      <c r="AF10" s="132">
        <f t="shared" si="1"/>
        <v>176000000</v>
      </c>
      <c r="AG10" s="132">
        <f t="shared" si="1"/>
        <v>0</v>
      </c>
      <c r="AH10" s="132">
        <f t="shared" si="1"/>
        <v>0</v>
      </c>
      <c r="AI10" s="132">
        <f t="shared" si="1"/>
        <v>176000000</v>
      </c>
      <c r="AJ10" s="132"/>
      <c r="AK10" s="13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row>
    <row r="11" spans="1:77" ht="26.25" customHeight="1" x14ac:dyDescent="0.2">
      <c r="A11" s="133"/>
      <c r="B11" s="67"/>
      <c r="C11" s="67"/>
      <c r="D11" s="67"/>
      <c r="E11" s="67"/>
      <c r="F11" s="134">
        <v>4599</v>
      </c>
      <c r="G11" s="65" t="s">
        <v>48</v>
      </c>
      <c r="H11" s="65"/>
      <c r="I11" s="65"/>
      <c r="J11" s="65"/>
      <c r="K11" s="65"/>
      <c r="L11" s="65"/>
      <c r="M11" s="65"/>
      <c r="N11" s="65"/>
      <c r="O11" s="65"/>
      <c r="P11" s="65"/>
      <c r="Q11" s="65"/>
      <c r="R11" s="65"/>
      <c r="S11" s="65"/>
      <c r="T11" s="135"/>
      <c r="U11" s="135"/>
      <c r="V11" s="136">
        <f>SUM(V12:V14)</f>
        <v>0</v>
      </c>
      <c r="W11" s="136">
        <f t="shared" ref="W11:AH11" si="2">SUM(W12:W14)</f>
        <v>0</v>
      </c>
      <c r="X11" s="136">
        <f t="shared" si="2"/>
        <v>0</v>
      </c>
      <c r="Y11" s="136">
        <f t="shared" si="2"/>
        <v>0</v>
      </c>
      <c r="Z11" s="136">
        <f t="shared" si="2"/>
        <v>0</v>
      </c>
      <c r="AA11" s="136">
        <f t="shared" si="2"/>
        <v>0</v>
      </c>
      <c r="AB11" s="136">
        <f t="shared" si="2"/>
        <v>0</v>
      </c>
      <c r="AC11" s="136">
        <f t="shared" si="2"/>
        <v>0</v>
      </c>
      <c r="AD11" s="136">
        <f t="shared" si="2"/>
        <v>0</v>
      </c>
      <c r="AE11" s="136">
        <f t="shared" si="2"/>
        <v>0</v>
      </c>
      <c r="AF11" s="136">
        <f t="shared" si="2"/>
        <v>136000000</v>
      </c>
      <c r="AG11" s="136">
        <f t="shared" si="2"/>
        <v>0</v>
      </c>
      <c r="AH11" s="136">
        <f t="shared" si="2"/>
        <v>0</v>
      </c>
      <c r="AI11" s="136">
        <f>SUM(AI12:AI14)</f>
        <v>136000000</v>
      </c>
      <c r="AJ11" s="136"/>
      <c r="AK11" s="136"/>
    </row>
    <row r="12" spans="1:77" ht="165.75" customHeight="1" x14ac:dyDescent="0.2">
      <c r="A12" s="133"/>
      <c r="B12" s="67"/>
      <c r="C12" s="67"/>
      <c r="D12" s="67"/>
      <c r="E12" s="67"/>
      <c r="F12" s="71"/>
      <c r="G12" s="519"/>
      <c r="H12" s="512" t="s">
        <v>49</v>
      </c>
      <c r="I12" s="66" t="s">
        <v>50</v>
      </c>
      <c r="J12" s="518" t="s">
        <v>51</v>
      </c>
      <c r="K12" s="68">
        <v>4599023</v>
      </c>
      <c r="L12" s="518" t="s">
        <v>52</v>
      </c>
      <c r="M12" s="66" t="s">
        <v>50</v>
      </c>
      <c r="N12" s="516" t="s">
        <v>53</v>
      </c>
      <c r="O12" s="68">
        <v>459902300</v>
      </c>
      <c r="P12" s="510" t="s">
        <v>54</v>
      </c>
      <c r="Q12" s="517" t="s">
        <v>55</v>
      </c>
      <c r="R12" s="69">
        <v>5</v>
      </c>
      <c r="S12" s="521" t="s">
        <v>56</v>
      </c>
      <c r="T12" s="510" t="s">
        <v>57</v>
      </c>
      <c r="U12" s="512" t="s">
        <v>58</v>
      </c>
      <c r="V12" s="137"/>
      <c r="W12" s="137"/>
      <c r="X12" s="137"/>
      <c r="Y12" s="137"/>
      <c r="Z12" s="137"/>
      <c r="AA12" s="137"/>
      <c r="AB12" s="137"/>
      <c r="AC12" s="137"/>
      <c r="AD12" s="137"/>
      <c r="AE12" s="137"/>
      <c r="AF12" s="541">
        <v>36000000</v>
      </c>
      <c r="AG12" s="137"/>
      <c r="AH12" s="137"/>
      <c r="AI12" s="138">
        <f>+V12+W12+X12+Y12+Z12+AA12+AB12+AC12+AD12+AE12+AF12+AG12+AH12</f>
        <v>36000000</v>
      </c>
      <c r="AJ12" s="138" t="s">
        <v>59</v>
      </c>
      <c r="AK12" s="57" t="s">
        <v>60</v>
      </c>
    </row>
    <row r="13" spans="1:77" ht="158.25" customHeight="1" x14ac:dyDescent="0.2">
      <c r="A13" s="133"/>
      <c r="B13" s="67"/>
      <c r="C13" s="67"/>
      <c r="D13" s="67"/>
      <c r="E13" s="67"/>
      <c r="F13" s="71"/>
      <c r="G13" s="517"/>
      <c r="H13" s="512" t="s">
        <v>49</v>
      </c>
      <c r="I13" s="66" t="s">
        <v>50</v>
      </c>
      <c r="J13" s="518" t="s">
        <v>61</v>
      </c>
      <c r="K13" s="68">
        <v>4599002</v>
      </c>
      <c r="L13" s="518" t="s">
        <v>62</v>
      </c>
      <c r="M13" s="66" t="s">
        <v>50</v>
      </c>
      <c r="N13" s="516" t="s">
        <v>63</v>
      </c>
      <c r="O13" s="68">
        <v>459900200</v>
      </c>
      <c r="P13" s="510" t="s">
        <v>1399</v>
      </c>
      <c r="Q13" s="517" t="s">
        <v>55</v>
      </c>
      <c r="R13" s="69">
        <v>4</v>
      </c>
      <c r="S13" s="521" t="s">
        <v>64</v>
      </c>
      <c r="T13" s="510" t="s">
        <v>65</v>
      </c>
      <c r="U13" s="512" t="s">
        <v>66</v>
      </c>
      <c r="V13" s="137"/>
      <c r="W13" s="137"/>
      <c r="X13" s="137"/>
      <c r="Y13" s="137"/>
      <c r="Z13" s="137"/>
      <c r="AA13" s="137"/>
      <c r="AB13" s="137"/>
      <c r="AC13" s="137"/>
      <c r="AD13" s="137"/>
      <c r="AE13" s="137"/>
      <c r="AF13" s="542">
        <v>50000000</v>
      </c>
      <c r="AG13" s="137"/>
      <c r="AH13" s="137"/>
      <c r="AI13" s="138">
        <f>+V13+W13+X13+Y13+Z13+AA13+AB13+AC13+AD13+AE13+AF13+AG13+AH13</f>
        <v>50000000</v>
      </c>
      <c r="AJ13" s="138" t="s">
        <v>59</v>
      </c>
      <c r="AK13" s="57" t="s">
        <v>67</v>
      </c>
    </row>
    <row r="14" spans="1:77" ht="196.5" customHeight="1" x14ac:dyDescent="0.2">
      <c r="A14" s="133"/>
      <c r="B14" s="67"/>
      <c r="C14" s="67"/>
      <c r="D14" s="67"/>
      <c r="E14" s="67"/>
      <c r="F14" s="71"/>
      <c r="G14" s="517"/>
      <c r="H14" s="512" t="s">
        <v>49</v>
      </c>
      <c r="I14" s="66" t="s">
        <v>50</v>
      </c>
      <c r="J14" s="518" t="s">
        <v>68</v>
      </c>
      <c r="K14" s="68">
        <v>4599023</v>
      </c>
      <c r="L14" s="518" t="s">
        <v>52</v>
      </c>
      <c r="M14" s="66" t="s">
        <v>50</v>
      </c>
      <c r="N14" s="516" t="s">
        <v>69</v>
      </c>
      <c r="O14" s="68">
        <v>459902301</v>
      </c>
      <c r="P14" s="510" t="s">
        <v>70</v>
      </c>
      <c r="Q14" s="517" t="s">
        <v>71</v>
      </c>
      <c r="R14" s="69">
        <v>1</v>
      </c>
      <c r="S14" s="517" t="s">
        <v>72</v>
      </c>
      <c r="T14" s="510" t="s">
        <v>73</v>
      </c>
      <c r="U14" s="512"/>
      <c r="V14" s="137"/>
      <c r="W14" s="137"/>
      <c r="X14" s="137"/>
      <c r="Y14" s="137"/>
      <c r="Z14" s="137"/>
      <c r="AA14" s="137"/>
      <c r="AB14" s="137"/>
      <c r="AC14" s="137"/>
      <c r="AD14" s="137"/>
      <c r="AE14" s="137"/>
      <c r="AF14" s="542">
        <v>50000000</v>
      </c>
      <c r="AG14" s="137"/>
      <c r="AH14" s="137"/>
      <c r="AI14" s="138">
        <f>+V14+W14+X14+Y14+Z14+AA14+AB14+AC14+AD14+AE14+AF14+AG14+AH14</f>
        <v>50000000</v>
      </c>
      <c r="AJ14" s="138" t="s">
        <v>59</v>
      </c>
      <c r="AK14" s="57" t="s">
        <v>67</v>
      </c>
    </row>
    <row r="15" spans="1:77" ht="30.75" customHeight="1" x14ac:dyDescent="0.2">
      <c r="A15" s="133"/>
      <c r="B15" s="67"/>
      <c r="C15" s="67"/>
      <c r="D15" s="67"/>
      <c r="E15" s="67"/>
      <c r="F15" s="134">
        <v>4502</v>
      </c>
      <c r="G15" s="65" t="s">
        <v>74</v>
      </c>
      <c r="H15" s="65"/>
      <c r="I15" s="65"/>
      <c r="J15" s="140"/>
      <c r="K15" s="139"/>
      <c r="L15" s="140"/>
      <c r="M15" s="140"/>
      <c r="N15" s="135"/>
      <c r="O15" s="141"/>
      <c r="P15" s="135"/>
      <c r="Q15" s="142"/>
      <c r="R15" s="141"/>
      <c r="S15" s="143"/>
      <c r="T15" s="135"/>
      <c r="U15" s="135"/>
      <c r="V15" s="136">
        <f>SUM(V16)</f>
        <v>0</v>
      </c>
      <c r="W15" s="136">
        <f t="shared" ref="W15:AH15" si="3">SUM(W16)</f>
        <v>0</v>
      </c>
      <c r="X15" s="136">
        <f t="shared" si="3"/>
        <v>0</v>
      </c>
      <c r="Y15" s="136">
        <f t="shared" si="3"/>
        <v>0</v>
      </c>
      <c r="Z15" s="136">
        <f t="shared" si="3"/>
        <v>0</v>
      </c>
      <c r="AA15" s="136">
        <f t="shared" si="3"/>
        <v>0</v>
      </c>
      <c r="AB15" s="136">
        <f t="shared" si="3"/>
        <v>0</v>
      </c>
      <c r="AC15" s="136">
        <f t="shared" si="3"/>
        <v>0</v>
      </c>
      <c r="AD15" s="136">
        <f t="shared" si="3"/>
        <v>0</v>
      </c>
      <c r="AE15" s="136">
        <f t="shared" si="3"/>
        <v>0</v>
      </c>
      <c r="AF15" s="543">
        <f t="shared" si="3"/>
        <v>40000000</v>
      </c>
      <c r="AG15" s="136">
        <f t="shared" si="3"/>
        <v>0</v>
      </c>
      <c r="AH15" s="136">
        <f t="shared" si="3"/>
        <v>0</v>
      </c>
      <c r="AI15" s="136">
        <f>SUM(AI16)</f>
        <v>40000000</v>
      </c>
      <c r="AJ15" s="136"/>
      <c r="AK15" s="144"/>
    </row>
    <row r="16" spans="1:77" ht="121.5" customHeight="1" x14ac:dyDescent="0.2">
      <c r="A16" s="133"/>
      <c r="B16" s="67"/>
      <c r="C16" s="67"/>
      <c r="D16" s="67"/>
      <c r="E16" s="67"/>
      <c r="F16" s="71"/>
      <c r="G16" s="517"/>
      <c r="H16" s="512" t="s">
        <v>75</v>
      </c>
      <c r="I16" s="66" t="s">
        <v>50</v>
      </c>
      <c r="J16" s="518" t="s">
        <v>76</v>
      </c>
      <c r="K16" s="68">
        <v>4502033</v>
      </c>
      <c r="L16" s="518" t="s">
        <v>77</v>
      </c>
      <c r="M16" s="66" t="s">
        <v>50</v>
      </c>
      <c r="N16" s="145" t="s">
        <v>78</v>
      </c>
      <c r="O16" s="96">
        <v>450203300</v>
      </c>
      <c r="P16" s="145" t="s">
        <v>79</v>
      </c>
      <c r="Q16" s="517" t="s">
        <v>55</v>
      </c>
      <c r="R16" s="69">
        <v>1</v>
      </c>
      <c r="S16" s="517" t="s">
        <v>80</v>
      </c>
      <c r="T16" s="510" t="s">
        <v>81</v>
      </c>
      <c r="U16" s="512" t="s">
        <v>82</v>
      </c>
      <c r="V16" s="137"/>
      <c r="W16" s="137"/>
      <c r="X16" s="137"/>
      <c r="Y16" s="137"/>
      <c r="Z16" s="137"/>
      <c r="AA16" s="137"/>
      <c r="AB16" s="137"/>
      <c r="AC16" s="137"/>
      <c r="AD16" s="137"/>
      <c r="AE16" s="137"/>
      <c r="AF16" s="164">
        <v>40000000</v>
      </c>
      <c r="AG16" s="137"/>
      <c r="AH16" s="137"/>
      <c r="AI16" s="138">
        <f>+V16+W16+X16+Y16+Z16+AA16+AB16+AC16+AD16+AE16+AF16+AG16+AH16</f>
        <v>40000000</v>
      </c>
      <c r="AJ16" s="138" t="s">
        <v>59</v>
      </c>
      <c r="AK16" s="57" t="s">
        <v>67</v>
      </c>
    </row>
    <row r="17" spans="1:77" s="7" customFormat="1" ht="16.5" customHeight="1" x14ac:dyDescent="0.25">
      <c r="A17" s="457"/>
      <c r="B17" s="457"/>
      <c r="C17" s="457"/>
      <c r="D17" s="457"/>
      <c r="E17" s="457"/>
      <c r="F17" s="457"/>
      <c r="G17" s="457"/>
      <c r="H17" s="458"/>
      <c r="I17" s="457"/>
      <c r="J17" s="457"/>
      <c r="K17" s="457"/>
      <c r="L17" s="457"/>
      <c r="M17" s="457"/>
      <c r="N17" s="457"/>
      <c r="O17" s="457"/>
      <c r="P17" s="457"/>
      <c r="Q17" s="459"/>
      <c r="R17" s="457"/>
      <c r="S17" s="459"/>
      <c r="T17" s="459"/>
      <c r="U17" s="459"/>
      <c r="V17" s="460"/>
      <c r="W17" s="460"/>
      <c r="X17" s="460"/>
      <c r="Y17" s="460"/>
      <c r="Z17" s="460"/>
      <c r="AA17" s="460"/>
      <c r="AB17" s="460"/>
      <c r="AC17" s="460"/>
      <c r="AD17" s="460"/>
      <c r="AE17" s="460"/>
      <c r="AF17" s="544"/>
      <c r="AG17" s="460"/>
      <c r="AH17" s="460"/>
      <c r="AI17" s="460"/>
      <c r="AJ17" s="460"/>
      <c r="AK17" s="460"/>
    </row>
    <row r="18" spans="1:77" s="404" customFormat="1" ht="30.75" customHeight="1" x14ac:dyDescent="0.25">
      <c r="A18" s="41" t="s">
        <v>83</v>
      </c>
      <c r="B18" s="41"/>
      <c r="C18" s="41"/>
      <c r="D18" s="41"/>
      <c r="E18" s="41"/>
      <c r="F18" s="42"/>
      <c r="G18" s="43"/>
      <c r="H18" s="383"/>
      <c r="I18" s="383"/>
      <c r="J18" s="383"/>
      <c r="K18" s="386"/>
      <c r="L18" s="383"/>
      <c r="M18" s="383"/>
      <c r="N18" s="388"/>
      <c r="O18" s="387"/>
      <c r="P18" s="387"/>
      <c r="Q18" s="389"/>
      <c r="R18" s="387"/>
      <c r="S18" s="43"/>
      <c r="T18" s="388"/>
      <c r="U18" s="388"/>
      <c r="V18" s="405">
        <f t="shared" ref="V18:AK19" si="4">V19</f>
        <v>0</v>
      </c>
      <c r="W18" s="405">
        <f t="shared" si="4"/>
        <v>0</v>
      </c>
      <c r="X18" s="405">
        <f t="shared" si="4"/>
        <v>0</v>
      </c>
      <c r="Y18" s="405">
        <f t="shared" si="4"/>
        <v>0</v>
      </c>
      <c r="Z18" s="405">
        <f t="shared" si="4"/>
        <v>0</v>
      </c>
      <c r="AA18" s="405">
        <f t="shared" si="4"/>
        <v>0</v>
      </c>
      <c r="AB18" s="405">
        <f t="shared" si="4"/>
        <v>0</v>
      </c>
      <c r="AC18" s="405">
        <f t="shared" si="4"/>
        <v>0</v>
      </c>
      <c r="AD18" s="405">
        <f t="shared" si="4"/>
        <v>0</v>
      </c>
      <c r="AE18" s="405">
        <f t="shared" si="4"/>
        <v>0</v>
      </c>
      <c r="AF18" s="545">
        <f t="shared" si="4"/>
        <v>983000000</v>
      </c>
      <c r="AG18" s="405">
        <f t="shared" si="4"/>
        <v>0</v>
      </c>
      <c r="AH18" s="405">
        <f t="shared" si="4"/>
        <v>0</v>
      </c>
      <c r="AI18" s="405">
        <f t="shared" si="4"/>
        <v>983000000</v>
      </c>
      <c r="AJ18" s="405">
        <f t="shared" si="4"/>
        <v>0</v>
      </c>
      <c r="AK18" s="405">
        <f t="shared" si="4"/>
        <v>0</v>
      </c>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row>
    <row r="19" spans="1:77" ht="23.25" customHeight="1" x14ac:dyDescent="0.2">
      <c r="A19" s="133"/>
      <c r="B19" s="116">
        <v>4</v>
      </c>
      <c r="C19" s="442"/>
      <c r="D19" s="637" t="s">
        <v>46</v>
      </c>
      <c r="E19" s="638"/>
      <c r="F19" s="638"/>
      <c r="G19" s="638"/>
      <c r="H19" s="639"/>
      <c r="I19" s="525"/>
      <c r="J19" s="118"/>
      <c r="K19" s="117"/>
      <c r="L19" s="118"/>
      <c r="M19" s="118"/>
      <c r="N19" s="119"/>
      <c r="O19" s="116"/>
      <c r="P19" s="116"/>
      <c r="Q19" s="120"/>
      <c r="R19" s="116"/>
      <c r="S19" s="121"/>
      <c r="T19" s="119"/>
      <c r="U19" s="119"/>
      <c r="V19" s="146">
        <f>V20</f>
        <v>0</v>
      </c>
      <c r="W19" s="146">
        <f t="shared" si="4"/>
        <v>0</v>
      </c>
      <c r="X19" s="146">
        <f t="shared" si="4"/>
        <v>0</v>
      </c>
      <c r="Y19" s="146">
        <f t="shared" si="4"/>
        <v>0</v>
      </c>
      <c r="Z19" s="146">
        <f t="shared" si="4"/>
        <v>0</v>
      </c>
      <c r="AA19" s="146">
        <f t="shared" si="4"/>
        <v>0</v>
      </c>
      <c r="AB19" s="146">
        <f t="shared" si="4"/>
        <v>0</v>
      </c>
      <c r="AC19" s="146">
        <f t="shared" si="4"/>
        <v>0</v>
      </c>
      <c r="AD19" s="146">
        <f t="shared" si="4"/>
        <v>0</v>
      </c>
      <c r="AE19" s="146">
        <f t="shared" si="4"/>
        <v>0</v>
      </c>
      <c r="AF19" s="546">
        <f t="shared" si="4"/>
        <v>983000000</v>
      </c>
      <c r="AG19" s="146">
        <f t="shared" si="4"/>
        <v>0</v>
      </c>
      <c r="AH19" s="146">
        <f t="shared" si="4"/>
        <v>0</v>
      </c>
      <c r="AI19" s="146">
        <f t="shared" si="4"/>
        <v>983000000</v>
      </c>
      <c r="AJ19" s="146">
        <f t="shared" si="4"/>
        <v>0</v>
      </c>
      <c r="AK19" s="146">
        <f>AK20</f>
        <v>0</v>
      </c>
    </row>
    <row r="20" spans="1:77" s="9" customFormat="1" ht="23.25" customHeight="1" x14ac:dyDescent="0.25">
      <c r="A20" s="115"/>
      <c r="B20" s="67"/>
      <c r="C20" s="67"/>
      <c r="D20" s="64">
        <v>45</v>
      </c>
      <c r="E20" s="62" t="s">
        <v>47</v>
      </c>
      <c r="F20" s="123"/>
      <c r="G20" s="124"/>
      <c r="H20" s="125"/>
      <c r="I20" s="125"/>
      <c r="J20" s="127"/>
      <c r="K20" s="126"/>
      <c r="L20" s="127"/>
      <c r="M20" s="127"/>
      <c r="N20" s="129"/>
      <c r="O20" s="128"/>
      <c r="P20" s="128"/>
      <c r="Q20" s="127"/>
      <c r="R20" s="130"/>
      <c r="S20" s="131"/>
      <c r="T20" s="131"/>
      <c r="U20" s="132"/>
      <c r="V20" s="132">
        <f>V21+V24</f>
        <v>0</v>
      </c>
      <c r="W20" s="132">
        <f t="shared" ref="W20:AK20" si="5">W21+W24</f>
        <v>0</v>
      </c>
      <c r="X20" s="132">
        <f t="shared" si="5"/>
        <v>0</v>
      </c>
      <c r="Y20" s="132">
        <f t="shared" si="5"/>
        <v>0</v>
      </c>
      <c r="Z20" s="132">
        <f t="shared" si="5"/>
        <v>0</v>
      </c>
      <c r="AA20" s="132">
        <f t="shared" si="5"/>
        <v>0</v>
      </c>
      <c r="AB20" s="132">
        <f t="shared" si="5"/>
        <v>0</v>
      </c>
      <c r="AC20" s="132">
        <f t="shared" si="5"/>
        <v>0</v>
      </c>
      <c r="AD20" s="132">
        <f t="shared" si="5"/>
        <v>0</v>
      </c>
      <c r="AE20" s="132">
        <f t="shared" si="5"/>
        <v>0</v>
      </c>
      <c r="AF20" s="547">
        <f t="shared" si="5"/>
        <v>983000000</v>
      </c>
      <c r="AG20" s="132">
        <f t="shared" si="5"/>
        <v>0</v>
      </c>
      <c r="AH20" s="132">
        <f t="shared" si="5"/>
        <v>0</v>
      </c>
      <c r="AI20" s="132">
        <f t="shared" si="5"/>
        <v>983000000</v>
      </c>
      <c r="AJ20" s="132">
        <f t="shared" si="5"/>
        <v>0</v>
      </c>
      <c r="AK20" s="132">
        <f t="shared" si="5"/>
        <v>0</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row>
    <row r="21" spans="1:77" ht="23.25" customHeight="1" x14ac:dyDescent="0.2">
      <c r="A21" s="133"/>
      <c r="B21" s="67"/>
      <c r="C21" s="67"/>
      <c r="D21" s="67"/>
      <c r="E21" s="67"/>
      <c r="F21" s="134">
        <v>4502</v>
      </c>
      <c r="G21" s="65" t="s">
        <v>74</v>
      </c>
      <c r="H21" s="65"/>
      <c r="I21" s="190"/>
      <c r="J21" s="148"/>
      <c r="K21" s="147"/>
      <c r="L21" s="148"/>
      <c r="M21" s="148"/>
      <c r="N21" s="135"/>
      <c r="O21" s="141"/>
      <c r="P21" s="135"/>
      <c r="Q21" s="142"/>
      <c r="R21" s="141"/>
      <c r="S21" s="143"/>
      <c r="T21" s="135"/>
      <c r="U21" s="135"/>
      <c r="V21" s="149">
        <f>SUM(V22:V23)</f>
        <v>0</v>
      </c>
      <c r="W21" s="149">
        <f t="shared" ref="W21:AK21" si="6">SUM(W22:W23)</f>
        <v>0</v>
      </c>
      <c r="X21" s="149">
        <f t="shared" si="6"/>
        <v>0</v>
      </c>
      <c r="Y21" s="149">
        <f t="shared" si="6"/>
        <v>0</v>
      </c>
      <c r="Z21" s="149">
        <f t="shared" si="6"/>
        <v>0</v>
      </c>
      <c r="AA21" s="149">
        <f t="shared" si="6"/>
        <v>0</v>
      </c>
      <c r="AB21" s="149">
        <f t="shared" si="6"/>
        <v>0</v>
      </c>
      <c r="AC21" s="149">
        <f t="shared" si="6"/>
        <v>0</v>
      </c>
      <c r="AD21" s="149">
        <f t="shared" si="6"/>
        <v>0</v>
      </c>
      <c r="AE21" s="149">
        <f t="shared" si="6"/>
        <v>0</v>
      </c>
      <c r="AF21" s="548">
        <f t="shared" si="6"/>
        <v>175000000</v>
      </c>
      <c r="AG21" s="149">
        <f t="shared" si="6"/>
        <v>0</v>
      </c>
      <c r="AH21" s="149">
        <f t="shared" si="6"/>
        <v>0</v>
      </c>
      <c r="AI21" s="149">
        <f t="shared" si="6"/>
        <v>175000000</v>
      </c>
      <c r="AJ21" s="149">
        <f t="shared" si="6"/>
        <v>0</v>
      </c>
      <c r="AK21" s="149">
        <f t="shared" si="6"/>
        <v>0</v>
      </c>
    </row>
    <row r="22" spans="1:77" ht="165" customHeight="1" x14ac:dyDescent="0.2">
      <c r="A22" s="133"/>
      <c r="B22" s="67"/>
      <c r="C22" s="67"/>
      <c r="D22" s="67"/>
      <c r="E22" s="67"/>
      <c r="F22" s="66"/>
      <c r="G22" s="517"/>
      <c r="H22" s="512" t="s">
        <v>84</v>
      </c>
      <c r="I22" s="66" t="s">
        <v>50</v>
      </c>
      <c r="J22" s="518" t="s">
        <v>85</v>
      </c>
      <c r="K22" s="68">
        <v>4502001</v>
      </c>
      <c r="L22" s="518" t="s">
        <v>86</v>
      </c>
      <c r="M22" s="66" t="s">
        <v>50</v>
      </c>
      <c r="N22" s="145" t="s">
        <v>87</v>
      </c>
      <c r="O22" s="96">
        <v>450200100</v>
      </c>
      <c r="P22" s="145" t="s">
        <v>88</v>
      </c>
      <c r="Q22" s="517" t="s">
        <v>55</v>
      </c>
      <c r="R22" s="69">
        <v>1</v>
      </c>
      <c r="S22" s="517" t="s">
        <v>89</v>
      </c>
      <c r="T22" s="512" t="s">
        <v>90</v>
      </c>
      <c r="U22" s="512" t="s">
        <v>91</v>
      </c>
      <c r="V22" s="137"/>
      <c r="W22" s="137"/>
      <c r="X22" s="137"/>
      <c r="Y22" s="137"/>
      <c r="Z22" s="137"/>
      <c r="AA22" s="137"/>
      <c r="AB22" s="137"/>
      <c r="AC22" s="137"/>
      <c r="AD22" s="137"/>
      <c r="AE22" s="137"/>
      <c r="AF22" s="189">
        <v>140000000</v>
      </c>
      <c r="AG22" s="137"/>
      <c r="AH22" s="137"/>
      <c r="AI22" s="138">
        <f>+V22+W22+X22+Y22+Z22+AA22+AB22+AC22+AD22+AE22+AF22+AG22+AH22</f>
        <v>140000000</v>
      </c>
      <c r="AJ22" s="138" t="s">
        <v>92</v>
      </c>
      <c r="AK22" s="59" t="s">
        <v>1400</v>
      </c>
    </row>
    <row r="23" spans="1:77" ht="107.25" customHeight="1" x14ac:dyDescent="0.2">
      <c r="A23" s="133"/>
      <c r="B23" s="67"/>
      <c r="C23" s="67"/>
      <c r="D23" s="67"/>
      <c r="E23" s="67"/>
      <c r="F23" s="66"/>
      <c r="G23" s="517"/>
      <c r="H23" s="512" t="s">
        <v>75</v>
      </c>
      <c r="I23" s="66" t="s">
        <v>50</v>
      </c>
      <c r="J23" s="151" t="s">
        <v>93</v>
      </c>
      <c r="K23" s="96">
        <v>4502001</v>
      </c>
      <c r="L23" s="151" t="s">
        <v>86</v>
      </c>
      <c r="M23" s="66" t="s">
        <v>50</v>
      </c>
      <c r="N23" s="145" t="s">
        <v>94</v>
      </c>
      <c r="O23" s="96">
        <v>450200101</v>
      </c>
      <c r="P23" s="145" t="s">
        <v>1401</v>
      </c>
      <c r="Q23" s="517" t="s">
        <v>55</v>
      </c>
      <c r="R23" s="69">
        <v>12</v>
      </c>
      <c r="S23" s="517" t="s">
        <v>95</v>
      </c>
      <c r="T23" s="512" t="s">
        <v>96</v>
      </c>
      <c r="U23" s="512" t="s">
        <v>97</v>
      </c>
      <c r="V23" s="137"/>
      <c r="W23" s="137"/>
      <c r="X23" s="137"/>
      <c r="Y23" s="137"/>
      <c r="Z23" s="137"/>
      <c r="AA23" s="137"/>
      <c r="AB23" s="137"/>
      <c r="AC23" s="137"/>
      <c r="AD23" s="137"/>
      <c r="AE23" s="137"/>
      <c r="AF23" s="189">
        <v>35000000</v>
      </c>
      <c r="AG23" s="137"/>
      <c r="AH23" s="137"/>
      <c r="AI23" s="138">
        <f>+V23+W23+X23+Y23+Z23+AA23+AB23+AC23+AD23+AE23+AF23+AG23+AH23</f>
        <v>35000000</v>
      </c>
      <c r="AJ23" s="138" t="s">
        <v>92</v>
      </c>
      <c r="AK23" s="59" t="s">
        <v>1400</v>
      </c>
    </row>
    <row r="24" spans="1:77" ht="27.75" customHeight="1" x14ac:dyDescent="0.2">
      <c r="A24" s="133"/>
      <c r="B24" s="67"/>
      <c r="C24" s="67"/>
      <c r="D24" s="67"/>
      <c r="E24" s="67"/>
      <c r="F24" s="134">
        <v>4599</v>
      </c>
      <c r="G24" s="65" t="s">
        <v>48</v>
      </c>
      <c r="H24" s="65"/>
      <c r="I24" s="190"/>
      <c r="J24" s="148"/>
      <c r="K24" s="147"/>
      <c r="L24" s="148"/>
      <c r="M24" s="148"/>
      <c r="N24" s="135"/>
      <c r="O24" s="141"/>
      <c r="P24" s="135"/>
      <c r="Q24" s="142"/>
      <c r="R24" s="141"/>
      <c r="S24" s="143"/>
      <c r="T24" s="140"/>
      <c r="U24" s="140"/>
      <c r="V24" s="149">
        <f>SUM(V25:V34)</f>
        <v>0</v>
      </c>
      <c r="W24" s="149">
        <f t="shared" ref="W24:AK24" si="7">SUM(W25:W34)</f>
        <v>0</v>
      </c>
      <c r="X24" s="149">
        <f t="shared" si="7"/>
        <v>0</v>
      </c>
      <c r="Y24" s="149">
        <f t="shared" si="7"/>
        <v>0</v>
      </c>
      <c r="Z24" s="149">
        <f t="shared" si="7"/>
        <v>0</v>
      </c>
      <c r="AA24" s="149">
        <f t="shared" si="7"/>
        <v>0</v>
      </c>
      <c r="AB24" s="149">
        <f t="shared" si="7"/>
        <v>0</v>
      </c>
      <c r="AC24" s="149">
        <f t="shared" si="7"/>
        <v>0</v>
      </c>
      <c r="AD24" s="149">
        <f t="shared" si="7"/>
        <v>0</v>
      </c>
      <c r="AE24" s="149">
        <f t="shared" si="7"/>
        <v>0</v>
      </c>
      <c r="AF24" s="548">
        <f t="shared" si="7"/>
        <v>808000000</v>
      </c>
      <c r="AG24" s="149">
        <f t="shared" si="7"/>
        <v>0</v>
      </c>
      <c r="AH24" s="149">
        <f t="shared" si="7"/>
        <v>0</v>
      </c>
      <c r="AI24" s="149">
        <f t="shared" si="7"/>
        <v>808000000</v>
      </c>
      <c r="AJ24" s="149">
        <f t="shared" si="7"/>
        <v>0</v>
      </c>
      <c r="AK24" s="149">
        <f t="shared" si="7"/>
        <v>0</v>
      </c>
    </row>
    <row r="25" spans="1:77" ht="198.75" customHeight="1" x14ac:dyDescent="0.2">
      <c r="A25" s="133"/>
      <c r="B25" s="83"/>
      <c r="C25" s="83"/>
      <c r="D25" s="83"/>
      <c r="E25" s="83"/>
      <c r="F25" s="66"/>
      <c r="G25" s="517"/>
      <c r="H25" s="512" t="s">
        <v>49</v>
      </c>
      <c r="I25" s="66" t="s">
        <v>50</v>
      </c>
      <c r="J25" s="518" t="s">
        <v>98</v>
      </c>
      <c r="K25" s="68">
        <v>4599018</v>
      </c>
      <c r="L25" s="518" t="s">
        <v>99</v>
      </c>
      <c r="M25" s="66" t="s">
        <v>50</v>
      </c>
      <c r="N25" s="512" t="s">
        <v>100</v>
      </c>
      <c r="O25" s="68">
        <v>459901800</v>
      </c>
      <c r="P25" s="512" t="s">
        <v>101</v>
      </c>
      <c r="Q25" s="152" t="s">
        <v>55</v>
      </c>
      <c r="R25" s="68">
        <v>5</v>
      </c>
      <c r="S25" s="517" t="s">
        <v>102</v>
      </c>
      <c r="T25" s="512" t="s">
        <v>103</v>
      </c>
      <c r="U25" s="512" t="s">
        <v>104</v>
      </c>
      <c r="V25" s="137"/>
      <c r="W25" s="137"/>
      <c r="X25" s="137"/>
      <c r="Y25" s="137"/>
      <c r="Z25" s="137"/>
      <c r="AA25" s="137"/>
      <c r="AB25" s="137"/>
      <c r="AC25" s="137"/>
      <c r="AD25" s="137"/>
      <c r="AE25" s="137"/>
      <c r="AF25" s="549">
        <f>4*3600000*10</f>
        <v>144000000</v>
      </c>
      <c r="AG25" s="137"/>
      <c r="AH25" s="137"/>
      <c r="AI25" s="138">
        <f t="shared" ref="AI25:AI34" si="8">+V25+W25+X25+Y25+Z25+AA25+AB25+AC25+AD25+AE25+AF25+AG25+AH25</f>
        <v>144000000</v>
      </c>
      <c r="AJ25" s="138" t="s">
        <v>92</v>
      </c>
      <c r="AK25" s="59" t="s">
        <v>1400</v>
      </c>
    </row>
    <row r="26" spans="1:77" ht="143.25" customHeight="1" x14ac:dyDescent="0.2">
      <c r="A26" s="133"/>
      <c r="B26" s="67"/>
      <c r="C26" s="67"/>
      <c r="D26" s="67"/>
      <c r="E26" s="67"/>
      <c r="F26" s="66"/>
      <c r="G26" s="517"/>
      <c r="H26" s="512" t="s">
        <v>49</v>
      </c>
      <c r="I26" s="66" t="s">
        <v>50</v>
      </c>
      <c r="J26" s="518" t="s">
        <v>105</v>
      </c>
      <c r="K26" s="68">
        <v>4599025</v>
      </c>
      <c r="L26" s="518" t="s">
        <v>106</v>
      </c>
      <c r="M26" s="66" t="s">
        <v>50</v>
      </c>
      <c r="N26" s="510" t="s">
        <v>107</v>
      </c>
      <c r="O26" s="68">
        <v>459902500</v>
      </c>
      <c r="P26" s="510" t="s">
        <v>108</v>
      </c>
      <c r="Q26" s="152" t="s">
        <v>55</v>
      </c>
      <c r="R26" s="66">
        <v>1</v>
      </c>
      <c r="S26" s="517" t="s">
        <v>109</v>
      </c>
      <c r="T26" s="512" t="s">
        <v>110</v>
      </c>
      <c r="U26" s="512" t="s">
        <v>111</v>
      </c>
      <c r="V26" s="137"/>
      <c r="W26" s="137"/>
      <c r="X26" s="137"/>
      <c r="Y26" s="137"/>
      <c r="Z26" s="137"/>
      <c r="AA26" s="137"/>
      <c r="AB26" s="137"/>
      <c r="AC26" s="137"/>
      <c r="AD26" s="137"/>
      <c r="AE26" s="137"/>
      <c r="AF26" s="549">
        <v>72000000</v>
      </c>
      <c r="AG26" s="137"/>
      <c r="AH26" s="137"/>
      <c r="AI26" s="138">
        <f t="shared" si="8"/>
        <v>72000000</v>
      </c>
      <c r="AJ26" s="138" t="s">
        <v>92</v>
      </c>
      <c r="AK26" s="59" t="s">
        <v>1400</v>
      </c>
    </row>
    <row r="27" spans="1:77" ht="178.5" customHeight="1" x14ac:dyDescent="0.2">
      <c r="A27" s="133"/>
      <c r="B27" s="67"/>
      <c r="C27" s="67"/>
      <c r="D27" s="67"/>
      <c r="E27" s="67"/>
      <c r="F27" s="66"/>
      <c r="G27" s="517"/>
      <c r="H27" s="512" t="s">
        <v>49</v>
      </c>
      <c r="I27" s="66" t="s">
        <v>50</v>
      </c>
      <c r="J27" s="518" t="s">
        <v>0</v>
      </c>
      <c r="K27" s="68">
        <v>4599025</v>
      </c>
      <c r="L27" s="518" t="s">
        <v>106</v>
      </c>
      <c r="M27" s="66" t="s">
        <v>50</v>
      </c>
      <c r="N27" s="516" t="s">
        <v>112</v>
      </c>
      <c r="O27" s="68">
        <v>459902500</v>
      </c>
      <c r="P27" s="510" t="s">
        <v>108</v>
      </c>
      <c r="Q27" s="154" t="s">
        <v>55</v>
      </c>
      <c r="R27" s="89">
        <v>1</v>
      </c>
      <c r="S27" s="517" t="s">
        <v>113</v>
      </c>
      <c r="T27" s="512" t="s">
        <v>114</v>
      </c>
      <c r="U27" s="512" t="s">
        <v>115</v>
      </c>
      <c r="V27" s="137"/>
      <c r="W27" s="137"/>
      <c r="X27" s="137"/>
      <c r="Y27" s="137"/>
      <c r="Z27" s="137"/>
      <c r="AA27" s="137"/>
      <c r="AB27" s="137"/>
      <c r="AC27" s="137"/>
      <c r="AD27" s="137"/>
      <c r="AE27" s="137"/>
      <c r="AF27" s="549">
        <f>(6*3600000*10)+64000000</f>
        <v>280000000</v>
      </c>
      <c r="AG27" s="137"/>
      <c r="AH27" s="137"/>
      <c r="AI27" s="138">
        <f t="shared" si="8"/>
        <v>280000000</v>
      </c>
      <c r="AJ27" s="138" t="s">
        <v>92</v>
      </c>
      <c r="AK27" s="59" t="s">
        <v>1400</v>
      </c>
    </row>
    <row r="28" spans="1:77" ht="153.75" customHeight="1" x14ac:dyDescent="0.2">
      <c r="A28" s="133"/>
      <c r="B28" s="67"/>
      <c r="C28" s="67"/>
      <c r="D28" s="67"/>
      <c r="E28" s="67"/>
      <c r="F28" s="66"/>
      <c r="G28" s="517"/>
      <c r="H28" s="512" t="s">
        <v>116</v>
      </c>
      <c r="I28" s="66" t="s">
        <v>50</v>
      </c>
      <c r="J28" s="518" t="s">
        <v>117</v>
      </c>
      <c r="K28" s="68">
        <v>4599031</v>
      </c>
      <c r="L28" s="518" t="s">
        <v>118</v>
      </c>
      <c r="M28" s="66" t="s">
        <v>50</v>
      </c>
      <c r="N28" s="516" t="s">
        <v>119</v>
      </c>
      <c r="O28" s="68">
        <v>459903101</v>
      </c>
      <c r="P28" s="510" t="s">
        <v>120</v>
      </c>
      <c r="Q28" s="155" t="s">
        <v>55</v>
      </c>
      <c r="R28" s="68">
        <v>12</v>
      </c>
      <c r="S28" s="613" t="s">
        <v>121</v>
      </c>
      <c r="T28" s="606" t="s">
        <v>122</v>
      </c>
      <c r="U28" s="606" t="s">
        <v>123</v>
      </c>
      <c r="V28" s="137"/>
      <c r="W28" s="137"/>
      <c r="X28" s="137"/>
      <c r="Y28" s="137"/>
      <c r="Z28" s="137"/>
      <c r="AA28" s="137"/>
      <c r="AB28" s="137"/>
      <c r="AC28" s="137"/>
      <c r="AD28" s="137"/>
      <c r="AE28" s="137"/>
      <c r="AF28" s="189">
        <f>10*3600000*1</f>
        <v>36000000</v>
      </c>
      <c r="AG28" s="137"/>
      <c r="AH28" s="137"/>
      <c r="AI28" s="138">
        <f t="shared" si="8"/>
        <v>36000000</v>
      </c>
      <c r="AJ28" s="138" t="s">
        <v>92</v>
      </c>
      <c r="AK28" s="59" t="s">
        <v>1400</v>
      </c>
    </row>
    <row r="29" spans="1:77" ht="106.5" customHeight="1" x14ac:dyDescent="0.2">
      <c r="A29" s="133"/>
      <c r="B29" s="67"/>
      <c r="C29" s="67"/>
      <c r="D29" s="67"/>
      <c r="E29" s="67"/>
      <c r="F29" s="66"/>
      <c r="G29" s="517"/>
      <c r="H29" s="512" t="s">
        <v>116</v>
      </c>
      <c r="I29" s="66" t="s">
        <v>50</v>
      </c>
      <c r="J29" s="512" t="s">
        <v>124</v>
      </c>
      <c r="K29" s="66">
        <v>4599031</v>
      </c>
      <c r="L29" s="518" t="s">
        <v>118</v>
      </c>
      <c r="M29" s="66" t="s">
        <v>50</v>
      </c>
      <c r="N29" s="510" t="s">
        <v>125</v>
      </c>
      <c r="O29" s="66">
        <v>459903101</v>
      </c>
      <c r="P29" s="516" t="s">
        <v>120</v>
      </c>
      <c r="Q29" s="413" t="s">
        <v>55</v>
      </c>
      <c r="R29" s="66">
        <v>12</v>
      </c>
      <c r="S29" s="613"/>
      <c r="T29" s="606"/>
      <c r="U29" s="606"/>
      <c r="V29" s="137"/>
      <c r="W29" s="137"/>
      <c r="X29" s="137"/>
      <c r="Y29" s="137"/>
      <c r="Z29" s="137"/>
      <c r="AA29" s="137"/>
      <c r="AB29" s="137"/>
      <c r="AC29" s="137"/>
      <c r="AD29" s="137"/>
      <c r="AE29" s="137"/>
      <c r="AF29" s="189">
        <f>10*3600000*1</f>
        <v>36000000</v>
      </c>
      <c r="AG29" s="137"/>
      <c r="AH29" s="137"/>
      <c r="AI29" s="138">
        <f t="shared" si="8"/>
        <v>36000000</v>
      </c>
      <c r="AJ29" s="138" t="s">
        <v>92</v>
      </c>
      <c r="AK29" s="59" t="s">
        <v>1400</v>
      </c>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row>
    <row r="30" spans="1:77" ht="111" customHeight="1" x14ac:dyDescent="0.2">
      <c r="A30" s="133"/>
      <c r="B30" s="67"/>
      <c r="C30" s="67"/>
      <c r="D30" s="67"/>
      <c r="E30" s="67"/>
      <c r="F30" s="66"/>
      <c r="G30" s="517"/>
      <c r="H30" s="512" t="s">
        <v>116</v>
      </c>
      <c r="I30" s="66" t="s">
        <v>50</v>
      </c>
      <c r="J30" s="512" t="s">
        <v>126</v>
      </c>
      <c r="K30" s="66">
        <v>4599031</v>
      </c>
      <c r="L30" s="518" t="s">
        <v>118</v>
      </c>
      <c r="M30" s="66" t="s">
        <v>50</v>
      </c>
      <c r="N30" s="510" t="s">
        <v>127</v>
      </c>
      <c r="O30" s="66">
        <v>459903101</v>
      </c>
      <c r="P30" s="516" t="s">
        <v>120</v>
      </c>
      <c r="Q30" s="413" t="s">
        <v>55</v>
      </c>
      <c r="R30" s="66">
        <v>12</v>
      </c>
      <c r="S30" s="613"/>
      <c r="T30" s="606"/>
      <c r="U30" s="606"/>
      <c r="V30" s="137"/>
      <c r="W30" s="137"/>
      <c r="X30" s="137"/>
      <c r="Y30" s="137"/>
      <c r="Z30" s="137"/>
      <c r="AA30" s="137"/>
      <c r="AB30" s="137"/>
      <c r="AC30" s="137"/>
      <c r="AD30" s="137"/>
      <c r="AE30" s="137"/>
      <c r="AF30" s="189">
        <f>10*3600000*1</f>
        <v>36000000</v>
      </c>
      <c r="AG30" s="137"/>
      <c r="AH30" s="137"/>
      <c r="AI30" s="138">
        <f t="shared" si="8"/>
        <v>36000000</v>
      </c>
      <c r="AJ30" s="138" t="s">
        <v>92</v>
      </c>
      <c r="AK30" s="59" t="s">
        <v>1400</v>
      </c>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row>
    <row r="31" spans="1:77" ht="136.5" customHeight="1" x14ac:dyDescent="0.2">
      <c r="A31" s="133"/>
      <c r="B31" s="67"/>
      <c r="C31" s="67"/>
      <c r="D31" s="67"/>
      <c r="E31" s="67"/>
      <c r="F31" s="66"/>
      <c r="G31" s="517"/>
      <c r="H31" s="512" t="s">
        <v>116</v>
      </c>
      <c r="I31" s="66" t="s">
        <v>50</v>
      </c>
      <c r="J31" s="512" t="s">
        <v>128</v>
      </c>
      <c r="K31" s="66">
        <v>4599031</v>
      </c>
      <c r="L31" s="518" t="s">
        <v>118</v>
      </c>
      <c r="M31" s="66" t="s">
        <v>50</v>
      </c>
      <c r="N31" s="145" t="s">
        <v>127</v>
      </c>
      <c r="O31" s="66">
        <v>459903101</v>
      </c>
      <c r="P31" s="516" t="s">
        <v>120</v>
      </c>
      <c r="Q31" s="413" t="s">
        <v>55</v>
      </c>
      <c r="R31" s="66">
        <v>12</v>
      </c>
      <c r="S31" s="613"/>
      <c r="T31" s="606"/>
      <c r="U31" s="606"/>
      <c r="V31" s="137"/>
      <c r="W31" s="137"/>
      <c r="X31" s="137"/>
      <c r="Y31" s="137"/>
      <c r="Z31" s="137"/>
      <c r="AA31" s="137"/>
      <c r="AB31" s="137"/>
      <c r="AC31" s="137"/>
      <c r="AD31" s="137"/>
      <c r="AE31" s="137"/>
      <c r="AF31" s="189">
        <f>10*3600000*1+24000000-24000000</f>
        <v>36000000</v>
      </c>
      <c r="AG31" s="137"/>
      <c r="AH31" s="137"/>
      <c r="AI31" s="138">
        <f t="shared" si="8"/>
        <v>36000000</v>
      </c>
      <c r="AJ31" s="138" t="s">
        <v>92</v>
      </c>
      <c r="AK31" s="59" t="s">
        <v>1400</v>
      </c>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row>
    <row r="32" spans="1:77" ht="144" customHeight="1" x14ac:dyDescent="0.2">
      <c r="A32" s="133"/>
      <c r="B32" s="67"/>
      <c r="C32" s="67"/>
      <c r="D32" s="67"/>
      <c r="E32" s="67"/>
      <c r="F32" s="66"/>
      <c r="G32" s="517"/>
      <c r="H32" s="512" t="s">
        <v>116</v>
      </c>
      <c r="I32" s="66" t="s">
        <v>50</v>
      </c>
      <c r="J32" s="512" t="s">
        <v>129</v>
      </c>
      <c r="K32" s="66">
        <v>4599031</v>
      </c>
      <c r="L32" s="518" t="s">
        <v>118</v>
      </c>
      <c r="M32" s="66" t="s">
        <v>50</v>
      </c>
      <c r="N32" s="510" t="s">
        <v>127</v>
      </c>
      <c r="O32" s="66">
        <v>459903101</v>
      </c>
      <c r="P32" s="516" t="s">
        <v>120</v>
      </c>
      <c r="Q32" s="413" t="s">
        <v>55</v>
      </c>
      <c r="R32" s="66">
        <v>12</v>
      </c>
      <c r="S32" s="613"/>
      <c r="T32" s="606"/>
      <c r="U32" s="606"/>
      <c r="V32" s="137"/>
      <c r="W32" s="137"/>
      <c r="X32" s="137"/>
      <c r="Y32" s="137"/>
      <c r="Z32" s="137"/>
      <c r="AA32" s="137"/>
      <c r="AB32" s="137"/>
      <c r="AC32" s="137"/>
      <c r="AD32" s="137"/>
      <c r="AE32" s="137"/>
      <c r="AF32" s="189">
        <f>10*3600000*1+24000000</f>
        <v>60000000</v>
      </c>
      <c r="AG32" s="137"/>
      <c r="AH32" s="137"/>
      <c r="AI32" s="138">
        <f t="shared" si="8"/>
        <v>60000000</v>
      </c>
      <c r="AJ32" s="138" t="s">
        <v>92</v>
      </c>
      <c r="AK32" s="59" t="s">
        <v>1400</v>
      </c>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row>
    <row r="33" spans="1:77" ht="135" customHeight="1" x14ac:dyDescent="0.2">
      <c r="A33" s="133"/>
      <c r="B33" s="67"/>
      <c r="C33" s="67"/>
      <c r="D33" s="67"/>
      <c r="E33" s="67"/>
      <c r="F33" s="66"/>
      <c r="G33" s="517"/>
      <c r="H33" s="512" t="s">
        <v>116</v>
      </c>
      <c r="I33" s="66" t="s">
        <v>50</v>
      </c>
      <c r="J33" s="512" t="s">
        <v>130</v>
      </c>
      <c r="K33" s="66">
        <v>4599031</v>
      </c>
      <c r="L33" s="518" t="s">
        <v>118</v>
      </c>
      <c r="M33" s="66" t="s">
        <v>50</v>
      </c>
      <c r="N33" s="510" t="s">
        <v>127</v>
      </c>
      <c r="O33" s="66">
        <v>459903101</v>
      </c>
      <c r="P33" s="516" t="s">
        <v>120</v>
      </c>
      <c r="Q33" s="413" t="s">
        <v>55</v>
      </c>
      <c r="R33" s="66">
        <v>12</v>
      </c>
      <c r="S33" s="613"/>
      <c r="T33" s="606"/>
      <c r="U33" s="606"/>
      <c r="V33" s="137"/>
      <c r="W33" s="137"/>
      <c r="X33" s="137"/>
      <c r="Y33" s="137"/>
      <c r="Z33" s="137"/>
      <c r="AA33" s="137"/>
      <c r="AB33" s="137"/>
      <c r="AC33" s="137"/>
      <c r="AD33" s="137"/>
      <c r="AE33" s="137"/>
      <c r="AF33" s="189">
        <f>10*3600000*1</f>
        <v>36000000</v>
      </c>
      <c r="AG33" s="137"/>
      <c r="AH33" s="137"/>
      <c r="AI33" s="138">
        <f t="shared" si="8"/>
        <v>36000000</v>
      </c>
      <c r="AJ33" s="138" t="s">
        <v>92</v>
      </c>
      <c r="AK33" s="59" t="s">
        <v>1400</v>
      </c>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row>
    <row r="34" spans="1:77" ht="138" customHeight="1" x14ac:dyDescent="0.2">
      <c r="A34" s="133"/>
      <c r="B34" s="79"/>
      <c r="C34" s="79"/>
      <c r="D34" s="79"/>
      <c r="E34" s="79"/>
      <c r="F34" s="73"/>
      <c r="G34" s="517"/>
      <c r="H34" s="512" t="s">
        <v>49</v>
      </c>
      <c r="I34" s="66" t="s">
        <v>50</v>
      </c>
      <c r="J34" s="518" t="s">
        <v>51</v>
      </c>
      <c r="K34" s="68">
        <v>4599023</v>
      </c>
      <c r="L34" s="518" t="s">
        <v>131</v>
      </c>
      <c r="M34" s="66" t="s">
        <v>50</v>
      </c>
      <c r="N34" s="516" t="s">
        <v>132</v>
      </c>
      <c r="O34" s="68">
        <v>459902300</v>
      </c>
      <c r="P34" s="516" t="s">
        <v>54</v>
      </c>
      <c r="Q34" s="152" t="s">
        <v>55</v>
      </c>
      <c r="R34" s="107">
        <v>18</v>
      </c>
      <c r="S34" s="517" t="s">
        <v>133</v>
      </c>
      <c r="T34" s="510" t="s">
        <v>134</v>
      </c>
      <c r="U34" s="510" t="s">
        <v>135</v>
      </c>
      <c r="V34" s="133"/>
      <c r="W34" s="133"/>
      <c r="X34" s="133"/>
      <c r="Y34" s="133"/>
      <c r="Z34" s="133"/>
      <c r="AA34" s="133"/>
      <c r="AB34" s="133"/>
      <c r="AC34" s="133"/>
      <c r="AD34" s="133"/>
      <c r="AE34" s="133"/>
      <c r="AF34" s="189">
        <v>72000000</v>
      </c>
      <c r="AG34" s="133"/>
      <c r="AH34" s="133"/>
      <c r="AI34" s="138">
        <f t="shared" si="8"/>
        <v>72000000</v>
      </c>
      <c r="AJ34" s="138" t="s">
        <v>92</v>
      </c>
      <c r="AK34" s="59" t="s">
        <v>1400</v>
      </c>
    </row>
    <row r="35" spans="1:77" s="7" customFormat="1" ht="16.5" customHeight="1" x14ac:dyDescent="0.25">
      <c r="A35" s="457"/>
      <c r="B35" s="457"/>
      <c r="C35" s="457"/>
      <c r="D35" s="457"/>
      <c r="E35" s="457"/>
      <c r="F35" s="457"/>
      <c r="G35" s="457"/>
      <c r="H35" s="458"/>
      <c r="I35" s="457"/>
      <c r="J35" s="457"/>
      <c r="K35" s="457"/>
      <c r="L35" s="457"/>
      <c r="M35" s="457"/>
      <c r="N35" s="457"/>
      <c r="O35" s="457"/>
      <c r="P35" s="457"/>
      <c r="Q35" s="459"/>
      <c r="R35" s="457"/>
      <c r="S35" s="459"/>
      <c r="T35" s="459"/>
      <c r="U35" s="459"/>
      <c r="V35" s="460"/>
      <c r="W35" s="460"/>
      <c r="X35" s="460"/>
      <c r="Y35" s="460"/>
      <c r="Z35" s="460"/>
      <c r="AA35" s="460"/>
      <c r="AB35" s="460"/>
      <c r="AC35" s="460"/>
      <c r="AD35" s="460"/>
      <c r="AE35" s="460"/>
      <c r="AF35" s="544"/>
      <c r="AG35" s="460"/>
      <c r="AH35" s="460"/>
      <c r="AI35" s="460"/>
      <c r="AJ35" s="460"/>
      <c r="AK35" s="460"/>
    </row>
    <row r="36" spans="1:77" s="391" customFormat="1" ht="28.5" customHeight="1" x14ac:dyDescent="0.2">
      <c r="A36" s="41" t="s">
        <v>136</v>
      </c>
      <c r="B36" s="41"/>
      <c r="C36" s="41"/>
      <c r="D36" s="41"/>
      <c r="E36" s="41"/>
      <c r="F36" s="42"/>
      <c r="G36" s="43"/>
      <c r="H36" s="383"/>
      <c r="I36" s="383"/>
      <c r="J36" s="383"/>
      <c r="K36" s="386"/>
      <c r="L36" s="383"/>
      <c r="M36" s="383"/>
      <c r="N36" s="388"/>
      <c r="O36" s="387"/>
      <c r="P36" s="388"/>
      <c r="Q36" s="389"/>
      <c r="R36" s="387"/>
      <c r="S36" s="43"/>
      <c r="T36" s="388"/>
      <c r="U36" s="388"/>
      <c r="V36" s="384">
        <f>V37</f>
        <v>0</v>
      </c>
      <c r="W36" s="384">
        <f t="shared" ref="W36:AI38" si="9">W37</f>
        <v>0</v>
      </c>
      <c r="X36" s="384">
        <f t="shared" si="9"/>
        <v>0</v>
      </c>
      <c r="Y36" s="384">
        <f t="shared" si="9"/>
        <v>0</v>
      </c>
      <c r="Z36" s="384">
        <f t="shared" si="9"/>
        <v>0</v>
      </c>
      <c r="AA36" s="384">
        <f t="shared" si="9"/>
        <v>0</v>
      </c>
      <c r="AB36" s="384">
        <f t="shared" si="9"/>
        <v>0</v>
      </c>
      <c r="AC36" s="384">
        <f t="shared" si="9"/>
        <v>0</v>
      </c>
      <c r="AD36" s="384">
        <f t="shared" si="9"/>
        <v>0</v>
      </c>
      <c r="AE36" s="384">
        <f t="shared" si="9"/>
        <v>0</v>
      </c>
      <c r="AF36" s="550">
        <f t="shared" si="9"/>
        <v>2343395879</v>
      </c>
      <c r="AG36" s="384">
        <f t="shared" si="9"/>
        <v>0</v>
      </c>
      <c r="AH36" s="384">
        <f t="shared" si="9"/>
        <v>250000000</v>
      </c>
      <c r="AI36" s="384">
        <f t="shared" si="9"/>
        <v>2593395879</v>
      </c>
      <c r="AJ36" s="384"/>
      <c r="AK36" s="385"/>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0"/>
      <c r="BR36" s="390"/>
      <c r="BS36" s="390"/>
      <c r="BT36" s="390"/>
      <c r="BU36" s="390"/>
      <c r="BV36" s="390"/>
      <c r="BW36" s="390"/>
      <c r="BX36" s="390"/>
      <c r="BY36" s="390"/>
    </row>
    <row r="37" spans="1:77" ht="28.5" customHeight="1" x14ac:dyDescent="0.2">
      <c r="A37" s="133"/>
      <c r="B37" s="116">
        <v>4</v>
      </c>
      <c r="C37" s="442"/>
      <c r="D37" s="637" t="s">
        <v>46</v>
      </c>
      <c r="E37" s="638"/>
      <c r="F37" s="638"/>
      <c r="G37" s="638"/>
      <c r="H37" s="639"/>
      <c r="I37" s="525"/>
      <c r="J37" s="118"/>
      <c r="K37" s="117"/>
      <c r="L37" s="118"/>
      <c r="M37" s="118"/>
      <c r="N37" s="119"/>
      <c r="O37" s="116"/>
      <c r="P37" s="119"/>
      <c r="Q37" s="120"/>
      <c r="R37" s="116"/>
      <c r="S37" s="121"/>
      <c r="T37" s="119"/>
      <c r="U37" s="119"/>
      <c r="V37" s="122">
        <f>V38</f>
        <v>0</v>
      </c>
      <c r="W37" s="122">
        <f t="shared" si="9"/>
        <v>0</v>
      </c>
      <c r="X37" s="122">
        <f t="shared" si="9"/>
        <v>0</v>
      </c>
      <c r="Y37" s="122">
        <f t="shared" si="9"/>
        <v>0</v>
      </c>
      <c r="Z37" s="122">
        <f t="shared" si="9"/>
        <v>0</v>
      </c>
      <c r="AA37" s="122">
        <f t="shared" si="9"/>
        <v>0</v>
      </c>
      <c r="AB37" s="122">
        <f t="shared" si="9"/>
        <v>0</v>
      </c>
      <c r="AC37" s="122">
        <f t="shared" si="9"/>
        <v>0</v>
      </c>
      <c r="AD37" s="122">
        <f t="shared" si="9"/>
        <v>0</v>
      </c>
      <c r="AE37" s="122">
        <f t="shared" si="9"/>
        <v>0</v>
      </c>
      <c r="AF37" s="551">
        <f t="shared" si="9"/>
        <v>2343395879</v>
      </c>
      <c r="AG37" s="122">
        <f t="shared" si="9"/>
        <v>0</v>
      </c>
      <c r="AH37" s="122">
        <f t="shared" si="9"/>
        <v>250000000</v>
      </c>
      <c r="AI37" s="122">
        <f>AI38</f>
        <v>2593395879</v>
      </c>
      <c r="AJ37" s="122"/>
      <c r="AK37" s="156"/>
    </row>
    <row r="38" spans="1:77" s="9" customFormat="1" ht="28.5" customHeight="1" x14ac:dyDescent="0.25">
      <c r="A38" s="115"/>
      <c r="B38" s="67"/>
      <c r="C38" s="67"/>
      <c r="D38" s="64">
        <v>45</v>
      </c>
      <c r="E38" s="62" t="s">
        <v>47</v>
      </c>
      <c r="F38" s="123"/>
      <c r="G38" s="124"/>
      <c r="H38" s="125"/>
      <c r="I38" s="125"/>
      <c r="J38" s="127"/>
      <c r="K38" s="126"/>
      <c r="L38" s="127"/>
      <c r="M38" s="127"/>
      <c r="N38" s="129"/>
      <c r="O38" s="128"/>
      <c r="P38" s="129"/>
      <c r="Q38" s="127"/>
      <c r="R38" s="130"/>
      <c r="S38" s="131"/>
      <c r="T38" s="131"/>
      <c r="U38" s="132"/>
      <c r="V38" s="132">
        <f>V39</f>
        <v>0</v>
      </c>
      <c r="W38" s="132">
        <f t="shared" si="9"/>
        <v>0</v>
      </c>
      <c r="X38" s="132">
        <f t="shared" si="9"/>
        <v>0</v>
      </c>
      <c r="Y38" s="132">
        <f t="shared" si="9"/>
        <v>0</v>
      </c>
      <c r="Z38" s="132">
        <f t="shared" si="9"/>
        <v>0</v>
      </c>
      <c r="AA38" s="132">
        <f t="shared" si="9"/>
        <v>0</v>
      </c>
      <c r="AB38" s="132">
        <f t="shared" si="9"/>
        <v>0</v>
      </c>
      <c r="AC38" s="132">
        <f t="shared" si="9"/>
        <v>0</v>
      </c>
      <c r="AD38" s="132">
        <f t="shared" si="9"/>
        <v>0</v>
      </c>
      <c r="AE38" s="132">
        <f t="shared" si="9"/>
        <v>0</v>
      </c>
      <c r="AF38" s="547">
        <f t="shared" si="9"/>
        <v>2343395879</v>
      </c>
      <c r="AG38" s="132">
        <f t="shared" si="9"/>
        <v>0</v>
      </c>
      <c r="AH38" s="132">
        <f t="shared" si="9"/>
        <v>250000000</v>
      </c>
      <c r="AI38" s="132">
        <f t="shared" si="9"/>
        <v>2593395879</v>
      </c>
      <c r="AJ38" s="157"/>
      <c r="AK38" s="157"/>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row>
    <row r="39" spans="1:77" ht="28.5" customHeight="1" x14ac:dyDescent="0.2">
      <c r="A39" s="133"/>
      <c r="B39" s="67"/>
      <c r="C39" s="67"/>
      <c r="D39" s="67"/>
      <c r="E39" s="67"/>
      <c r="F39" s="134">
        <v>4599</v>
      </c>
      <c r="G39" s="65" t="s">
        <v>48</v>
      </c>
      <c r="H39" s="65"/>
      <c r="I39" s="65"/>
      <c r="J39" s="140"/>
      <c r="K39" s="158"/>
      <c r="L39" s="140"/>
      <c r="M39" s="140"/>
      <c r="N39" s="159"/>
      <c r="O39" s="158"/>
      <c r="P39" s="159"/>
      <c r="Q39" s="159"/>
      <c r="R39" s="159"/>
      <c r="S39" s="143"/>
      <c r="T39" s="135"/>
      <c r="U39" s="135"/>
      <c r="V39" s="136">
        <f>SUM(V40:V41)</f>
        <v>0</v>
      </c>
      <c r="W39" s="136">
        <f t="shared" ref="W39:AI39" si="10">SUM(W40:W41)</f>
        <v>0</v>
      </c>
      <c r="X39" s="136">
        <f t="shared" si="10"/>
        <v>0</v>
      </c>
      <c r="Y39" s="136">
        <f t="shared" si="10"/>
        <v>0</v>
      </c>
      <c r="Z39" s="136">
        <f t="shared" si="10"/>
        <v>0</v>
      </c>
      <c r="AA39" s="136">
        <f t="shared" si="10"/>
        <v>0</v>
      </c>
      <c r="AB39" s="136">
        <f t="shared" si="10"/>
        <v>0</v>
      </c>
      <c r="AC39" s="136">
        <f t="shared" si="10"/>
        <v>0</v>
      </c>
      <c r="AD39" s="136">
        <f t="shared" si="10"/>
        <v>0</v>
      </c>
      <c r="AE39" s="136">
        <f t="shared" si="10"/>
        <v>0</v>
      </c>
      <c r="AF39" s="543">
        <f t="shared" si="10"/>
        <v>2343395879</v>
      </c>
      <c r="AG39" s="136">
        <f t="shared" si="10"/>
        <v>0</v>
      </c>
      <c r="AH39" s="136">
        <f t="shared" si="10"/>
        <v>250000000</v>
      </c>
      <c r="AI39" s="136">
        <f t="shared" si="10"/>
        <v>2593395879</v>
      </c>
      <c r="AJ39" s="136"/>
      <c r="AK39" s="144"/>
    </row>
    <row r="40" spans="1:77" ht="171" customHeight="1" x14ac:dyDescent="0.2">
      <c r="A40" s="133"/>
      <c r="B40" s="67"/>
      <c r="C40" s="67"/>
      <c r="D40" s="67"/>
      <c r="E40" s="67"/>
      <c r="F40" s="71"/>
      <c r="G40" s="517"/>
      <c r="H40" s="512" t="s">
        <v>137</v>
      </c>
      <c r="I40" s="66" t="s">
        <v>50</v>
      </c>
      <c r="J40" s="108" t="s">
        <v>138</v>
      </c>
      <c r="K40" s="68">
        <v>4599002</v>
      </c>
      <c r="L40" s="108" t="s">
        <v>62</v>
      </c>
      <c r="M40" s="66" t="s">
        <v>50</v>
      </c>
      <c r="N40" s="145" t="s">
        <v>139</v>
      </c>
      <c r="O40" s="68">
        <v>459900201</v>
      </c>
      <c r="P40" s="145" t="s">
        <v>140</v>
      </c>
      <c r="Q40" s="517" t="s">
        <v>55</v>
      </c>
      <c r="R40" s="84">
        <v>1</v>
      </c>
      <c r="S40" s="517" t="s">
        <v>141</v>
      </c>
      <c r="T40" s="510" t="s">
        <v>142</v>
      </c>
      <c r="U40" s="512" t="s">
        <v>143</v>
      </c>
      <c r="V40" s="160"/>
      <c r="W40" s="160"/>
      <c r="X40" s="137"/>
      <c r="Y40" s="160"/>
      <c r="Z40" s="160"/>
      <c r="AA40" s="160"/>
      <c r="AB40" s="160"/>
      <c r="AC40" s="160"/>
      <c r="AD40" s="160"/>
      <c r="AE40" s="160"/>
      <c r="AF40" s="189">
        <f>670000000+900000000+1416148+1979731+500000000-8000000</f>
        <v>2065395879</v>
      </c>
      <c r="AG40" s="160"/>
      <c r="AH40" s="161">
        <v>250000000</v>
      </c>
      <c r="AI40" s="138">
        <f>+V40+W40+X40+Y40+Z40+AA40+AB40+AC40+AD40+AE40+AF40+AG40+AH40</f>
        <v>2315395879</v>
      </c>
      <c r="AJ40" s="138" t="s">
        <v>144</v>
      </c>
      <c r="AK40" s="212" t="s">
        <v>1427</v>
      </c>
    </row>
    <row r="41" spans="1:77" ht="145.5" customHeight="1" x14ac:dyDescent="0.2">
      <c r="A41" s="133"/>
      <c r="B41" s="67"/>
      <c r="C41" s="67"/>
      <c r="D41" s="67"/>
      <c r="E41" s="67"/>
      <c r="F41" s="71"/>
      <c r="G41" s="517"/>
      <c r="H41" s="512" t="s">
        <v>137</v>
      </c>
      <c r="I41" s="66" t="s">
        <v>50</v>
      </c>
      <c r="J41" s="108" t="s">
        <v>145</v>
      </c>
      <c r="K41" s="68">
        <v>4599002</v>
      </c>
      <c r="L41" s="108" t="s">
        <v>146</v>
      </c>
      <c r="M41" s="66" t="s">
        <v>50</v>
      </c>
      <c r="N41" s="145" t="s">
        <v>147</v>
      </c>
      <c r="O41" s="68">
        <v>459900200</v>
      </c>
      <c r="P41" s="145" t="s">
        <v>1402</v>
      </c>
      <c r="Q41" s="517" t="s">
        <v>55</v>
      </c>
      <c r="R41" s="84">
        <v>1</v>
      </c>
      <c r="S41" s="517" t="s">
        <v>148</v>
      </c>
      <c r="T41" s="510" t="s">
        <v>149</v>
      </c>
      <c r="U41" s="512" t="s">
        <v>150</v>
      </c>
      <c r="V41" s="137"/>
      <c r="W41" s="137"/>
      <c r="X41" s="137"/>
      <c r="Y41" s="137"/>
      <c r="Z41" s="137"/>
      <c r="AA41" s="137"/>
      <c r="AB41" s="137"/>
      <c r="AC41" s="137"/>
      <c r="AD41" s="137"/>
      <c r="AE41" s="137"/>
      <c r="AF41" s="189">
        <f>270000000+8000000</f>
        <v>278000000</v>
      </c>
      <c r="AG41" s="137"/>
      <c r="AH41" s="137"/>
      <c r="AI41" s="138">
        <f>+V41+W41+X41+Y41+Z41+AA41+AB41+AC41+AD41+AE41+AF41+AG41+AH41</f>
        <v>278000000</v>
      </c>
      <c r="AJ41" s="138" t="s">
        <v>144</v>
      </c>
      <c r="AK41" s="212" t="s">
        <v>1427</v>
      </c>
    </row>
    <row r="42" spans="1:77" s="7" customFormat="1" ht="16.5" customHeight="1" x14ac:dyDescent="0.25">
      <c r="A42" s="457"/>
      <c r="B42" s="457"/>
      <c r="C42" s="457"/>
      <c r="D42" s="457"/>
      <c r="E42" s="457"/>
      <c r="F42" s="457"/>
      <c r="G42" s="457"/>
      <c r="H42" s="458"/>
      <c r="I42" s="457"/>
      <c r="J42" s="457"/>
      <c r="K42" s="457"/>
      <c r="L42" s="457"/>
      <c r="M42" s="457"/>
      <c r="N42" s="457"/>
      <c r="O42" s="457"/>
      <c r="P42" s="457"/>
      <c r="Q42" s="459"/>
      <c r="R42" s="457"/>
      <c r="S42" s="459"/>
      <c r="T42" s="459"/>
      <c r="U42" s="459"/>
      <c r="V42" s="460"/>
      <c r="W42" s="460"/>
      <c r="X42" s="460"/>
      <c r="Y42" s="460"/>
      <c r="Z42" s="460"/>
      <c r="AA42" s="460"/>
      <c r="AB42" s="460"/>
      <c r="AC42" s="460"/>
      <c r="AD42" s="460"/>
      <c r="AE42" s="460"/>
      <c r="AF42" s="544"/>
      <c r="AG42" s="460"/>
      <c r="AH42" s="460"/>
      <c r="AI42" s="460"/>
      <c r="AJ42" s="460"/>
      <c r="AK42" s="460"/>
    </row>
    <row r="43" spans="1:77" s="391" customFormat="1" ht="30.75" customHeight="1" x14ac:dyDescent="0.2">
      <c r="A43" s="41" t="s">
        <v>151</v>
      </c>
      <c r="B43" s="41"/>
      <c r="C43" s="41"/>
      <c r="D43" s="41"/>
      <c r="E43" s="41"/>
      <c r="F43" s="42"/>
      <c r="G43" s="43"/>
      <c r="H43" s="383"/>
      <c r="I43" s="383"/>
      <c r="J43" s="383"/>
      <c r="K43" s="386"/>
      <c r="L43" s="383"/>
      <c r="M43" s="383"/>
      <c r="N43" s="388"/>
      <c r="O43" s="387"/>
      <c r="P43" s="388"/>
      <c r="Q43" s="389"/>
      <c r="R43" s="387"/>
      <c r="S43" s="43"/>
      <c r="T43" s="388"/>
      <c r="U43" s="388"/>
      <c r="V43" s="384">
        <f t="shared" ref="V43:AI43" si="11">V44+V60+V80</f>
        <v>4469330595.1000004</v>
      </c>
      <c r="W43" s="384">
        <f t="shared" si="11"/>
        <v>0</v>
      </c>
      <c r="X43" s="384">
        <f t="shared" si="11"/>
        <v>56108067</v>
      </c>
      <c r="Y43" s="384">
        <f t="shared" si="11"/>
        <v>0</v>
      </c>
      <c r="Z43" s="384">
        <f t="shared" si="11"/>
        <v>0</v>
      </c>
      <c r="AA43" s="384">
        <f t="shared" si="11"/>
        <v>0</v>
      </c>
      <c r="AB43" s="384">
        <f t="shared" si="11"/>
        <v>0</v>
      </c>
      <c r="AC43" s="384">
        <f t="shared" si="11"/>
        <v>0</v>
      </c>
      <c r="AD43" s="384">
        <f t="shared" si="11"/>
        <v>0</v>
      </c>
      <c r="AE43" s="384">
        <f t="shared" si="11"/>
        <v>2753011221</v>
      </c>
      <c r="AF43" s="550">
        <f t="shared" si="11"/>
        <v>795750000</v>
      </c>
      <c r="AG43" s="384">
        <f t="shared" si="11"/>
        <v>0</v>
      </c>
      <c r="AH43" s="384">
        <f t="shared" si="11"/>
        <v>0</v>
      </c>
      <c r="AI43" s="384">
        <f t="shared" si="11"/>
        <v>8074199883.1000004</v>
      </c>
      <c r="AJ43" s="384"/>
      <c r="AK43" s="384"/>
      <c r="AL43" s="390"/>
      <c r="AM43" s="390"/>
      <c r="AN43" s="390"/>
      <c r="AO43" s="390"/>
      <c r="AP43" s="390"/>
      <c r="AQ43" s="390"/>
      <c r="AR43" s="390"/>
      <c r="AS43" s="390"/>
      <c r="AT43" s="390"/>
      <c r="AU43" s="390"/>
      <c r="AV43" s="390"/>
      <c r="AW43" s="390"/>
      <c r="AX43" s="390"/>
      <c r="AY43" s="390"/>
      <c r="AZ43" s="390"/>
      <c r="BA43" s="390"/>
      <c r="BB43" s="390"/>
      <c r="BC43" s="390"/>
      <c r="BD43" s="390"/>
      <c r="BE43" s="390"/>
      <c r="BF43" s="390"/>
      <c r="BG43" s="390"/>
      <c r="BH43" s="390"/>
      <c r="BI43" s="390"/>
      <c r="BJ43" s="390"/>
      <c r="BK43" s="390"/>
      <c r="BL43" s="390"/>
      <c r="BM43" s="390"/>
      <c r="BN43" s="390"/>
      <c r="BO43" s="390"/>
      <c r="BP43" s="390"/>
      <c r="BQ43" s="390"/>
      <c r="BR43" s="390"/>
      <c r="BS43" s="390"/>
      <c r="BT43" s="390"/>
      <c r="BU43" s="390"/>
      <c r="BV43" s="390"/>
      <c r="BW43" s="390"/>
      <c r="BX43" s="390"/>
      <c r="BY43" s="390"/>
    </row>
    <row r="44" spans="1:77" ht="20.25" customHeight="1" x14ac:dyDescent="0.2">
      <c r="A44" s="133"/>
      <c r="B44" s="116">
        <v>1</v>
      </c>
      <c r="C44" s="116"/>
      <c r="D44" s="63" t="s">
        <v>152</v>
      </c>
      <c r="E44" s="163"/>
      <c r="F44" s="61"/>
      <c r="G44" s="61"/>
      <c r="H44" s="61"/>
      <c r="I44" s="61"/>
      <c r="J44" s="118"/>
      <c r="K44" s="117"/>
      <c r="L44" s="118"/>
      <c r="M44" s="118"/>
      <c r="N44" s="119"/>
      <c r="O44" s="116"/>
      <c r="P44" s="119"/>
      <c r="Q44" s="120"/>
      <c r="R44" s="116"/>
      <c r="S44" s="121"/>
      <c r="T44" s="119"/>
      <c r="U44" s="119"/>
      <c r="V44" s="122">
        <f>V45+V48+V51+V54+V57</f>
        <v>3919330595</v>
      </c>
      <c r="W44" s="122">
        <f t="shared" ref="W44:AH44" si="12">W45+W48+W51+W54+W57</f>
        <v>0</v>
      </c>
      <c r="X44" s="122">
        <f t="shared" si="12"/>
        <v>0</v>
      </c>
      <c r="Y44" s="122">
        <f t="shared" si="12"/>
        <v>0</v>
      </c>
      <c r="Z44" s="122">
        <f t="shared" si="12"/>
        <v>0</v>
      </c>
      <c r="AA44" s="122">
        <f t="shared" si="12"/>
        <v>0</v>
      </c>
      <c r="AB44" s="122">
        <f t="shared" si="12"/>
        <v>0</v>
      </c>
      <c r="AC44" s="122">
        <f t="shared" si="12"/>
        <v>0</v>
      </c>
      <c r="AD44" s="122">
        <f t="shared" si="12"/>
        <v>0</v>
      </c>
      <c r="AE44" s="122">
        <f t="shared" si="12"/>
        <v>0</v>
      </c>
      <c r="AF44" s="551">
        <f t="shared" si="12"/>
        <v>92750000</v>
      </c>
      <c r="AG44" s="122">
        <f t="shared" si="12"/>
        <v>0</v>
      </c>
      <c r="AH44" s="122">
        <f t="shared" si="12"/>
        <v>0</v>
      </c>
      <c r="AI44" s="122">
        <f>AI45+AI48+AI51+AI54+AI57</f>
        <v>4012080595</v>
      </c>
      <c r="AJ44" s="122"/>
      <c r="AK44" s="122"/>
    </row>
    <row r="45" spans="1:77" s="9" customFormat="1" ht="20.25" customHeight="1" x14ac:dyDescent="0.25">
      <c r="A45" s="115"/>
      <c r="B45" s="67"/>
      <c r="C45" s="67"/>
      <c r="D45" s="64">
        <v>12</v>
      </c>
      <c r="E45" s="62" t="s">
        <v>153</v>
      </c>
      <c r="F45" s="123"/>
      <c r="G45" s="124"/>
      <c r="H45" s="125"/>
      <c r="I45" s="125"/>
      <c r="J45" s="127"/>
      <c r="K45" s="126"/>
      <c r="L45" s="127"/>
      <c r="M45" s="127"/>
      <c r="N45" s="129"/>
      <c r="O45" s="128"/>
      <c r="P45" s="129"/>
      <c r="Q45" s="127"/>
      <c r="R45" s="130"/>
      <c r="S45" s="131"/>
      <c r="T45" s="131"/>
      <c r="U45" s="132"/>
      <c r="V45" s="132">
        <f>V46</f>
        <v>0</v>
      </c>
      <c r="W45" s="132">
        <f t="shared" ref="W45:AI45" si="13">W46</f>
        <v>0</v>
      </c>
      <c r="X45" s="132">
        <f t="shared" si="13"/>
        <v>0</v>
      </c>
      <c r="Y45" s="132">
        <f t="shared" si="13"/>
        <v>0</v>
      </c>
      <c r="Z45" s="132">
        <f t="shared" si="13"/>
        <v>0</v>
      </c>
      <c r="AA45" s="132">
        <f t="shared" si="13"/>
        <v>0</v>
      </c>
      <c r="AB45" s="132">
        <f t="shared" si="13"/>
        <v>0</v>
      </c>
      <c r="AC45" s="132">
        <f t="shared" si="13"/>
        <v>0</v>
      </c>
      <c r="AD45" s="132">
        <f t="shared" si="13"/>
        <v>0</v>
      </c>
      <c r="AE45" s="132">
        <f t="shared" si="13"/>
        <v>0</v>
      </c>
      <c r="AF45" s="547">
        <f t="shared" si="13"/>
        <v>24750000</v>
      </c>
      <c r="AG45" s="132">
        <f t="shared" si="13"/>
        <v>0</v>
      </c>
      <c r="AH45" s="132">
        <f t="shared" si="13"/>
        <v>0</v>
      </c>
      <c r="AI45" s="132">
        <f t="shared" si="13"/>
        <v>24750000</v>
      </c>
      <c r="AJ45" s="132"/>
      <c r="AK45" s="132"/>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row>
    <row r="46" spans="1:77" ht="20.25" customHeight="1" x14ac:dyDescent="0.2">
      <c r="A46" s="133"/>
      <c r="B46" s="67"/>
      <c r="C46" s="67"/>
      <c r="D46" s="67"/>
      <c r="E46" s="67"/>
      <c r="F46" s="141">
        <v>1202</v>
      </c>
      <c r="G46" s="65" t="s">
        <v>154</v>
      </c>
      <c r="H46" s="65"/>
      <c r="I46" s="65"/>
      <c r="J46" s="140"/>
      <c r="K46" s="139"/>
      <c r="L46" s="140"/>
      <c r="M46" s="140"/>
      <c r="N46" s="135"/>
      <c r="O46" s="141"/>
      <c r="P46" s="135"/>
      <c r="Q46" s="142"/>
      <c r="R46" s="141"/>
      <c r="S46" s="143"/>
      <c r="T46" s="135"/>
      <c r="U46" s="135"/>
      <c r="V46" s="136">
        <f t="shared" ref="V46:AI46" si="14">V47</f>
        <v>0</v>
      </c>
      <c r="W46" s="136">
        <f t="shared" si="14"/>
        <v>0</v>
      </c>
      <c r="X46" s="136">
        <f t="shared" si="14"/>
        <v>0</v>
      </c>
      <c r="Y46" s="136">
        <f t="shared" si="14"/>
        <v>0</v>
      </c>
      <c r="Z46" s="136">
        <f t="shared" si="14"/>
        <v>0</v>
      </c>
      <c r="AA46" s="136">
        <f t="shared" si="14"/>
        <v>0</v>
      </c>
      <c r="AB46" s="136">
        <f t="shared" si="14"/>
        <v>0</v>
      </c>
      <c r="AC46" s="136">
        <f t="shared" si="14"/>
        <v>0</v>
      </c>
      <c r="AD46" s="136">
        <f t="shared" si="14"/>
        <v>0</v>
      </c>
      <c r="AE46" s="136">
        <f t="shared" si="14"/>
        <v>0</v>
      </c>
      <c r="AF46" s="543">
        <f>AF47</f>
        <v>24750000</v>
      </c>
      <c r="AG46" s="136">
        <f t="shared" si="14"/>
        <v>0</v>
      </c>
      <c r="AH46" s="136">
        <f t="shared" si="14"/>
        <v>0</v>
      </c>
      <c r="AI46" s="136">
        <f t="shared" si="14"/>
        <v>24750000</v>
      </c>
      <c r="AJ46" s="136"/>
      <c r="AK46" s="136"/>
    </row>
    <row r="47" spans="1:77" ht="217.5" customHeight="1" x14ac:dyDescent="0.2">
      <c r="A47" s="133"/>
      <c r="B47" s="67"/>
      <c r="C47" s="67"/>
      <c r="D47" s="67"/>
      <c r="E47" s="67"/>
      <c r="F47" s="71"/>
      <c r="G47" s="517"/>
      <c r="H47" s="512" t="s">
        <v>155</v>
      </c>
      <c r="I47" s="66" t="s">
        <v>50</v>
      </c>
      <c r="J47" s="520" t="s">
        <v>156</v>
      </c>
      <c r="K47" s="66">
        <v>1202019</v>
      </c>
      <c r="L47" s="520" t="s">
        <v>157</v>
      </c>
      <c r="M47" s="66" t="s">
        <v>50</v>
      </c>
      <c r="N47" s="520" t="s">
        <v>158</v>
      </c>
      <c r="O47" s="69">
        <v>120201900</v>
      </c>
      <c r="P47" s="520" t="s">
        <v>159</v>
      </c>
      <c r="Q47" s="517" t="s">
        <v>71</v>
      </c>
      <c r="R47" s="88">
        <v>3</v>
      </c>
      <c r="S47" s="517" t="s">
        <v>160</v>
      </c>
      <c r="T47" s="510" t="s">
        <v>161</v>
      </c>
      <c r="U47" s="510" t="s">
        <v>162</v>
      </c>
      <c r="V47" s="164"/>
      <c r="W47" s="137"/>
      <c r="X47" s="137"/>
      <c r="Y47" s="137"/>
      <c r="Z47" s="137"/>
      <c r="AA47" s="137"/>
      <c r="AB47" s="137"/>
      <c r="AC47" s="137"/>
      <c r="AD47" s="137"/>
      <c r="AE47" s="137"/>
      <c r="AF47" s="189">
        <f>23750000+1000000</f>
        <v>24750000</v>
      </c>
      <c r="AG47" s="137"/>
      <c r="AH47" s="165"/>
      <c r="AI47" s="138">
        <f>+V47+W47+X47+Y47+Z47+AA47+AB47+AC47+AD47+AE47+AF47+AG47+AH47</f>
        <v>24750000</v>
      </c>
      <c r="AJ47" s="166" t="s">
        <v>163</v>
      </c>
      <c r="AK47" s="212" t="s">
        <v>1428</v>
      </c>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row>
    <row r="48" spans="1:77" s="9" customFormat="1" ht="24" customHeight="1" x14ac:dyDescent="0.25">
      <c r="A48" s="115"/>
      <c r="B48" s="67"/>
      <c r="C48" s="67"/>
      <c r="D48" s="64">
        <v>19</v>
      </c>
      <c r="E48" s="62" t="s">
        <v>164</v>
      </c>
      <c r="F48" s="123"/>
      <c r="G48" s="124"/>
      <c r="H48" s="125"/>
      <c r="I48" s="125"/>
      <c r="J48" s="127"/>
      <c r="K48" s="126"/>
      <c r="L48" s="127"/>
      <c r="M48" s="127"/>
      <c r="N48" s="129"/>
      <c r="O48" s="128"/>
      <c r="P48" s="129"/>
      <c r="Q48" s="127"/>
      <c r="R48" s="130"/>
      <c r="S48" s="131"/>
      <c r="T48" s="131"/>
      <c r="U48" s="132"/>
      <c r="V48" s="132">
        <f>V49</f>
        <v>0</v>
      </c>
      <c r="W48" s="132">
        <f t="shared" ref="W48:AI48" si="15">W49</f>
        <v>0</v>
      </c>
      <c r="X48" s="132">
        <f t="shared" si="15"/>
        <v>0</v>
      </c>
      <c r="Y48" s="132">
        <f t="shared" si="15"/>
        <v>0</v>
      </c>
      <c r="Z48" s="132">
        <f t="shared" si="15"/>
        <v>0</v>
      </c>
      <c r="AA48" s="132">
        <f t="shared" si="15"/>
        <v>0</v>
      </c>
      <c r="AB48" s="132">
        <f t="shared" si="15"/>
        <v>0</v>
      </c>
      <c r="AC48" s="132">
        <f t="shared" si="15"/>
        <v>0</v>
      </c>
      <c r="AD48" s="132">
        <f t="shared" si="15"/>
        <v>0</v>
      </c>
      <c r="AE48" s="132">
        <f t="shared" si="15"/>
        <v>0</v>
      </c>
      <c r="AF48" s="547">
        <f t="shared" si="15"/>
        <v>38000000</v>
      </c>
      <c r="AG48" s="132">
        <f t="shared" si="15"/>
        <v>0</v>
      </c>
      <c r="AH48" s="132">
        <f t="shared" si="15"/>
        <v>0</v>
      </c>
      <c r="AI48" s="132">
        <f t="shared" si="15"/>
        <v>38000000</v>
      </c>
      <c r="AJ48" s="157"/>
      <c r="AK48" s="157"/>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row>
    <row r="49" spans="1:76" ht="24" customHeight="1" x14ac:dyDescent="0.2">
      <c r="A49" s="133"/>
      <c r="B49" s="67"/>
      <c r="C49" s="67"/>
      <c r="D49" s="67"/>
      <c r="E49" s="67"/>
      <c r="F49" s="141">
        <v>1906</v>
      </c>
      <c r="G49" s="65" t="s">
        <v>165</v>
      </c>
      <c r="H49" s="65"/>
      <c r="I49" s="65"/>
      <c r="J49" s="140"/>
      <c r="K49" s="139"/>
      <c r="L49" s="140"/>
      <c r="M49" s="140"/>
      <c r="N49" s="135"/>
      <c r="O49" s="141"/>
      <c r="P49" s="135"/>
      <c r="Q49" s="142"/>
      <c r="R49" s="141"/>
      <c r="S49" s="143"/>
      <c r="T49" s="135"/>
      <c r="U49" s="135"/>
      <c r="V49" s="136">
        <f t="shared" ref="V49:AI49" si="16">V50</f>
        <v>0</v>
      </c>
      <c r="W49" s="136">
        <f t="shared" si="16"/>
        <v>0</v>
      </c>
      <c r="X49" s="136">
        <f t="shared" si="16"/>
        <v>0</v>
      </c>
      <c r="Y49" s="136">
        <f t="shared" si="16"/>
        <v>0</v>
      </c>
      <c r="Z49" s="136">
        <f t="shared" si="16"/>
        <v>0</v>
      </c>
      <c r="AA49" s="136">
        <f t="shared" si="16"/>
        <v>0</v>
      </c>
      <c r="AB49" s="136">
        <f t="shared" si="16"/>
        <v>0</v>
      </c>
      <c r="AC49" s="136">
        <f t="shared" si="16"/>
        <v>0</v>
      </c>
      <c r="AD49" s="136">
        <f t="shared" si="16"/>
        <v>0</v>
      </c>
      <c r="AE49" s="136">
        <f t="shared" si="16"/>
        <v>0</v>
      </c>
      <c r="AF49" s="543">
        <f t="shared" si="16"/>
        <v>38000000</v>
      </c>
      <c r="AG49" s="136">
        <f t="shared" si="16"/>
        <v>0</v>
      </c>
      <c r="AH49" s="136">
        <f t="shared" si="16"/>
        <v>0</v>
      </c>
      <c r="AI49" s="136">
        <f t="shared" si="16"/>
        <v>38000000</v>
      </c>
      <c r="AJ49" s="136"/>
      <c r="AK49" s="144"/>
    </row>
    <row r="50" spans="1:76" s="1" customFormat="1" ht="156.75" customHeight="1" x14ac:dyDescent="0.2">
      <c r="A50" s="133"/>
      <c r="B50" s="67"/>
      <c r="C50" s="67"/>
      <c r="D50" s="67"/>
      <c r="E50" s="67"/>
      <c r="F50" s="71"/>
      <c r="G50" s="517"/>
      <c r="H50" s="512" t="s">
        <v>166</v>
      </c>
      <c r="I50" s="66" t="s">
        <v>50</v>
      </c>
      <c r="J50" s="520" t="s">
        <v>167</v>
      </c>
      <c r="K50" s="66">
        <v>1906015</v>
      </c>
      <c r="L50" s="520" t="s">
        <v>168</v>
      </c>
      <c r="M50" s="66" t="s">
        <v>50</v>
      </c>
      <c r="N50" s="167" t="s">
        <v>169</v>
      </c>
      <c r="O50" s="192">
        <v>190601500</v>
      </c>
      <c r="P50" s="167" t="s">
        <v>168</v>
      </c>
      <c r="Q50" s="517" t="s">
        <v>71</v>
      </c>
      <c r="R50" s="69">
        <v>1</v>
      </c>
      <c r="S50" s="517" t="s">
        <v>170</v>
      </c>
      <c r="T50" s="510" t="s">
        <v>171</v>
      </c>
      <c r="U50" s="510" t="s">
        <v>172</v>
      </c>
      <c r="V50" s="164"/>
      <c r="W50" s="137"/>
      <c r="X50" s="137"/>
      <c r="Y50" s="137"/>
      <c r="Z50" s="137"/>
      <c r="AA50" s="137"/>
      <c r="AB50" s="137"/>
      <c r="AC50" s="137"/>
      <c r="AD50" s="137"/>
      <c r="AE50" s="137"/>
      <c r="AF50" s="189">
        <v>38000000</v>
      </c>
      <c r="AG50" s="137"/>
      <c r="AH50" s="165"/>
      <c r="AI50" s="138">
        <f>+V50+W50+X50+Y50+Z50+AA50+AB50+AC50+AD50+AE50+AF50+AG50+AH50</f>
        <v>38000000</v>
      </c>
      <c r="AJ50" s="166" t="s">
        <v>163</v>
      </c>
      <c r="AK50" s="212" t="s">
        <v>1428</v>
      </c>
    </row>
    <row r="51" spans="1:76" s="9" customFormat="1" ht="21.75" customHeight="1" x14ac:dyDescent="0.25">
      <c r="A51" s="115"/>
      <c r="B51" s="67"/>
      <c r="C51" s="67"/>
      <c r="D51" s="64">
        <v>22</v>
      </c>
      <c r="E51" s="62" t="s">
        <v>173</v>
      </c>
      <c r="F51" s="123"/>
      <c r="G51" s="124"/>
      <c r="H51" s="125"/>
      <c r="I51" s="125"/>
      <c r="J51" s="127"/>
      <c r="K51" s="126"/>
      <c r="L51" s="127"/>
      <c r="M51" s="127"/>
      <c r="N51" s="129"/>
      <c r="O51" s="128"/>
      <c r="P51" s="129"/>
      <c r="Q51" s="127"/>
      <c r="R51" s="130"/>
      <c r="S51" s="131"/>
      <c r="T51" s="131"/>
      <c r="U51" s="132"/>
      <c r="V51" s="132">
        <f>V52</f>
        <v>2083257220</v>
      </c>
      <c r="W51" s="132">
        <f t="shared" ref="W51:AI51" si="17">W52</f>
        <v>0</v>
      </c>
      <c r="X51" s="132">
        <f t="shared" si="17"/>
        <v>0</v>
      </c>
      <c r="Y51" s="132">
        <f t="shared" si="17"/>
        <v>0</v>
      </c>
      <c r="Z51" s="132">
        <f t="shared" si="17"/>
        <v>0</v>
      </c>
      <c r="AA51" s="132">
        <f t="shared" si="17"/>
        <v>0</v>
      </c>
      <c r="AB51" s="132">
        <f t="shared" si="17"/>
        <v>0</v>
      </c>
      <c r="AC51" s="132">
        <f t="shared" si="17"/>
        <v>0</v>
      </c>
      <c r="AD51" s="132">
        <f t="shared" si="17"/>
        <v>0</v>
      </c>
      <c r="AE51" s="132">
        <f t="shared" si="17"/>
        <v>0</v>
      </c>
      <c r="AF51" s="547">
        <f t="shared" si="17"/>
        <v>0</v>
      </c>
      <c r="AG51" s="132">
        <f t="shared" si="17"/>
        <v>0</v>
      </c>
      <c r="AH51" s="132">
        <f t="shared" si="17"/>
        <v>0</v>
      </c>
      <c r="AI51" s="132">
        <f t="shared" si="17"/>
        <v>2083257220</v>
      </c>
      <c r="AJ51" s="157"/>
      <c r="AK51" s="157"/>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row>
    <row r="52" spans="1:76" ht="21.75" customHeight="1" x14ac:dyDescent="0.2">
      <c r="A52" s="133"/>
      <c r="B52" s="67"/>
      <c r="C52" s="67"/>
      <c r="D52" s="67"/>
      <c r="E52" s="67"/>
      <c r="F52" s="141">
        <v>2201</v>
      </c>
      <c r="G52" s="65" t="s">
        <v>174</v>
      </c>
      <c r="H52" s="65"/>
      <c r="I52" s="190"/>
      <c r="J52" s="148"/>
      <c r="K52" s="147"/>
      <c r="L52" s="148"/>
      <c r="M52" s="148"/>
      <c r="N52" s="135"/>
      <c r="O52" s="141"/>
      <c r="P52" s="135"/>
      <c r="Q52" s="142"/>
      <c r="R52" s="141"/>
      <c r="S52" s="143"/>
      <c r="T52" s="135"/>
      <c r="U52" s="135"/>
      <c r="V52" s="136">
        <f t="shared" ref="V52:AI52" si="18">V53</f>
        <v>2083257220</v>
      </c>
      <c r="W52" s="136">
        <f t="shared" si="18"/>
        <v>0</v>
      </c>
      <c r="X52" s="136">
        <f t="shared" si="18"/>
        <v>0</v>
      </c>
      <c r="Y52" s="136">
        <f t="shared" si="18"/>
        <v>0</v>
      </c>
      <c r="Z52" s="136">
        <f t="shared" si="18"/>
        <v>0</v>
      </c>
      <c r="AA52" s="136">
        <f t="shared" si="18"/>
        <v>0</v>
      </c>
      <c r="AB52" s="136">
        <f t="shared" si="18"/>
        <v>0</v>
      </c>
      <c r="AC52" s="136">
        <f t="shared" si="18"/>
        <v>0</v>
      </c>
      <c r="AD52" s="136">
        <f t="shared" si="18"/>
        <v>0</v>
      </c>
      <c r="AE52" s="136">
        <f t="shared" si="18"/>
        <v>0</v>
      </c>
      <c r="AF52" s="543">
        <f t="shared" si="18"/>
        <v>0</v>
      </c>
      <c r="AG52" s="136">
        <f t="shared" si="18"/>
        <v>0</v>
      </c>
      <c r="AH52" s="136">
        <f t="shared" si="18"/>
        <v>0</v>
      </c>
      <c r="AI52" s="136">
        <f t="shared" si="18"/>
        <v>2083257220</v>
      </c>
      <c r="AJ52" s="136"/>
      <c r="AK52" s="144"/>
    </row>
    <row r="53" spans="1:76" ht="173.25" customHeight="1" x14ac:dyDescent="0.2">
      <c r="A53" s="133"/>
      <c r="B53" s="67"/>
      <c r="C53" s="67"/>
      <c r="D53" s="67"/>
      <c r="E53" s="67"/>
      <c r="F53" s="71"/>
      <c r="G53" s="517"/>
      <c r="H53" s="512" t="s">
        <v>175</v>
      </c>
      <c r="I53" s="68" t="s">
        <v>50</v>
      </c>
      <c r="J53" s="518" t="s">
        <v>176</v>
      </c>
      <c r="K53" s="68">
        <v>2201062</v>
      </c>
      <c r="L53" s="518" t="s">
        <v>177</v>
      </c>
      <c r="M53" s="68" t="s">
        <v>50</v>
      </c>
      <c r="N53" s="510" t="s">
        <v>178</v>
      </c>
      <c r="O53" s="68">
        <v>220106200</v>
      </c>
      <c r="P53" s="510" t="s">
        <v>179</v>
      </c>
      <c r="Q53" s="517" t="s">
        <v>71</v>
      </c>
      <c r="R53" s="96">
        <v>15</v>
      </c>
      <c r="S53" s="517" t="s">
        <v>180</v>
      </c>
      <c r="T53" s="510" t="s">
        <v>181</v>
      </c>
      <c r="U53" s="510" t="s">
        <v>182</v>
      </c>
      <c r="V53" s="168">
        <v>2083257220</v>
      </c>
      <c r="W53" s="137"/>
      <c r="X53" s="137"/>
      <c r="Y53" s="137"/>
      <c r="Z53" s="137"/>
      <c r="AA53" s="137"/>
      <c r="AB53" s="137"/>
      <c r="AC53" s="137"/>
      <c r="AD53" s="137"/>
      <c r="AE53" s="137"/>
      <c r="AF53" s="189"/>
      <c r="AG53" s="137"/>
      <c r="AH53" s="165"/>
      <c r="AI53" s="138">
        <f>+V53+W53+X53+Y53+Z53+AA53+AB53+AC53+AD53+AE53+AF53+AG53+AH53</f>
        <v>2083257220</v>
      </c>
      <c r="AJ53" s="166" t="s">
        <v>163</v>
      </c>
      <c r="AK53" s="212" t="s">
        <v>1428</v>
      </c>
    </row>
    <row r="54" spans="1:76" s="9" customFormat="1" ht="28.5" customHeight="1" x14ac:dyDescent="0.25">
      <c r="A54" s="115"/>
      <c r="B54" s="67"/>
      <c r="C54" s="67"/>
      <c r="D54" s="64">
        <v>33</v>
      </c>
      <c r="E54" s="62" t="s">
        <v>183</v>
      </c>
      <c r="F54" s="123"/>
      <c r="G54" s="124"/>
      <c r="H54" s="125"/>
      <c r="I54" s="125"/>
      <c r="J54" s="127"/>
      <c r="K54" s="126"/>
      <c r="L54" s="127"/>
      <c r="M54" s="127"/>
      <c r="N54" s="129"/>
      <c r="O54" s="128"/>
      <c r="P54" s="129"/>
      <c r="Q54" s="127"/>
      <c r="R54" s="130"/>
      <c r="S54" s="131"/>
      <c r="T54" s="131"/>
      <c r="U54" s="132"/>
      <c r="V54" s="132">
        <f>V55</f>
        <v>0</v>
      </c>
      <c r="W54" s="132">
        <f t="shared" ref="W54:AH54" si="19">W55</f>
        <v>0</v>
      </c>
      <c r="X54" s="132">
        <f t="shared" si="19"/>
        <v>0</v>
      </c>
      <c r="Y54" s="132">
        <f t="shared" si="19"/>
        <v>0</v>
      </c>
      <c r="Z54" s="132">
        <f t="shared" si="19"/>
        <v>0</v>
      </c>
      <c r="AA54" s="132">
        <f t="shared" si="19"/>
        <v>0</v>
      </c>
      <c r="AB54" s="132">
        <f t="shared" si="19"/>
        <v>0</v>
      </c>
      <c r="AC54" s="132">
        <f t="shared" si="19"/>
        <v>0</v>
      </c>
      <c r="AD54" s="132">
        <f t="shared" si="19"/>
        <v>0</v>
      </c>
      <c r="AE54" s="132">
        <f t="shared" si="19"/>
        <v>0</v>
      </c>
      <c r="AF54" s="547">
        <f t="shared" si="19"/>
        <v>30000000</v>
      </c>
      <c r="AG54" s="132">
        <f t="shared" si="19"/>
        <v>0</v>
      </c>
      <c r="AH54" s="132">
        <f t="shared" si="19"/>
        <v>0</v>
      </c>
      <c r="AI54" s="132">
        <f>AI55</f>
        <v>30000000</v>
      </c>
      <c r="AJ54" s="157"/>
      <c r="AK54" s="157"/>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row>
    <row r="55" spans="1:76" ht="28.5" customHeight="1" x14ac:dyDescent="0.2">
      <c r="A55" s="133"/>
      <c r="B55" s="67"/>
      <c r="C55" s="67"/>
      <c r="D55" s="67"/>
      <c r="E55" s="67"/>
      <c r="F55" s="141">
        <v>3301</v>
      </c>
      <c r="G55" s="65" t="s">
        <v>184</v>
      </c>
      <c r="H55" s="65"/>
      <c r="I55" s="190"/>
      <c r="J55" s="148"/>
      <c r="K55" s="147"/>
      <c r="L55" s="148"/>
      <c r="M55" s="148"/>
      <c r="N55" s="135"/>
      <c r="O55" s="141"/>
      <c r="P55" s="135"/>
      <c r="Q55" s="142"/>
      <c r="R55" s="141"/>
      <c r="S55" s="143"/>
      <c r="T55" s="135"/>
      <c r="U55" s="135"/>
      <c r="V55" s="136">
        <f>SUM(V56)</f>
        <v>0</v>
      </c>
      <c r="W55" s="136">
        <f t="shared" ref="W55:AE55" si="20">SUM(W56:W59)</f>
        <v>0</v>
      </c>
      <c r="X55" s="136">
        <f t="shared" si="20"/>
        <v>0</v>
      </c>
      <c r="Y55" s="136">
        <f t="shared" si="20"/>
        <v>0</v>
      </c>
      <c r="Z55" s="136">
        <f t="shared" si="20"/>
        <v>0</v>
      </c>
      <c r="AA55" s="136">
        <f t="shared" si="20"/>
        <v>0</v>
      </c>
      <c r="AB55" s="136">
        <f t="shared" si="20"/>
        <v>0</v>
      </c>
      <c r="AC55" s="136">
        <f t="shared" si="20"/>
        <v>0</v>
      </c>
      <c r="AD55" s="136">
        <f t="shared" si="20"/>
        <v>0</v>
      </c>
      <c r="AE55" s="136">
        <f t="shared" si="20"/>
        <v>0</v>
      </c>
      <c r="AF55" s="543">
        <f>SUM(AF56)</f>
        <v>30000000</v>
      </c>
      <c r="AG55" s="136">
        <f>SUM(AG56:AG59)</f>
        <v>0</v>
      </c>
      <c r="AH55" s="136">
        <f>SUM(AH56:AH59)</f>
        <v>0</v>
      </c>
      <c r="AI55" s="136">
        <f>SUM(AI56)</f>
        <v>30000000</v>
      </c>
      <c r="AJ55" s="136"/>
      <c r="AK55" s="144"/>
    </row>
    <row r="56" spans="1:76" ht="96" customHeight="1" x14ac:dyDescent="0.2">
      <c r="A56" s="133"/>
      <c r="B56" s="67"/>
      <c r="C56" s="67"/>
      <c r="D56" s="67"/>
      <c r="E56" s="67"/>
      <c r="F56" s="71"/>
      <c r="G56" s="80"/>
      <c r="H56" s="512" t="s">
        <v>185</v>
      </c>
      <c r="I56" s="66" t="s">
        <v>186</v>
      </c>
      <c r="J56" s="512" t="s">
        <v>187</v>
      </c>
      <c r="K56" s="66" t="s">
        <v>186</v>
      </c>
      <c r="L56" s="512" t="s">
        <v>187</v>
      </c>
      <c r="M56" s="69" t="s">
        <v>188</v>
      </c>
      <c r="N56" s="520" t="s">
        <v>189</v>
      </c>
      <c r="O56" s="69" t="s">
        <v>188</v>
      </c>
      <c r="P56" s="520" t="s">
        <v>189</v>
      </c>
      <c r="Q56" s="517" t="s">
        <v>71</v>
      </c>
      <c r="R56" s="96">
        <v>2</v>
      </c>
      <c r="S56" s="517" t="s">
        <v>190</v>
      </c>
      <c r="T56" s="510" t="s">
        <v>191</v>
      </c>
      <c r="U56" s="510" t="s">
        <v>192</v>
      </c>
      <c r="V56" s="137"/>
      <c r="W56" s="137"/>
      <c r="X56" s="137"/>
      <c r="Y56" s="137"/>
      <c r="Z56" s="137"/>
      <c r="AA56" s="137"/>
      <c r="AB56" s="137"/>
      <c r="AC56" s="137"/>
      <c r="AD56" s="137"/>
      <c r="AE56" s="137"/>
      <c r="AF56" s="552">
        <v>30000000</v>
      </c>
      <c r="AG56" s="137"/>
      <c r="AH56" s="137"/>
      <c r="AI56" s="138">
        <f>+V56+W56+X56+Y56+Z56+AA56+AB56+AC56+AD56+AE56+AF56+AG56+AH56</f>
        <v>30000000</v>
      </c>
      <c r="AJ56" s="166" t="s">
        <v>163</v>
      </c>
      <c r="AK56" s="212" t="s">
        <v>1428</v>
      </c>
    </row>
    <row r="57" spans="1:76" s="9" customFormat="1" ht="27.75" customHeight="1" x14ac:dyDescent="0.25">
      <c r="A57" s="115"/>
      <c r="B57" s="67"/>
      <c r="C57" s="67"/>
      <c r="D57" s="64">
        <v>43</v>
      </c>
      <c r="E57" s="62" t="s">
        <v>193</v>
      </c>
      <c r="F57" s="123"/>
      <c r="G57" s="124"/>
      <c r="H57" s="125"/>
      <c r="I57" s="125"/>
      <c r="J57" s="127"/>
      <c r="K57" s="126"/>
      <c r="L57" s="127"/>
      <c r="M57" s="127"/>
      <c r="N57" s="129"/>
      <c r="O57" s="128"/>
      <c r="P57" s="129"/>
      <c r="Q57" s="127"/>
      <c r="R57" s="130"/>
      <c r="S57" s="131"/>
      <c r="T57" s="131"/>
      <c r="U57" s="132"/>
      <c r="V57" s="132">
        <f>V58</f>
        <v>1836073375</v>
      </c>
      <c r="W57" s="132">
        <f t="shared" ref="W57:AI57" si="21">W58</f>
        <v>0</v>
      </c>
      <c r="X57" s="132">
        <f t="shared" si="21"/>
        <v>0</v>
      </c>
      <c r="Y57" s="132">
        <f t="shared" si="21"/>
        <v>0</v>
      </c>
      <c r="Z57" s="132">
        <f t="shared" si="21"/>
        <v>0</v>
      </c>
      <c r="AA57" s="132">
        <f t="shared" si="21"/>
        <v>0</v>
      </c>
      <c r="AB57" s="132">
        <f t="shared" si="21"/>
        <v>0</v>
      </c>
      <c r="AC57" s="132">
        <f t="shared" si="21"/>
        <v>0</v>
      </c>
      <c r="AD57" s="132">
        <f t="shared" si="21"/>
        <v>0</v>
      </c>
      <c r="AE57" s="132">
        <f t="shared" si="21"/>
        <v>0</v>
      </c>
      <c r="AF57" s="547">
        <f t="shared" si="21"/>
        <v>0</v>
      </c>
      <c r="AG57" s="132">
        <f t="shared" si="21"/>
        <v>0</v>
      </c>
      <c r="AH57" s="132">
        <f t="shared" si="21"/>
        <v>0</v>
      </c>
      <c r="AI57" s="132">
        <f t="shared" si="21"/>
        <v>1836073375</v>
      </c>
      <c r="AJ57" s="157"/>
      <c r="AK57" s="157"/>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row>
    <row r="58" spans="1:76" ht="28.5" customHeight="1" x14ac:dyDescent="0.2">
      <c r="A58" s="133"/>
      <c r="B58" s="67"/>
      <c r="C58" s="67"/>
      <c r="D58" s="67"/>
      <c r="E58" s="67"/>
      <c r="F58" s="141">
        <v>4301</v>
      </c>
      <c r="G58" s="65" t="s">
        <v>194</v>
      </c>
      <c r="H58" s="65"/>
      <c r="I58" s="65"/>
      <c r="J58" s="140"/>
      <c r="K58" s="139"/>
      <c r="L58" s="140"/>
      <c r="M58" s="140"/>
      <c r="N58" s="135"/>
      <c r="O58" s="141"/>
      <c r="P58" s="135"/>
      <c r="Q58" s="135"/>
      <c r="R58" s="141"/>
      <c r="S58" s="143"/>
      <c r="T58" s="135"/>
      <c r="U58" s="135"/>
      <c r="V58" s="136">
        <f t="shared" ref="V58:AI58" si="22">V59</f>
        <v>1836073375</v>
      </c>
      <c r="W58" s="136">
        <f t="shared" si="22"/>
        <v>0</v>
      </c>
      <c r="X58" s="136">
        <f t="shared" si="22"/>
        <v>0</v>
      </c>
      <c r="Y58" s="136">
        <f t="shared" si="22"/>
        <v>0</v>
      </c>
      <c r="Z58" s="136">
        <f t="shared" si="22"/>
        <v>0</v>
      </c>
      <c r="AA58" s="136">
        <f t="shared" si="22"/>
        <v>0</v>
      </c>
      <c r="AB58" s="136">
        <f t="shared" si="22"/>
        <v>0</v>
      </c>
      <c r="AC58" s="136">
        <f t="shared" si="22"/>
        <v>0</v>
      </c>
      <c r="AD58" s="136">
        <f t="shared" si="22"/>
        <v>0</v>
      </c>
      <c r="AE58" s="136">
        <f t="shared" si="22"/>
        <v>0</v>
      </c>
      <c r="AF58" s="543">
        <f t="shared" si="22"/>
        <v>0</v>
      </c>
      <c r="AG58" s="136">
        <f t="shared" si="22"/>
        <v>0</v>
      </c>
      <c r="AH58" s="136">
        <f t="shared" si="22"/>
        <v>0</v>
      </c>
      <c r="AI58" s="136">
        <f t="shared" si="22"/>
        <v>1836073375</v>
      </c>
      <c r="AJ58" s="136"/>
      <c r="AK58" s="144"/>
    </row>
    <row r="59" spans="1:76" ht="161.25" customHeight="1" x14ac:dyDescent="0.2">
      <c r="A59" s="133"/>
      <c r="B59" s="67"/>
      <c r="C59" s="67"/>
      <c r="D59" s="67"/>
      <c r="E59" s="67"/>
      <c r="F59" s="71"/>
      <c r="G59" s="517"/>
      <c r="H59" s="512" t="s">
        <v>195</v>
      </c>
      <c r="I59" s="66" t="s">
        <v>50</v>
      </c>
      <c r="J59" s="94" t="s">
        <v>196</v>
      </c>
      <c r="K59" s="68">
        <v>4301004</v>
      </c>
      <c r="L59" s="94" t="s">
        <v>197</v>
      </c>
      <c r="M59" s="66" t="s">
        <v>50</v>
      </c>
      <c r="N59" s="94" t="s">
        <v>198</v>
      </c>
      <c r="O59" s="68">
        <v>430100401</v>
      </c>
      <c r="P59" s="94" t="s">
        <v>199</v>
      </c>
      <c r="Q59" s="517" t="s">
        <v>71</v>
      </c>
      <c r="R59" s="96">
        <v>3</v>
      </c>
      <c r="S59" s="517" t="s">
        <v>200</v>
      </c>
      <c r="T59" s="510" t="s">
        <v>201</v>
      </c>
      <c r="U59" s="510" t="s">
        <v>202</v>
      </c>
      <c r="V59" s="169">
        <f>1800000000+16073375+20000000</f>
        <v>1836073375</v>
      </c>
      <c r="W59" s="137"/>
      <c r="X59" s="137"/>
      <c r="Y59" s="137"/>
      <c r="Z59" s="137"/>
      <c r="AA59" s="137"/>
      <c r="AB59" s="137"/>
      <c r="AC59" s="137"/>
      <c r="AD59" s="137"/>
      <c r="AE59" s="137"/>
      <c r="AF59" s="189"/>
      <c r="AG59" s="137"/>
      <c r="AH59" s="137"/>
      <c r="AI59" s="138">
        <f>+V59+W59+X59+Y59+Z59+AA59+AB59+AC59+AD59+AE59+AF59+AG59+AH59</f>
        <v>1836073375</v>
      </c>
      <c r="AJ59" s="166" t="s">
        <v>163</v>
      </c>
      <c r="AK59" s="212" t="s">
        <v>1428</v>
      </c>
    </row>
    <row r="60" spans="1:76" ht="30.75" customHeight="1" x14ac:dyDescent="0.2">
      <c r="A60" s="133"/>
      <c r="B60" s="116">
        <v>3</v>
      </c>
      <c r="C60" s="116"/>
      <c r="D60" s="63" t="s">
        <v>203</v>
      </c>
      <c r="E60" s="163"/>
      <c r="F60" s="61"/>
      <c r="G60" s="61"/>
      <c r="H60" s="170"/>
      <c r="I60" s="392"/>
      <c r="J60" s="172"/>
      <c r="K60" s="171"/>
      <c r="L60" s="172"/>
      <c r="M60" s="172"/>
      <c r="N60" s="174"/>
      <c r="O60" s="173"/>
      <c r="P60" s="174"/>
      <c r="Q60" s="175"/>
      <c r="R60" s="173"/>
      <c r="S60" s="176"/>
      <c r="T60" s="174"/>
      <c r="U60" s="177"/>
      <c r="V60" s="122">
        <f>V61+V66+V70</f>
        <v>550000000.10000002</v>
      </c>
      <c r="W60" s="122">
        <f t="shared" ref="W60:AH60" si="23">W61+W66+W70</f>
        <v>0</v>
      </c>
      <c r="X60" s="122">
        <f t="shared" si="23"/>
        <v>56108067</v>
      </c>
      <c r="Y60" s="122">
        <f t="shared" si="23"/>
        <v>0</v>
      </c>
      <c r="Z60" s="122">
        <f t="shared" si="23"/>
        <v>0</v>
      </c>
      <c r="AA60" s="122">
        <f t="shared" si="23"/>
        <v>0</v>
      </c>
      <c r="AB60" s="122">
        <f t="shared" si="23"/>
        <v>0</v>
      </c>
      <c r="AC60" s="122">
        <f t="shared" si="23"/>
        <v>0</v>
      </c>
      <c r="AD60" s="122">
        <f t="shared" si="23"/>
        <v>0</v>
      </c>
      <c r="AE60" s="122">
        <f t="shared" si="23"/>
        <v>2753011221</v>
      </c>
      <c r="AF60" s="551">
        <f t="shared" si="23"/>
        <v>625000000</v>
      </c>
      <c r="AG60" s="122">
        <f t="shared" si="23"/>
        <v>0</v>
      </c>
      <c r="AH60" s="122">
        <f t="shared" si="23"/>
        <v>0</v>
      </c>
      <c r="AI60" s="122">
        <f>AI61+AI66+AI70</f>
        <v>3984119288.0999999</v>
      </c>
      <c r="AJ60" s="122">
        <f>AJ62+AJ67+AJ71+AJ73</f>
        <v>0</v>
      </c>
      <c r="AK60" s="156"/>
    </row>
    <row r="61" spans="1:76" s="9" customFormat="1" ht="27.75" customHeight="1" x14ac:dyDescent="0.25">
      <c r="A61" s="115"/>
      <c r="B61" s="67"/>
      <c r="C61" s="67"/>
      <c r="D61" s="64">
        <v>24</v>
      </c>
      <c r="E61" s="62" t="s">
        <v>204</v>
      </c>
      <c r="F61" s="123"/>
      <c r="G61" s="124"/>
      <c r="H61" s="125"/>
      <c r="I61" s="125"/>
      <c r="J61" s="127"/>
      <c r="K61" s="126"/>
      <c r="L61" s="127"/>
      <c r="M61" s="127"/>
      <c r="N61" s="129"/>
      <c r="O61" s="128"/>
      <c r="P61" s="129"/>
      <c r="Q61" s="127"/>
      <c r="R61" s="130"/>
      <c r="S61" s="128"/>
      <c r="T61" s="128"/>
      <c r="U61" s="178"/>
      <c r="V61" s="132">
        <f>V62</f>
        <v>0</v>
      </c>
      <c r="W61" s="132">
        <f t="shared" ref="W61:AI61" si="24">W62</f>
        <v>0</v>
      </c>
      <c r="X61" s="132">
        <f t="shared" si="24"/>
        <v>0</v>
      </c>
      <c r="Y61" s="132">
        <f t="shared" si="24"/>
        <v>0</v>
      </c>
      <c r="Z61" s="132">
        <f t="shared" si="24"/>
        <v>0</v>
      </c>
      <c r="AA61" s="132">
        <f t="shared" si="24"/>
        <v>0</v>
      </c>
      <c r="AB61" s="132">
        <f t="shared" si="24"/>
        <v>0</v>
      </c>
      <c r="AC61" s="132">
        <f t="shared" si="24"/>
        <v>0</v>
      </c>
      <c r="AD61" s="132">
        <f t="shared" si="24"/>
        <v>0</v>
      </c>
      <c r="AE61" s="132">
        <f t="shared" si="24"/>
        <v>0</v>
      </c>
      <c r="AF61" s="547">
        <f t="shared" si="24"/>
        <v>390000000</v>
      </c>
      <c r="AG61" s="132">
        <f t="shared" si="24"/>
        <v>0</v>
      </c>
      <c r="AH61" s="132">
        <f t="shared" si="24"/>
        <v>0</v>
      </c>
      <c r="AI61" s="132">
        <f t="shared" si="24"/>
        <v>390000000</v>
      </c>
      <c r="AJ61" s="157"/>
      <c r="AK61" s="157"/>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row>
    <row r="62" spans="1:76" ht="26.25" customHeight="1" x14ac:dyDescent="0.2">
      <c r="A62" s="133"/>
      <c r="B62" s="67"/>
      <c r="C62" s="67"/>
      <c r="D62" s="67"/>
      <c r="E62" s="67"/>
      <c r="F62" s="141">
        <v>2402</v>
      </c>
      <c r="G62" s="65" t="s">
        <v>205</v>
      </c>
      <c r="H62" s="179"/>
      <c r="I62" s="428"/>
      <c r="J62" s="181"/>
      <c r="K62" s="180"/>
      <c r="L62" s="181"/>
      <c r="M62" s="429"/>
      <c r="N62" s="183"/>
      <c r="O62" s="182"/>
      <c r="P62" s="183"/>
      <c r="Q62" s="184"/>
      <c r="R62" s="182"/>
      <c r="S62" s="185"/>
      <c r="T62" s="183"/>
      <c r="U62" s="186"/>
      <c r="V62" s="136">
        <f>SUM(V63:V65)</f>
        <v>0</v>
      </c>
      <c r="W62" s="136">
        <f t="shared" ref="W62:AI62" si="25">SUM(W63:W65)</f>
        <v>0</v>
      </c>
      <c r="X62" s="136">
        <f t="shared" si="25"/>
        <v>0</v>
      </c>
      <c r="Y62" s="136">
        <f t="shared" si="25"/>
        <v>0</v>
      </c>
      <c r="Z62" s="136">
        <f t="shared" si="25"/>
        <v>0</v>
      </c>
      <c r="AA62" s="136">
        <f t="shared" si="25"/>
        <v>0</v>
      </c>
      <c r="AB62" s="136">
        <f t="shared" si="25"/>
        <v>0</v>
      </c>
      <c r="AC62" s="136">
        <f t="shared" si="25"/>
        <v>0</v>
      </c>
      <c r="AD62" s="136">
        <f t="shared" si="25"/>
        <v>0</v>
      </c>
      <c r="AE62" s="136">
        <f t="shared" si="25"/>
        <v>0</v>
      </c>
      <c r="AF62" s="543">
        <f t="shared" si="25"/>
        <v>390000000</v>
      </c>
      <c r="AG62" s="136">
        <f t="shared" si="25"/>
        <v>0</v>
      </c>
      <c r="AH62" s="136">
        <f t="shared" si="25"/>
        <v>0</v>
      </c>
      <c r="AI62" s="136">
        <f t="shared" si="25"/>
        <v>390000000</v>
      </c>
      <c r="AJ62" s="136"/>
      <c r="AK62" s="144"/>
    </row>
    <row r="63" spans="1:76" ht="125.25" customHeight="1" x14ac:dyDescent="0.2">
      <c r="A63" s="133"/>
      <c r="B63" s="67"/>
      <c r="C63" s="67"/>
      <c r="D63" s="67"/>
      <c r="E63" s="67"/>
      <c r="F63" s="71"/>
      <c r="G63" s="517"/>
      <c r="H63" s="512" t="s">
        <v>206</v>
      </c>
      <c r="I63" s="66" t="s">
        <v>50</v>
      </c>
      <c r="J63" s="94" t="s">
        <v>207</v>
      </c>
      <c r="K63" s="68">
        <v>2402022</v>
      </c>
      <c r="L63" s="94" t="s">
        <v>208</v>
      </c>
      <c r="M63" s="66" t="s">
        <v>50</v>
      </c>
      <c r="N63" s="520" t="s">
        <v>209</v>
      </c>
      <c r="O63" s="68">
        <v>240202200</v>
      </c>
      <c r="P63" s="520" t="s">
        <v>210</v>
      </c>
      <c r="Q63" s="517" t="s">
        <v>55</v>
      </c>
      <c r="R63" s="192">
        <v>1</v>
      </c>
      <c r="S63" s="613" t="s">
        <v>211</v>
      </c>
      <c r="T63" s="606" t="s">
        <v>212</v>
      </c>
      <c r="U63" s="606" t="s">
        <v>213</v>
      </c>
      <c r="V63" s="137"/>
      <c r="W63" s="137"/>
      <c r="X63" s="188"/>
      <c r="Y63" s="137"/>
      <c r="Z63" s="137"/>
      <c r="AA63" s="137"/>
      <c r="AB63" s="137"/>
      <c r="AC63" s="137"/>
      <c r="AD63" s="137"/>
      <c r="AE63" s="137"/>
      <c r="AF63" s="189">
        <v>100000000</v>
      </c>
      <c r="AG63" s="137"/>
      <c r="AH63" s="137"/>
      <c r="AI63" s="138">
        <f>+V63+W63+X63+Y63+Z63+AA63+AB63+AC63+AD63+AE63+AF63+AG63+AH63</f>
        <v>100000000</v>
      </c>
      <c r="AJ63" s="166" t="s">
        <v>163</v>
      </c>
      <c r="AK63" s="212" t="s">
        <v>1428</v>
      </c>
    </row>
    <row r="64" spans="1:76" ht="144.75" customHeight="1" x14ac:dyDescent="0.2">
      <c r="A64" s="133"/>
      <c r="B64" s="67"/>
      <c r="C64" s="67"/>
      <c r="D64" s="67"/>
      <c r="E64" s="67"/>
      <c r="F64" s="71"/>
      <c r="G64" s="517"/>
      <c r="H64" s="520" t="s">
        <v>206</v>
      </c>
      <c r="I64" s="66" t="s">
        <v>50</v>
      </c>
      <c r="J64" s="94" t="s">
        <v>214</v>
      </c>
      <c r="K64" s="90">
        <v>2402041</v>
      </c>
      <c r="L64" s="94" t="s">
        <v>215</v>
      </c>
      <c r="M64" s="66" t="s">
        <v>50</v>
      </c>
      <c r="N64" s="520" t="s">
        <v>216</v>
      </c>
      <c r="O64" s="74">
        <v>240204100</v>
      </c>
      <c r="P64" s="520" t="s">
        <v>217</v>
      </c>
      <c r="Q64" s="517" t="s">
        <v>55</v>
      </c>
      <c r="R64" s="187">
        <v>130</v>
      </c>
      <c r="S64" s="613"/>
      <c r="T64" s="606"/>
      <c r="U64" s="606"/>
      <c r="V64" s="137"/>
      <c r="W64" s="137"/>
      <c r="X64" s="168"/>
      <c r="Y64" s="137"/>
      <c r="Z64" s="137"/>
      <c r="AA64" s="137"/>
      <c r="AB64" s="137"/>
      <c r="AC64" s="137"/>
      <c r="AD64" s="137"/>
      <c r="AE64" s="137"/>
      <c r="AF64" s="189">
        <v>250000000</v>
      </c>
      <c r="AG64" s="137"/>
      <c r="AH64" s="137"/>
      <c r="AI64" s="138">
        <f>+V64+W64+X64+Y64+Z64+AA64+AB64+AC64+AD64+AE64+AF64+AG64+AH64</f>
        <v>250000000</v>
      </c>
      <c r="AJ64" s="166" t="s">
        <v>163</v>
      </c>
      <c r="AK64" s="212" t="s">
        <v>1428</v>
      </c>
    </row>
    <row r="65" spans="1:76" ht="121.5" customHeight="1" x14ac:dyDescent="0.2">
      <c r="A65" s="133"/>
      <c r="B65" s="67"/>
      <c r="C65" s="67"/>
      <c r="D65" s="67"/>
      <c r="E65" s="67"/>
      <c r="F65" s="71"/>
      <c r="G65" s="517"/>
      <c r="H65" s="520" t="s">
        <v>206</v>
      </c>
      <c r="I65" s="68" t="s">
        <v>50</v>
      </c>
      <c r="J65" s="518" t="s">
        <v>218</v>
      </c>
      <c r="K65" s="68">
        <v>2402118</v>
      </c>
      <c r="L65" s="518" t="s">
        <v>219</v>
      </c>
      <c r="M65" s="68" t="s">
        <v>50</v>
      </c>
      <c r="N65" s="510" t="s">
        <v>220</v>
      </c>
      <c r="O65" s="68">
        <v>240211800</v>
      </c>
      <c r="P65" s="510" t="s">
        <v>221</v>
      </c>
      <c r="Q65" s="517" t="s">
        <v>71</v>
      </c>
      <c r="R65" s="96">
        <v>6</v>
      </c>
      <c r="S65" s="517" t="s">
        <v>222</v>
      </c>
      <c r="T65" s="512" t="s">
        <v>223</v>
      </c>
      <c r="U65" s="512" t="s">
        <v>224</v>
      </c>
      <c r="V65" s="137"/>
      <c r="W65" s="137"/>
      <c r="X65" s="188"/>
      <c r="Y65" s="137"/>
      <c r="Z65" s="137"/>
      <c r="AA65" s="137"/>
      <c r="AB65" s="137"/>
      <c r="AC65" s="137"/>
      <c r="AD65" s="137"/>
      <c r="AE65" s="137"/>
      <c r="AF65" s="189">
        <v>40000000</v>
      </c>
      <c r="AG65" s="137"/>
      <c r="AH65" s="137"/>
      <c r="AI65" s="138">
        <f>+V65+W65+X65+Y65+Z65+AA65+AB65+AC65+AD65+AE65+AF65+AG65+AH65</f>
        <v>40000000</v>
      </c>
      <c r="AJ65" s="166" t="s">
        <v>163</v>
      </c>
      <c r="AK65" s="212" t="s">
        <v>1428</v>
      </c>
    </row>
    <row r="66" spans="1:76" s="9" customFormat="1" ht="27.75" customHeight="1" x14ac:dyDescent="0.25">
      <c r="A66" s="115"/>
      <c r="B66" s="67"/>
      <c r="C66" s="67"/>
      <c r="D66" s="64">
        <v>32</v>
      </c>
      <c r="E66" s="62" t="s">
        <v>225</v>
      </c>
      <c r="F66" s="123"/>
      <c r="G66" s="124"/>
      <c r="H66" s="125"/>
      <c r="I66" s="125"/>
      <c r="J66" s="127"/>
      <c r="K66" s="126"/>
      <c r="L66" s="127"/>
      <c r="M66" s="127"/>
      <c r="N66" s="129"/>
      <c r="O66" s="128"/>
      <c r="P66" s="129"/>
      <c r="Q66" s="127"/>
      <c r="R66" s="130"/>
      <c r="S66" s="131"/>
      <c r="T66" s="131"/>
      <c r="U66" s="132"/>
      <c r="V66" s="132">
        <f>V67</f>
        <v>0</v>
      </c>
      <c r="W66" s="132">
        <f t="shared" ref="W66:AI66" si="26">W67</f>
        <v>0</v>
      </c>
      <c r="X66" s="132">
        <f t="shared" si="26"/>
        <v>56108067</v>
      </c>
      <c r="Y66" s="132">
        <f t="shared" si="26"/>
        <v>0</v>
      </c>
      <c r="Z66" s="132">
        <f t="shared" si="26"/>
        <v>0</v>
      </c>
      <c r="AA66" s="132">
        <f t="shared" si="26"/>
        <v>0</v>
      </c>
      <c r="AB66" s="132">
        <f t="shared" si="26"/>
        <v>0</v>
      </c>
      <c r="AC66" s="132">
        <f t="shared" si="26"/>
        <v>0</v>
      </c>
      <c r="AD66" s="132">
        <f t="shared" si="26"/>
        <v>0</v>
      </c>
      <c r="AE66" s="132">
        <f t="shared" si="26"/>
        <v>0</v>
      </c>
      <c r="AF66" s="547">
        <f t="shared" si="26"/>
        <v>215000000</v>
      </c>
      <c r="AG66" s="132">
        <f t="shared" si="26"/>
        <v>0</v>
      </c>
      <c r="AH66" s="132">
        <f t="shared" si="26"/>
        <v>0</v>
      </c>
      <c r="AI66" s="132">
        <f t="shared" si="26"/>
        <v>271108067</v>
      </c>
      <c r="AJ66" s="157"/>
      <c r="AK66" s="157"/>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row>
    <row r="67" spans="1:76" ht="28.5" customHeight="1" x14ac:dyDescent="0.2">
      <c r="A67" s="133"/>
      <c r="B67" s="67"/>
      <c r="C67" s="67"/>
      <c r="D67" s="67"/>
      <c r="E67" s="67"/>
      <c r="F67" s="141">
        <v>3205</v>
      </c>
      <c r="G67" s="65" t="s">
        <v>226</v>
      </c>
      <c r="H67" s="190"/>
      <c r="I67" s="190"/>
      <c r="J67" s="179"/>
      <c r="K67" s="190"/>
      <c r="L67" s="179"/>
      <c r="M67" s="179"/>
      <c r="N67" s="135"/>
      <c r="O67" s="141"/>
      <c r="P67" s="135"/>
      <c r="Q67" s="142"/>
      <c r="R67" s="141"/>
      <c r="S67" s="143"/>
      <c r="T67" s="135"/>
      <c r="U67" s="135"/>
      <c r="V67" s="136">
        <f>SUM(V68:V69)</f>
        <v>0</v>
      </c>
      <c r="W67" s="136">
        <f t="shared" ref="W67:AI67" si="27">SUM(W68:W69)</f>
        <v>0</v>
      </c>
      <c r="X67" s="136">
        <f t="shared" si="27"/>
        <v>56108067</v>
      </c>
      <c r="Y67" s="136">
        <f t="shared" si="27"/>
        <v>0</v>
      </c>
      <c r="Z67" s="136">
        <f t="shared" si="27"/>
        <v>0</v>
      </c>
      <c r="AA67" s="136">
        <f t="shared" si="27"/>
        <v>0</v>
      </c>
      <c r="AB67" s="136">
        <f t="shared" si="27"/>
        <v>0</v>
      </c>
      <c r="AC67" s="136">
        <f t="shared" si="27"/>
        <v>0</v>
      </c>
      <c r="AD67" s="136">
        <f t="shared" si="27"/>
        <v>0</v>
      </c>
      <c r="AE67" s="136">
        <f t="shared" si="27"/>
        <v>0</v>
      </c>
      <c r="AF67" s="543">
        <f t="shared" si="27"/>
        <v>215000000</v>
      </c>
      <c r="AG67" s="136">
        <f t="shared" si="27"/>
        <v>0</v>
      </c>
      <c r="AH67" s="136">
        <f t="shared" si="27"/>
        <v>0</v>
      </c>
      <c r="AI67" s="136">
        <f t="shared" si="27"/>
        <v>271108067</v>
      </c>
      <c r="AJ67" s="136"/>
      <c r="AK67" s="144"/>
    </row>
    <row r="68" spans="1:76" ht="135" customHeight="1" x14ac:dyDescent="0.2">
      <c r="A68" s="133"/>
      <c r="B68" s="67"/>
      <c r="C68" s="67"/>
      <c r="D68" s="67"/>
      <c r="E68" s="67"/>
      <c r="F68" s="71"/>
      <c r="G68" s="517"/>
      <c r="H68" s="512" t="s">
        <v>227</v>
      </c>
      <c r="I68" s="69">
        <v>3205010</v>
      </c>
      <c r="J68" s="512" t="s">
        <v>228</v>
      </c>
      <c r="K68" s="69">
        <v>3205010</v>
      </c>
      <c r="L68" s="512" t="s">
        <v>228</v>
      </c>
      <c r="M68" s="69" t="s">
        <v>229</v>
      </c>
      <c r="N68" s="510" t="s">
        <v>230</v>
      </c>
      <c r="O68" s="69" t="s">
        <v>229</v>
      </c>
      <c r="P68" s="510" t="s">
        <v>230</v>
      </c>
      <c r="Q68" s="88" t="s">
        <v>71</v>
      </c>
      <c r="R68" s="96">
        <v>2</v>
      </c>
      <c r="S68" s="517" t="s">
        <v>231</v>
      </c>
      <c r="T68" s="510" t="s">
        <v>232</v>
      </c>
      <c r="U68" s="510" t="s">
        <v>233</v>
      </c>
      <c r="V68" s="137" t="s">
        <v>0</v>
      </c>
      <c r="W68" s="137"/>
      <c r="X68" s="188"/>
      <c r="Y68" s="137"/>
      <c r="Z68" s="137"/>
      <c r="AA68" s="137"/>
      <c r="AB68" s="137"/>
      <c r="AC68" s="137"/>
      <c r="AD68" s="137"/>
      <c r="AE68" s="137"/>
      <c r="AF68" s="189">
        <v>100000000</v>
      </c>
      <c r="AG68" s="137"/>
      <c r="AH68" s="137"/>
      <c r="AI68" s="138">
        <f>SUM(V68:AH68)</f>
        <v>100000000</v>
      </c>
      <c r="AJ68" s="166" t="s">
        <v>163</v>
      </c>
      <c r="AK68" s="212" t="s">
        <v>1428</v>
      </c>
    </row>
    <row r="69" spans="1:76" ht="157.5" customHeight="1" x14ac:dyDescent="0.2">
      <c r="A69" s="133"/>
      <c r="B69" s="67"/>
      <c r="C69" s="67"/>
      <c r="D69" s="67"/>
      <c r="E69" s="67"/>
      <c r="F69" s="71"/>
      <c r="G69" s="517"/>
      <c r="H69" s="512" t="s">
        <v>234</v>
      </c>
      <c r="I69" s="69">
        <v>3205021</v>
      </c>
      <c r="J69" s="512" t="s">
        <v>235</v>
      </c>
      <c r="K69" s="69">
        <v>3205021</v>
      </c>
      <c r="L69" s="512" t="s">
        <v>235</v>
      </c>
      <c r="M69" s="69">
        <v>320502100</v>
      </c>
      <c r="N69" s="510" t="s">
        <v>236</v>
      </c>
      <c r="O69" s="69">
        <v>320502100</v>
      </c>
      <c r="P69" s="510" t="s">
        <v>236</v>
      </c>
      <c r="Q69" s="88" t="s">
        <v>71</v>
      </c>
      <c r="R69" s="96">
        <v>2</v>
      </c>
      <c r="S69" s="517" t="s">
        <v>237</v>
      </c>
      <c r="T69" s="510" t="s">
        <v>238</v>
      </c>
      <c r="U69" s="510" t="s">
        <v>239</v>
      </c>
      <c r="V69" s="137"/>
      <c r="W69" s="137"/>
      <c r="X69" s="188">
        <v>56108067</v>
      </c>
      <c r="Y69" s="137"/>
      <c r="Z69" s="137"/>
      <c r="AA69" s="137"/>
      <c r="AB69" s="137"/>
      <c r="AC69" s="137"/>
      <c r="AD69" s="137"/>
      <c r="AE69" s="137"/>
      <c r="AF69" s="191">
        <f>100000000+15000000</f>
        <v>115000000</v>
      </c>
      <c r="AG69" s="137"/>
      <c r="AH69" s="137"/>
      <c r="AI69" s="138">
        <f>SUM(V69:AH69)</f>
        <v>171108067</v>
      </c>
      <c r="AJ69" s="166" t="s">
        <v>163</v>
      </c>
      <c r="AK69" s="212" t="s">
        <v>1428</v>
      </c>
    </row>
    <row r="70" spans="1:76" s="9" customFormat="1" ht="23.25" customHeight="1" x14ac:dyDescent="0.25">
      <c r="A70" s="115"/>
      <c r="B70" s="67"/>
      <c r="C70" s="67"/>
      <c r="D70" s="406">
        <v>40</v>
      </c>
      <c r="E70" s="62" t="s">
        <v>240</v>
      </c>
      <c r="F70" s="123"/>
      <c r="G70" s="124"/>
      <c r="H70" s="125"/>
      <c r="I70" s="125"/>
      <c r="J70" s="127"/>
      <c r="K70" s="126"/>
      <c r="L70" s="127"/>
      <c r="M70" s="127"/>
      <c r="N70" s="129"/>
      <c r="O70" s="128"/>
      <c r="P70" s="129"/>
      <c r="Q70" s="127"/>
      <c r="R70" s="130"/>
      <c r="S70" s="131"/>
      <c r="T70" s="131"/>
      <c r="U70" s="132"/>
      <c r="V70" s="132">
        <f>V71+V73</f>
        <v>550000000.10000002</v>
      </c>
      <c r="W70" s="132">
        <f t="shared" ref="W70:AI70" si="28">W71+W73</f>
        <v>0</v>
      </c>
      <c r="X70" s="132">
        <f t="shared" si="28"/>
        <v>0</v>
      </c>
      <c r="Y70" s="132">
        <f t="shared" si="28"/>
        <v>0</v>
      </c>
      <c r="Z70" s="132">
        <f t="shared" si="28"/>
        <v>0</v>
      </c>
      <c r="AA70" s="132">
        <f t="shared" si="28"/>
        <v>0</v>
      </c>
      <c r="AB70" s="132">
        <f t="shared" si="28"/>
        <v>0</v>
      </c>
      <c r="AC70" s="132">
        <f t="shared" si="28"/>
        <v>0</v>
      </c>
      <c r="AD70" s="132">
        <f t="shared" si="28"/>
        <v>0</v>
      </c>
      <c r="AE70" s="132">
        <f t="shared" si="28"/>
        <v>2753011221</v>
      </c>
      <c r="AF70" s="132">
        <f t="shared" si="28"/>
        <v>20000000</v>
      </c>
      <c r="AG70" s="132">
        <f t="shared" si="28"/>
        <v>0</v>
      </c>
      <c r="AH70" s="132">
        <f t="shared" si="28"/>
        <v>0</v>
      </c>
      <c r="AI70" s="132">
        <f t="shared" si="28"/>
        <v>3323011221.0999999</v>
      </c>
      <c r="AJ70" s="157"/>
      <c r="AK70" s="157"/>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row>
    <row r="71" spans="1:76" ht="23.25" customHeight="1" x14ac:dyDescent="0.2">
      <c r="A71" s="133"/>
      <c r="B71" s="67"/>
      <c r="C71" s="67"/>
      <c r="D71" s="67"/>
      <c r="E71" s="67"/>
      <c r="F71" s="141">
        <v>4001</v>
      </c>
      <c r="G71" s="65" t="s">
        <v>241</v>
      </c>
      <c r="H71" s="179"/>
      <c r="I71" s="179"/>
      <c r="J71" s="140"/>
      <c r="K71" s="139"/>
      <c r="L71" s="140"/>
      <c r="M71" s="140"/>
      <c r="N71" s="135"/>
      <c r="O71" s="141"/>
      <c r="P71" s="135"/>
      <c r="Q71" s="142"/>
      <c r="R71" s="141"/>
      <c r="S71" s="143"/>
      <c r="T71" s="135"/>
      <c r="U71" s="135"/>
      <c r="V71" s="136">
        <f>V72</f>
        <v>100000000.09999999</v>
      </c>
      <c r="W71" s="136">
        <f t="shared" ref="W71:AI71" si="29">W72</f>
        <v>0</v>
      </c>
      <c r="X71" s="136">
        <f t="shared" si="29"/>
        <v>0</v>
      </c>
      <c r="Y71" s="136">
        <f t="shared" si="29"/>
        <v>0</v>
      </c>
      <c r="Z71" s="136">
        <f t="shared" si="29"/>
        <v>0</v>
      </c>
      <c r="AA71" s="136">
        <f t="shared" si="29"/>
        <v>0</v>
      </c>
      <c r="AB71" s="136">
        <f t="shared" si="29"/>
        <v>0</v>
      </c>
      <c r="AC71" s="136">
        <f t="shared" si="29"/>
        <v>0</v>
      </c>
      <c r="AD71" s="136">
        <f t="shared" si="29"/>
        <v>0</v>
      </c>
      <c r="AE71" s="136">
        <f t="shared" si="29"/>
        <v>0</v>
      </c>
      <c r="AF71" s="136">
        <f t="shared" si="29"/>
        <v>20000000</v>
      </c>
      <c r="AG71" s="136">
        <f t="shared" si="29"/>
        <v>0</v>
      </c>
      <c r="AH71" s="136">
        <f t="shared" si="29"/>
        <v>0</v>
      </c>
      <c r="AI71" s="136">
        <f t="shared" si="29"/>
        <v>120000000.09999999</v>
      </c>
      <c r="AJ71" s="136"/>
      <c r="AK71" s="144"/>
    </row>
    <row r="72" spans="1:76" ht="126.75" customHeight="1" x14ac:dyDescent="0.2">
      <c r="A72" s="133"/>
      <c r="B72" s="67"/>
      <c r="C72" s="67"/>
      <c r="D72" s="67"/>
      <c r="E72" s="67"/>
      <c r="F72" s="71"/>
      <c r="G72" s="517"/>
      <c r="H72" s="512" t="s">
        <v>242</v>
      </c>
      <c r="I72" s="70">
        <v>4001015</v>
      </c>
      <c r="J72" s="512" t="s">
        <v>243</v>
      </c>
      <c r="K72" s="70">
        <v>4001015</v>
      </c>
      <c r="L72" s="512" t="s">
        <v>243</v>
      </c>
      <c r="M72" s="88" t="s">
        <v>244</v>
      </c>
      <c r="N72" s="76" t="s">
        <v>245</v>
      </c>
      <c r="O72" s="88" t="s">
        <v>244</v>
      </c>
      <c r="P72" s="76" t="s">
        <v>245</v>
      </c>
      <c r="Q72" s="517" t="s">
        <v>71</v>
      </c>
      <c r="R72" s="96">
        <v>50</v>
      </c>
      <c r="S72" s="517" t="s">
        <v>246</v>
      </c>
      <c r="T72" s="510" t="s">
        <v>247</v>
      </c>
      <c r="U72" s="510" t="s">
        <v>248</v>
      </c>
      <c r="V72" s="137">
        <v>100000000.09999999</v>
      </c>
      <c r="W72" s="137"/>
      <c r="X72" s="188"/>
      <c r="Y72" s="137"/>
      <c r="Z72" s="137"/>
      <c r="AA72" s="137"/>
      <c r="AB72" s="137"/>
      <c r="AC72" s="137"/>
      <c r="AD72" s="137"/>
      <c r="AE72" s="137"/>
      <c r="AF72" s="150">
        <v>20000000</v>
      </c>
      <c r="AG72" s="137"/>
      <c r="AH72" s="137"/>
      <c r="AI72" s="138">
        <f>+V72+W72+X72+Y72+Z72+AA72+AB72+AC72+AD72+AE72+AF72+AG72+AH72</f>
        <v>120000000.09999999</v>
      </c>
      <c r="AJ72" s="166" t="s">
        <v>163</v>
      </c>
      <c r="AK72" s="212" t="s">
        <v>1428</v>
      </c>
    </row>
    <row r="73" spans="1:76" ht="27" customHeight="1" x14ac:dyDescent="0.2">
      <c r="A73" s="133"/>
      <c r="B73" s="67"/>
      <c r="C73" s="67"/>
      <c r="D73" s="67"/>
      <c r="E73" s="67"/>
      <c r="F73" s="141">
        <v>4003</v>
      </c>
      <c r="G73" s="65" t="s">
        <v>249</v>
      </c>
      <c r="H73" s="179"/>
      <c r="I73" s="179"/>
      <c r="J73" s="140"/>
      <c r="K73" s="139"/>
      <c r="L73" s="140"/>
      <c r="M73" s="140"/>
      <c r="N73" s="135"/>
      <c r="O73" s="141"/>
      <c r="P73" s="135"/>
      <c r="Q73" s="142"/>
      <c r="R73" s="141"/>
      <c r="S73" s="143"/>
      <c r="T73" s="135"/>
      <c r="U73" s="135"/>
      <c r="V73" s="136">
        <f>SUM(V74:V79)</f>
        <v>450000000</v>
      </c>
      <c r="W73" s="136">
        <f t="shared" ref="W73:AI73" si="30">SUM(W74:W79)</f>
        <v>0</v>
      </c>
      <c r="X73" s="136">
        <f t="shared" si="30"/>
        <v>0</v>
      </c>
      <c r="Y73" s="136">
        <f t="shared" si="30"/>
        <v>0</v>
      </c>
      <c r="Z73" s="136">
        <f t="shared" si="30"/>
        <v>0</v>
      </c>
      <c r="AA73" s="136">
        <f t="shared" si="30"/>
        <v>0</v>
      </c>
      <c r="AB73" s="136">
        <f t="shared" si="30"/>
        <v>0</v>
      </c>
      <c r="AC73" s="136">
        <f t="shared" si="30"/>
        <v>0</v>
      </c>
      <c r="AD73" s="136">
        <f t="shared" si="30"/>
        <v>0</v>
      </c>
      <c r="AE73" s="136">
        <f t="shared" si="30"/>
        <v>2753011221</v>
      </c>
      <c r="AF73" s="136">
        <f t="shared" si="30"/>
        <v>0</v>
      </c>
      <c r="AG73" s="136">
        <f t="shared" si="30"/>
        <v>0</v>
      </c>
      <c r="AH73" s="136">
        <f t="shared" si="30"/>
        <v>0</v>
      </c>
      <c r="AI73" s="136">
        <f t="shared" si="30"/>
        <v>3203011221</v>
      </c>
      <c r="AJ73" s="136">
        <f>SUM(AJ74:AJ79)</f>
        <v>0</v>
      </c>
      <c r="AK73" s="144">
        <f>SUM(AK74:AK79)</f>
        <v>0</v>
      </c>
    </row>
    <row r="74" spans="1:76" ht="117" customHeight="1" x14ac:dyDescent="0.2">
      <c r="A74" s="133"/>
      <c r="B74" s="67"/>
      <c r="C74" s="67"/>
      <c r="D74" s="67"/>
      <c r="E74" s="67"/>
      <c r="F74" s="71"/>
      <c r="G74" s="78"/>
      <c r="H74" s="520" t="s">
        <v>250</v>
      </c>
      <c r="I74" s="69" t="s">
        <v>50</v>
      </c>
      <c r="J74" s="518" t="s">
        <v>251</v>
      </c>
      <c r="K74" s="68">
        <v>4003006</v>
      </c>
      <c r="L74" s="518" t="s">
        <v>252</v>
      </c>
      <c r="M74" s="69" t="s">
        <v>50</v>
      </c>
      <c r="N74" s="516" t="s">
        <v>253</v>
      </c>
      <c r="O74" s="68">
        <v>400300600</v>
      </c>
      <c r="P74" s="516" t="s">
        <v>254</v>
      </c>
      <c r="Q74" s="91" t="s">
        <v>55</v>
      </c>
      <c r="R74" s="187">
        <v>1</v>
      </c>
      <c r="S74" s="612" t="s">
        <v>255</v>
      </c>
      <c r="T74" s="625" t="s">
        <v>256</v>
      </c>
      <c r="U74" s="615" t="s">
        <v>257</v>
      </c>
      <c r="V74" s="137"/>
      <c r="W74" s="137"/>
      <c r="X74" s="188"/>
      <c r="Y74" s="137"/>
      <c r="Z74" s="137"/>
      <c r="AA74" s="137"/>
      <c r="AB74" s="137"/>
      <c r="AC74" s="137"/>
      <c r="AD74" s="137"/>
      <c r="AE74" s="137">
        <v>100000000</v>
      </c>
      <c r="AF74" s="150"/>
      <c r="AG74" s="137"/>
      <c r="AH74" s="137"/>
      <c r="AI74" s="138">
        <f t="shared" ref="AI74:AI79" si="31">+V74+W74+X74+Y74+Z74+AA74+AB74+AC74+AD74+AE74+AF74+AG74+AH74</f>
        <v>100000000</v>
      </c>
      <c r="AJ74" s="166" t="s">
        <v>163</v>
      </c>
      <c r="AK74" s="212" t="s">
        <v>1428</v>
      </c>
    </row>
    <row r="75" spans="1:76" ht="60" customHeight="1" x14ac:dyDescent="0.2">
      <c r="A75" s="133"/>
      <c r="B75" s="67"/>
      <c r="C75" s="67"/>
      <c r="D75" s="67"/>
      <c r="E75" s="67"/>
      <c r="F75" s="71"/>
      <c r="G75" s="78"/>
      <c r="H75" s="520" t="s">
        <v>258</v>
      </c>
      <c r="I75" s="69">
        <v>4003018</v>
      </c>
      <c r="J75" s="520" t="s">
        <v>259</v>
      </c>
      <c r="K75" s="69">
        <v>4003018</v>
      </c>
      <c r="L75" s="520" t="s">
        <v>259</v>
      </c>
      <c r="M75" s="69">
        <v>400301802</v>
      </c>
      <c r="N75" s="93" t="s">
        <v>260</v>
      </c>
      <c r="O75" s="69">
        <v>400301802</v>
      </c>
      <c r="P75" s="93" t="s">
        <v>260</v>
      </c>
      <c r="Q75" s="517" t="s">
        <v>71</v>
      </c>
      <c r="R75" s="187">
        <v>1</v>
      </c>
      <c r="S75" s="612"/>
      <c r="T75" s="625"/>
      <c r="U75" s="615"/>
      <c r="V75" s="137"/>
      <c r="W75" s="137"/>
      <c r="X75" s="188"/>
      <c r="Y75" s="137"/>
      <c r="Z75" s="137"/>
      <c r="AA75" s="137"/>
      <c r="AB75" s="137"/>
      <c r="AC75" s="137"/>
      <c r="AD75" s="137"/>
      <c r="AE75" s="137">
        <v>729000000</v>
      </c>
      <c r="AF75" s="150"/>
      <c r="AG75" s="137"/>
      <c r="AH75" s="137"/>
      <c r="AI75" s="138">
        <f t="shared" si="31"/>
        <v>729000000</v>
      </c>
      <c r="AJ75" s="166" t="s">
        <v>163</v>
      </c>
      <c r="AK75" s="212" t="s">
        <v>1428</v>
      </c>
    </row>
    <row r="76" spans="1:76" ht="67.5" customHeight="1" x14ac:dyDescent="0.2">
      <c r="A76" s="133"/>
      <c r="B76" s="67"/>
      <c r="C76" s="67"/>
      <c r="D76" s="67"/>
      <c r="E76" s="67"/>
      <c r="F76" s="71"/>
      <c r="G76" s="78"/>
      <c r="H76" s="520" t="s">
        <v>250</v>
      </c>
      <c r="I76" s="69">
        <v>4003025</v>
      </c>
      <c r="J76" s="520" t="s">
        <v>261</v>
      </c>
      <c r="K76" s="69">
        <v>4003025</v>
      </c>
      <c r="L76" s="520" t="s">
        <v>261</v>
      </c>
      <c r="M76" s="192">
        <v>400302500</v>
      </c>
      <c r="N76" s="193" t="s">
        <v>262</v>
      </c>
      <c r="O76" s="192">
        <v>400302500</v>
      </c>
      <c r="P76" s="193" t="s">
        <v>262</v>
      </c>
      <c r="Q76" s="192" t="s">
        <v>71</v>
      </c>
      <c r="R76" s="187">
        <v>4</v>
      </c>
      <c r="S76" s="612"/>
      <c r="T76" s="625"/>
      <c r="U76" s="615"/>
      <c r="V76" s="137">
        <v>450000000</v>
      </c>
      <c r="W76" s="137"/>
      <c r="X76" s="188"/>
      <c r="Y76" s="137"/>
      <c r="Z76" s="137"/>
      <c r="AA76" s="137"/>
      <c r="AB76" s="137"/>
      <c r="AC76" s="137"/>
      <c r="AD76" s="137"/>
      <c r="AE76" s="137">
        <v>230774762</v>
      </c>
      <c r="AF76" s="150"/>
      <c r="AG76" s="137"/>
      <c r="AH76" s="137"/>
      <c r="AI76" s="138">
        <f t="shared" si="31"/>
        <v>680774762</v>
      </c>
      <c r="AJ76" s="166" t="s">
        <v>163</v>
      </c>
      <c r="AK76" s="212" t="s">
        <v>1428</v>
      </c>
    </row>
    <row r="77" spans="1:76" ht="72" customHeight="1" x14ac:dyDescent="0.2">
      <c r="A77" s="133"/>
      <c r="B77" s="67"/>
      <c r="C77" s="67"/>
      <c r="D77" s="67"/>
      <c r="E77" s="67"/>
      <c r="F77" s="71"/>
      <c r="G77" s="78"/>
      <c r="H77" s="520" t="s">
        <v>250</v>
      </c>
      <c r="I77" s="69">
        <v>4003028</v>
      </c>
      <c r="J77" s="520" t="s">
        <v>263</v>
      </c>
      <c r="K77" s="69">
        <v>4003028</v>
      </c>
      <c r="L77" s="520" t="s">
        <v>263</v>
      </c>
      <c r="M77" s="69">
        <v>400302801</v>
      </c>
      <c r="N77" s="93" t="s">
        <v>264</v>
      </c>
      <c r="O77" s="69">
        <v>400302801</v>
      </c>
      <c r="P77" s="93" t="s">
        <v>264</v>
      </c>
      <c r="Q77" s="517" t="s">
        <v>55</v>
      </c>
      <c r="R77" s="187">
        <v>4</v>
      </c>
      <c r="S77" s="612"/>
      <c r="T77" s="625"/>
      <c r="U77" s="615"/>
      <c r="V77" s="137"/>
      <c r="W77" s="137"/>
      <c r="X77" s="188"/>
      <c r="Y77" s="137"/>
      <c r="Z77" s="137"/>
      <c r="AA77" s="137"/>
      <c r="AB77" s="137"/>
      <c r="AC77" s="137"/>
      <c r="AD77" s="137"/>
      <c r="AE77" s="137">
        <v>279000000</v>
      </c>
      <c r="AF77" s="150"/>
      <c r="AG77" s="137"/>
      <c r="AH77" s="137"/>
      <c r="AI77" s="138">
        <f t="shared" si="31"/>
        <v>279000000</v>
      </c>
      <c r="AJ77" s="166" t="s">
        <v>163</v>
      </c>
      <c r="AK77" s="212" t="s">
        <v>1428</v>
      </c>
    </row>
    <row r="78" spans="1:76" ht="78.75" customHeight="1" x14ac:dyDescent="0.2">
      <c r="A78" s="133"/>
      <c r="B78" s="67"/>
      <c r="C78" s="67"/>
      <c r="D78" s="67"/>
      <c r="E78" s="67"/>
      <c r="F78" s="71"/>
      <c r="G78" s="78"/>
      <c r="H78" s="520" t="s">
        <v>250</v>
      </c>
      <c r="I78" s="69">
        <v>4003042</v>
      </c>
      <c r="J78" s="520" t="s">
        <v>265</v>
      </c>
      <c r="K78" s="69">
        <v>4003042</v>
      </c>
      <c r="L78" s="520" t="s">
        <v>265</v>
      </c>
      <c r="M78" s="69">
        <v>400304200</v>
      </c>
      <c r="N78" s="93" t="s">
        <v>266</v>
      </c>
      <c r="O78" s="69">
        <v>400304200</v>
      </c>
      <c r="P78" s="93" t="s">
        <v>266</v>
      </c>
      <c r="Q78" s="517" t="s">
        <v>71</v>
      </c>
      <c r="R78" s="187">
        <v>3</v>
      </c>
      <c r="S78" s="612"/>
      <c r="T78" s="625"/>
      <c r="U78" s="615"/>
      <c r="V78" s="137"/>
      <c r="W78" s="137"/>
      <c r="X78" s="188"/>
      <c r="Y78" s="137"/>
      <c r="Z78" s="137"/>
      <c r="AA78" s="137"/>
      <c r="AB78" s="137"/>
      <c r="AC78" s="137"/>
      <c r="AD78" s="137"/>
      <c r="AE78" s="137">
        <v>629000000</v>
      </c>
      <c r="AF78" s="150"/>
      <c r="AG78" s="137"/>
      <c r="AH78" s="137"/>
      <c r="AI78" s="138">
        <f t="shared" si="31"/>
        <v>629000000</v>
      </c>
      <c r="AJ78" s="166" t="s">
        <v>163</v>
      </c>
      <c r="AK78" s="212" t="s">
        <v>1428</v>
      </c>
    </row>
    <row r="79" spans="1:76" ht="89.25" customHeight="1" x14ac:dyDescent="0.2">
      <c r="A79" s="133"/>
      <c r="B79" s="67"/>
      <c r="C79" s="67"/>
      <c r="D79" s="67"/>
      <c r="E79" s="67"/>
      <c r="F79" s="71"/>
      <c r="G79" s="78"/>
      <c r="H79" s="520" t="s">
        <v>250</v>
      </c>
      <c r="I79" s="69" t="s">
        <v>267</v>
      </c>
      <c r="J79" s="520" t="s">
        <v>268</v>
      </c>
      <c r="K79" s="69" t="s">
        <v>267</v>
      </c>
      <c r="L79" s="520" t="s">
        <v>268</v>
      </c>
      <c r="M79" s="192">
        <v>400302600</v>
      </c>
      <c r="N79" s="193" t="s">
        <v>269</v>
      </c>
      <c r="O79" s="192">
        <v>400302600</v>
      </c>
      <c r="P79" s="193" t="s">
        <v>269</v>
      </c>
      <c r="Q79" s="192" t="s">
        <v>71</v>
      </c>
      <c r="R79" s="187">
        <v>1</v>
      </c>
      <c r="S79" s="612"/>
      <c r="T79" s="625"/>
      <c r="U79" s="615"/>
      <c r="V79" s="137"/>
      <c r="W79" s="137"/>
      <c r="X79" s="188"/>
      <c r="Y79" s="137"/>
      <c r="Z79" s="137"/>
      <c r="AA79" s="137"/>
      <c r="AB79" s="137"/>
      <c r="AC79" s="137"/>
      <c r="AD79" s="137"/>
      <c r="AE79" s="137">
        <v>785236459</v>
      </c>
      <c r="AF79" s="150"/>
      <c r="AG79" s="137"/>
      <c r="AH79" s="137"/>
      <c r="AI79" s="138">
        <f t="shared" si="31"/>
        <v>785236459</v>
      </c>
      <c r="AJ79" s="166" t="s">
        <v>163</v>
      </c>
      <c r="AK79" s="212" t="s">
        <v>1428</v>
      </c>
    </row>
    <row r="80" spans="1:76" ht="24.75" customHeight="1" x14ac:dyDescent="0.2">
      <c r="A80" s="133"/>
      <c r="B80" s="116">
        <v>4</v>
      </c>
      <c r="C80" s="116"/>
      <c r="D80" s="61" t="s">
        <v>46</v>
      </c>
      <c r="E80" s="163"/>
      <c r="F80" s="61" t="s">
        <v>46</v>
      </c>
      <c r="G80" s="61"/>
      <c r="H80" s="61"/>
      <c r="I80" s="61"/>
      <c r="J80" s="118"/>
      <c r="K80" s="117"/>
      <c r="L80" s="118"/>
      <c r="M80" s="118"/>
      <c r="N80" s="119"/>
      <c r="O80" s="116"/>
      <c r="P80" s="119"/>
      <c r="Q80" s="120"/>
      <c r="R80" s="116"/>
      <c r="S80" s="121"/>
      <c r="T80" s="119"/>
      <c r="U80" s="119"/>
      <c r="V80" s="122">
        <f>V81</f>
        <v>0</v>
      </c>
      <c r="W80" s="122">
        <f t="shared" ref="W80:AH80" si="32">W81</f>
        <v>0</v>
      </c>
      <c r="X80" s="122">
        <f t="shared" si="32"/>
        <v>0</v>
      </c>
      <c r="Y80" s="122">
        <f t="shared" si="32"/>
        <v>0</v>
      </c>
      <c r="Z80" s="122">
        <f t="shared" si="32"/>
        <v>0</v>
      </c>
      <c r="AA80" s="122">
        <f t="shared" si="32"/>
        <v>0</v>
      </c>
      <c r="AB80" s="122">
        <f t="shared" si="32"/>
        <v>0</v>
      </c>
      <c r="AC80" s="122">
        <f t="shared" si="32"/>
        <v>0</v>
      </c>
      <c r="AD80" s="122">
        <f t="shared" si="32"/>
        <v>0</v>
      </c>
      <c r="AE80" s="122">
        <f t="shared" si="32"/>
        <v>0</v>
      </c>
      <c r="AF80" s="122">
        <f t="shared" si="32"/>
        <v>78000000</v>
      </c>
      <c r="AG80" s="122">
        <f t="shared" si="32"/>
        <v>0</v>
      </c>
      <c r="AH80" s="122">
        <f t="shared" si="32"/>
        <v>0</v>
      </c>
      <c r="AI80" s="122">
        <f>AI81</f>
        <v>78000000</v>
      </c>
      <c r="AJ80" s="122"/>
      <c r="AK80" s="156"/>
    </row>
    <row r="81" spans="1:77" s="9" customFormat="1" ht="24.75" customHeight="1" x14ac:dyDescent="0.25">
      <c r="A81" s="115"/>
      <c r="B81" s="67"/>
      <c r="C81" s="67"/>
      <c r="D81" s="64">
        <v>45</v>
      </c>
      <c r="E81" s="62" t="s">
        <v>47</v>
      </c>
      <c r="F81" s="123"/>
      <c r="G81" s="124"/>
      <c r="H81" s="125"/>
      <c r="I81" s="125"/>
      <c r="J81" s="127"/>
      <c r="K81" s="126"/>
      <c r="L81" s="127"/>
      <c r="M81" s="127"/>
      <c r="N81" s="129"/>
      <c r="O81" s="128"/>
      <c r="P81" s="129"/>
      <c r="Q81" s="127"/>
      <c r="R81" s="130"/>
      <c r="S81" s="131"/>
      <c r="T81" s="131"/>
      <c r="U81" s="132"/>
      <c r="V81" s="132">
        <f>V82+V84</f>
        <v>0</v>
      </c>
      <c r="W81" s="132">
        <f t="shared" ref="W81:AI81" si="33">W82+W84</f>
        <v>0</v>
      </c>
      <c r="X81" s="132">
        <f t="shared" si="33"/>
        <v>0</v>
      </c>
      <c r="Y81" s="132">
        <f t="shared" si="33"/>
        <v>0</v>
      </c>
      <c r="Z81" s="132">
        <f t="shared" si="33"/>
        <v>0</v>
      </c>
      <c r="AA81" s="132">
        <f t="shared" si="33"/>
        <v>0</v>
      </c>
      <c r="AB81" s="132">
        <f t="shared" si="33"/>
        <v>0</v>
      </c>
      <c r="AC81" s="132">
        <f t="shared" si="33"/>
        <v>0</v>
      </c>
      <c r="AD81" s="132">
        <f t="shared" si="33"/>
        <v>0</v>
      </c>
      <c r="AE81" s="132">
        <f t="shared" si="33"/>
        <v>0</v>
      </c>
      <c r="AF81" s="132">
        <f t="shared" si="33"/>
        <v>78000000</v>
      </c>
      <c r="AG81" s="132">
        <f t="shared" si="33"/>
        <v>0</v>
      </c>
      <c r="AH81" s="132">
        <f t="shared" si="33"/>
        <v>0</v>
      </c>
      <c r="AI81" s="132">
        <f t="shared" si="33"/>
        <v>78000000</v>
      </c>
      <c r="AJ81" s="157"/>
      <c r="AK81" s="157"/>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row>
    <row r="82" spans="1:77" ht="24.75" customHeight="1" x14ac:dyDescent="0.2">
      <c r="A82" s="133"/>
      <c r="B82" s="67"/>
      <c r="C82" s="67"/>
      <c r="D82" s="67"/>
      <c r="E82" s="67"/>
      <c r="F82" s="141">
        <v>4599</v>
      </c>
      <c r="G82" s="65" t="s">
        <v>48</v>
      </c>
      <c r="H82" s="179"/>
      <c r="I82" s="179"/>
      <c r="J82" s="140"/>
      <c r="K82" s="195"/>
      <c r="L82" s="140"/>
      <c r="M82" s="140"/>
      <c r="N82" s="135"/>
      <c r="O82" s="141"/>
      <c r="P82" s="135"/>
      <c r="Q82" s="142"/>
      <c r="R82" s="141"/>
      <c r="S82" s="143"/>
      <c r="T82" s="135"/>
      <c r="U82" s="135"/>
      <c r="V82" s="136">
        <f>V83</f>
        <v>0</v>
      </c>
      <c r="W82" s="136">
        <f t="shared" ref="W82:AI82" si="34">W83</f>
        <v>0</v>
      </c>
      <c r="X82" s="136">
        <f t="shared" si="34"/>
        <v>0</v>
      </c>
      <c r="Y82" s="136">
        <f t="shared" si="34"/>
        <v>0</v>
      </c>
      <c r="Z82" s="136">
        <f t="shared" si="34"/>
        <v>0</v>
      </c>
      <c r="AA82" s="136">
        <f t="shared" si="34"/>
        <v>0</v>
      </c>
      <c r="AB82" s="136">
        <f t="shared" si="34"/>
        <v>0</v>
      </c>
      <c r="AC82" s="136">
        <f t="shared" si="34"/>
        <v>0</v>
      </c>
      <c r="AD82" s="136">
        <f t="shared" si="34"/>
        <v>0</v>
      </c>
      <c r="AE82" s="136">
        <f t="shared" si="34"/>
        <v>0</v>
      </c>
      <c r="AF82" s="136">
        <f t="shared" si="34"/>
        <v>40000000</v>
      </c>
      <c r="AG82" s="136">
        <f t="shared" si="34"/>
        <v>0</v>
      </c>
      <c r="AH82" s="136">
        <f t="shared" si="34"/>
        <v>0</v>
      </c>
      <c r="AI82" s="136">
        <f t="shared" si="34"/>
        <v>40000000</v>
      </c>
      <c r="AJ82" s="136"/>
      <c r="AK82" s="144"/>
    </row>
    <row r="83" spans="1:77" ht="130.5" customHeight="1" x14ac:dyDescent="0.2">
      <c r="A83" s="133"/>
      <c r="B83" s="67"/>
      <c r="C83" s="67"/>
      <c r="D83" s="67"/>
      <c r="E83" s="67"/>
      <c r="F83" s="71"/>
      <c r="G83" s="91" t="s">
        <v>0</v>
      </c>
      <c r="H83" s="512" t="s">
        <v>49</v>
      </c>
      <c r="I83" s="66" t="s">
        <v>50</v>
      </c>
      <c r="J83" s="518" t="s">
        <v>270</v>
      </c>
      <c r="K83" s="74" t="s">
        <v>271</v>
      </c>
      <c r="L83" s="518" t="s">
        <v>179</v>
      </c>
      <c r="M83" s="66" t="s">
        <v>50</v>
      </c>
      <c r="N83" s="510" t="s">
        <v>272</v>
      </c>
      <c r="O83" s="74">
        <v>459901600</v>
      </c>
      <c r="P83" s="510" t="s">
        <v>179</v>
      </c>
      <c r="Q83" s="517" t="s">
        <v>55</v>
      </c>
      <c r="R83" s="96">
        <v>4</v>
      </c>
      <c r="S83" s="517" t="s">
        <v>273</v>
      </c>
      <c r="T83" s="510" t="s">
        <v>1403</v>
      </c>
      <c r="U83" s="510" t="s">
        <v>274</v>
      </c>
      <c r="V83" s="196"/>
      <c r="W83" s="137"/>
      <c r="X83" s="137"/>
      <c r="Y83" s="137"/>
      <c r="Z83" s="137"/>
      <c r="AA83" s="137"/>
      <c r="AB83" s="137"/>
      <c r="AC83" s="137"/>
      <c r="AD83" s="137"/>
      <c r="AE83" s="137"/>
      <c r="AF83" s="150">
        <v>40000000</v>
      </c>
      <c r="AG83" s="197"/>
      <c r="AH83" s="137"/>
      <c r="AI83" s="138">
        <f>+V83+W83+X83+Y83+Z83+AA83+AB83+AC83+AD83+AE83+AF83+AG83+AH83</f>
        <v>40000000</v>
      </c>
      <c r="AJ83" s="166" t="s">
        <v>163</v>
      </c>
      <c r="AK83" s="212" t="s">
        <v>1428</v>
      </c>
    </row>
    <row r="84" spans="1:77" ht="29.25" customHeight="1" x14ac:dyDescent="0.2">
      <c r="A84" s="133"/>
      <c r="B84" s="67"/>
      <c r="C84" s="67"/>
      <c r="D84" s="67"/>
      <c r="E84" s="67"/>
      <c r="F84" s="141">
        <v>4502</v>
      </c>
      <c r="G84" s="65" t="s">
        <v>74</v>
      </c>
      <c r="H84" s="179"/>
      <c r="I84" s="179"/>
      <c r="J84" s="140"/>
      <c r="K84" s="139"/>
      <c r="L84" s="140"/>
      <c r="M84" s="140"/>
      <c r="N84" s="135"/>
      <c r="O84" s="141"/>
      <c r="P84" s="135"/>
      <c r="Q84" s="142"/>
      <c r="R84" s="141"/>
      <c r="S84" s="143"/>
      <c r="T84" s="135"/>
      <c r="U84" s="135"/>
      <c r="V84" s="136">
        <f>V85</f>
        <v>0</v>
      </c>
      <c r="W84" s="136">
        <f t="shared" ref="W84:AI84" si="35">W85</f>
        <v>0</v>
      </c>
      <c r="X84" s="136">
        <f t="shared" si="35"/>
        <v>0</v>
      </c>
      <c r="Y84" s="136">
        <f t="shared" si="35"/>
        <v>0</v>
      </c>
      <c r="Z84" s="136">
        <f t="shared" si="35"/>
        <v>0</v>
      </c>
      <c r="AA84" s="136">
        <f t="shared" si="35"/>
        <v>0</v>
      </c>
      <c r="AB84" s="136">
        <f t="shared" si="35"/>
        <v>0</v>
      </c>
      <c r="AC84" s="136">
        <f t="shared" si="35"/>
        <v>0</v>
      </c>
      <c r="AD84" s="136">
        <f t="shared" si="35"/>
        <v>0</v>
      </c>
      <c r="AE84" s="136">
        <f t="shared" si="35"/>
        <v>0</v>
      </c>
      <c r="AF84" s="136">
        <f t="shared" si="35"/>
        <v>38000000</v>
      </c>
      <c r="AG84" s="136">
        <f t="shared" si="35"/>
        <v>0</v>
      </c>
      <c r="AH84" s="136">
        <f t="shared" si="35"/>
        <v>0</v>
      </c>
      <c r="AI84" s="136">
        <f t="shared" si="35"/>
        <v>38000000</v>
      </c>
      <c r="AJ84" s="136"/>
      <c r="AK84" s="144"/>
    </row>
    <row r="85" spans="1:77" ht="147.75" customHeight="1" x14ac:dyDescent="0.2">
      <c r="A85" s="133"/>
      <c r="B85" s="67"/>
      <c r="C85" s="67"/>
      <c r="D85" s="67"/>
      <c r="E85" s="67"/>
      <c r="F85" s="71"/>
      <c r="G85" s="517"/>
      <c r="H85" s="512" t="s">
        <v>84</v>
      </c>
      <c r="I85" s="69">
        <v>4502003</v>
      </c>
      <c r="J85" s="520" t="s">
        <v>275</v>
      </c>
      <c r="K85" s="69">
        <v>4502003</v>
      </c>
      <c r="L85" s="520" t="s">
        <v>276</v>
      </c>
      <c r="M85" s="69">
        <v>450200300</v>
      </c>
      <c r="N85" s="520" t="s">
        <v>275</v>
      </c>
      <c r="O85" s="69">
        <v>450200300</v>
      </c>
      <c r="P85" s="520" t="s">
        <v>275</v>
      </c>
      <c r="Q85" s="517" t="s">
        <v>71</v>
      </c>
      <c r="R85" s="96">
        <v>2</v>
      </c>
      <c r="S85" s="517" t="s">
        <v>277</v>
      </c>
      <c r="T85" s="510" t="s">
        <v>278</v>
      </c>
      <c r="U85" s="510" t="s">
        <v>279</v>
      </c>
      <c r="V85" s="196"/>
      <c r="W85" s="137"/>
      <c r="X85" s="137"/>
      <c r="Y85" s="137"/>
      <c r="Z85" s="137"/>
      <c r="AA85" s="137"/>
      <c r="AB85" s="137"/>
      <c r="AC85" s="137"/>
      <c r="AD85" s="137"/>
      <c r="AE85" s="137"/>
      <c r="AF85" s="150">
        <v>38000000</v>
      </c>
      <c r="AG85" s="133"/>
      <c r="AH85" s="137"/>
      <c r="AI85" s="138">
        <f>+V85+W85+X85+Y85+Z85+AA85+AB85+AC85+AD85+AE85+AF85+AG85+AH85</f>
        <v>38000000</v>
      </c>
      <c r="AJ85" s="166" t="s">
        <v>163</v>
      </c>
      <c r="AK85" s="212" t="s">
        <v>1428</v>
      </c>
    </row>
    <row r="86" spans="1:77" s="7" customFormat="1" ht="16.5" customHeight="1" x14ac:dyDescent="0.25">
      <c r="A86" s="457"/>
      <c r="B86" s="457"/>
      <c r="C86" s="457"/>
      <c r="D86" s="457"/>
      <c r="E86" s="457"/>
      <c r="F86" s="457"/>
      <c r="G86" s="457"/>
      <c r="H86" s="458"/>
      <c r="I86" s="457"/>
      <c r="J86" s="457"/>
      <c r="K86" s="457"/>
      <c r="L86" s="457"/>
      <c r="M86" s="457"/>
      <c r="N86" s="457"/>
      <c r="O86" s="457"/>
      <c r="P86" s="457"/>
      <c r="Q86" s="459"/>
      <c r="R86" s="457"/>
      <c r="S86" s="459"/>
      <c r="T86" s="459"/>
      <c r="U86" s="459"/>
      <c r="V86" s="460"/>
      <c r="W86" s="460"/>
      <c r="X86" s="460"/>
      <c r="Y86" s="460"/>
      <c r="Z86" s="460"/>
      <c r="AA86" s="460"/>
      <c r="AB86" s="460"/>
      <c r="AC86" s="460"/>
      <c r="AD86" s="460"/>
      <c r="AE86" s="460"/>
      <c r="AF86" s="460"/>
      <c r="AG86" s="460"/>
      <c r="AH86" s="460"/>
      <c r="AI86" s="460"/>
      <c r="AJ86" s="460"/>
      <c r="AK86" s="460"/>
    </row>
    <row r="87" spans="1:77" s="391" customFormat="1" ht="22.5" customHeight="1" x14ac:dyDescent="0.2">
      <c r="A87" s="41" t="s">
        <v>280</v>
      </c>
      <c r="B87" s="41"/>
      <c r="C87" s="41"/>
      <c r="D87" s="41"/>
      <c r="E87" s="41"/>
      <c r="F87" s="42"/>
      <c r="G87" s="43"/>
      <c r="H87" s="383"/>
      <c r="I87" s="383"/>
      <c r="J87" s="383"/>
      <c r="K87" s="386"/>
      <c r="L87" s="383"/>
      <c r="M87" s="383"/>
      <c r="N87" s="388"/>
      <c r="O87" s="387"/>
      <c r="P87" s="388"/>
      <c r="Q87" s="389"/>
      <c r="R87" s="387"/>
      <c r="S87" s="43"/>
      <c r="T87" s="388"/>
      <c r="U87" s="388"/>
      <c r="V87" s="384">
        <f t="shared" ref="V87:AI87" si="36">+V88+V112+V121</f>
        <v>0</v>
      </c>
      <c r="W87" s="384">
        <f t="shared" si="36"/>
        <v>1837447380.3299999</v>
      </c>
      <c r="X87" s="384">
        <f t="shared" si="36"/>
        <v>0</v>
      </c>
      <c r="Y87" s="384">
        <f t="shared" si="36"/>
        <v>0</v>
      </c>
      <c r="Z87" s="384">
        <f t="shared" si="36"/>
        <v>0</v>
      </c>
      <c r="AA87" s="384">
        <f t="shared" si="36"/>
        <v>0</v>
      </c>
      <c r="AB87" s="384">
        <f t="shared" si="36"/>
        <v>0</v>
      </c>
      <c r="AC87" s="384">
        <f t="shared" si="36"/>
        <v>0</v>
      </c>
      <c r="AD87" s="384">
        <f t="shared" si="36"/>
        <v>0</v>
      </c>
      <c r="AE87" s="384">
        <f t="shared" si="36"/>
        <v>0</v>
      </c>
      <c r="AF87" s="384">
        <f t="shared" si="36"/>
        <v>982000000</v>
      </c>
      <c r="AG87" s="384">
        <f t="shared" si="36"/>
        <v>0</v>
      </c>
      <c r="AH87" s="384">
        <f t="shared" si="36"/>
        <v>0</v>
      </c>
      <c r="AI87" s="384">
        <f t="shared" si="36"/>
        <v>2819447380.3299999</v>
      </c>
      <c r="AJ87" s="384"/>
      <c r="AK87" s="385"/>
      <c r="AL87" s="390"/>
      <c r="AM87" s="390"/>
      <c r="AN87" s="390"/>
      <c r="AO87" s="390"/>
      <c r="AP87" s="390"/>
      <c r="AQ87" s="390"/>
      <c r="AR87" s="390"/>
      <c r="AS87" s="390"/>
      <c r="AT87" s="390"/>
      <c r="AU87" s="390"/>
      <c r="AV87" s="390"/>
      <c r="AW87" s="390"/>
      <c r="AX87" s="390"/>
      <c r="AY87" s="390"/>
      <c r="AZ87" s="390"/>
      <c r="BA87" s="390"/>
      <c r="BB87" s="390"/>
      <c r="BC87" s="390"/>
      <c r="BD87" s="390"/>
      <c r="BE87" s="390"/>
      <c r="BF87" s="390"/>
      <c r="BG87" s="390"/>
      <c r="BH87" s="390"/>
      <c r="BI87" s="390"/>
      <c r="BJ87" s="390"/>
      <c r="BK87" s="390"/>
      <c r="BL87" s="390"/>
      <c r="BM87" s="390"/>
      <c r="BN87" s="390"/>
      <c r="BO87" s="390"/>
      <c r="BP87" s="390"/>
      <c r="BQ87" s="390"/>
      <c r="BR87" s="390"/>
      <c r="BS87" s="390"/>
      <c r="BT87" s="390"/>
      <c r="BU87" s="390"/>
      <c r="BV87" s="390"/>
      <c r="BW87" s="390"/>
      <c r="BX87" s="390"/>
      <c r="BY87" s="390"/>
    </row>
    <row r="88" spans="1:77" ht="22.5" customHeight="1" x14ac:dyDescent="0.2">
      <c r="A88" s="133"/>
      <c r="B88" s="116">
        <v>1</v>
      </c>
      <c r="C88" s="116"/>
      <c r="D88" s="63" t="s">
        <v>152</v>
      </c>
      <c r="E88" s="163"/>
      <c r="F88" s="61"/>
      <c r="G88" s="61"/>
      <c r="H88" s="61"/>
      <c r="I88" s="61"/>
      <c r="J88" s="118"/>
      <c r="K88" s="117"/>
      <c r="L88" s="118"/>
      <c r="M88" s="118"/>
      <c r="N88" s="119"/>
      <c r="O88" s="116"/>
      <c r="P88" s="119"/>
      <c r="Q88" s="198"/>
      <c r="R88" s="116"/>
      <c r="S88" s="121"/>
      <c r="T88" s="119"/>
      <c r="U88" s="119"/>
      <c r="V88" s="122">
        <f>V89+V96+V99+V108</f>
        <v>0</v>
      </c>
      <c r="W88" s="122">
        <f>W89+W96+W99+W108</f>
        <v>1837447380.3299999</v>
      </c>
      <c r="X88" s="122">
        <f t="shared" ref="X88:AH88" si="37">X89+X96+X99+X108</f>
        <v>0</v>
      </c>
      <c r="Y88" s="122">
        <f t="shared" si="37"/>
        <v>0</v>
      </c>
      <c r="Z88" s="122">
        <f t="shared" si="37"/>
        <v>0</v>
      </c>
      <c r="AA88" s="122">
        <f t="shared" si="37"/>
        <v>0</v>
      </c>
      <c r="AB88" s="122">
        <f t="shared" si="37"/>
        <v>0</v>
      </c>
      <c r="AC88" s="122">
        <f t="shared" si="37"/>
        <v>0</v>
      </c>
      <c r="AD88" s="122">
        <f t="shared" si="37"/>
        <v>0</v>
      </c>
      <c r="AE88" s="122">
        <f t="shared" si="37"/>
        <v>0</v>
      </c>
      <c r="AF88" s="122">
        <f t="shared" si="37"/>
        <v>476000000</v>
      </c>
      <c r="AG88" s="122">
        <f t="shared" si="37"/>
        <v>0</v>
      </c>
      <c r="AH88" s="122">
        <f t="shared" si="37"/>
        <v>0</v>
      </c>
      <c r="AI88" s="122">
        <f>AI89+AI96+AI99+AI108</f>
        <v>2313447380.3299999</v>
      </c>
      <c r="AJ88" s="122"/>
      <c r="AK88" s="156"/>
    </row>
    <row r="89" spans="1:77" s="9" customFormat="1" ht="22.5" customHeight="1" x14ac:dyDescent="0.25">
      <c r="A89" s="115"/>
      <c r="B89" s="67"/>
      <c r="C89" s="67"/>
      <c r="D89" s="64">
        <v>12</v>
      </c>
      <c r="E89" s="62" t="s">
        <v>153</v>
      </c>
      <c r="F89" s="62"/>
      <c r="G89" s="123"/>
      <c r="H89" s="124"/>
      <c r="I89" s="124"/>
      <c r="J89" s="126"/>
      <c r="K89" s="125"/>
      <c r="L89" s="126"/>
      <c r="M89" s="126"/>
      <c r="N89" s="128"/>
      <c r="O89" s="127"/>
      <c r="P89" s="128"/>
      <c r="Q89" s="129"/>
      <c r="R89" s="127"/>
      <c r="S89" s="199"/>
      <c r="T89" s="131"/>
      <c r="U89" s="131"/>
      <c r="V89" s="132">
        <f t="shared" ref="V89:AI89" si="38">V90+V92+V94</f>
        <v>0</v>
      </c>
      <c r="W89" s="132">
        <f t="shared" si="38"/>
        <v>0</v>
      </c>
      <c r="X89" s="132">
        <f t="shared" si="38"/>
        <v>0</v>
      </c>
      <c r="Y89" s="132">
        <f t="shared" si="38"/>
        <v>0</v>
      </c>
      <c r="Z89" s="132">
        <f t="shared" si="38"/>
        <v>0</v>
      </c>
      <c r="AA89" s="132">
        <f t="shared" si="38"/>
        <v>0</v>
      </c>
      <c r="AB89" s="132">
        <f t="shared" si="38"/>
        <v>0</v>
      </c>
      <c r="AC89" s="132">
        <f t="shared" si="38"/>
        <v>0</v>
      </c>
      <c r="AD89" s="132">
        <f t="shared" si="38"/>
        <v>0</v>
      </c>
      <c r="AE89" s="132">
        <f t="shared" si="38"/>
        <v>0</v>
      </c>
      <c r="AF89" s="132">
        <f t="shared" si="38"/>
        <v>186000000</v>
      </c>
      <c r="AG89" s="132">
        <f t="shared" si="38"/>
        <v>0</v>
      </c>
      <c r="AH89" s="132">
        <f t="shared" si="38"/>
        <v>0</v>
      </c>
      <c r="AI89" s="132">
        <f t="shared" si="38"/>
        <v>186000000</v>
      </c>
      <c r="AJ89" s="132"/>
      <c r="AK89" s="157"/>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row>
    <row r="90" spans="1:77" ht="22.5" customHeight="1" x14ac:dyDescent="0.2">
      <c r="A90" s="133"/>
      <c r="B90" s="67"/>
      <c r="C90" s="67"/>
      <c r="D90" s="67"/>
      <c r="E90" s="67"/>
      <c r="F90" s="141">
        <v>1202</v>
      </c>
      <c r="G90" s="65" t="s">
        <v>154</v>
      </c>
      <c r="H90" s="179"/>
      <c r="I90" s="179"/>
      <c r="J90" s="140"/>
      <c r="K90" s="139"/>
      <c r="L90" s="140"/>
      <c r="M90" s="140"/>
      <c r="N90" s="135"/>
      <c r="O90" s="141"/>
      <c r="P90" s="135"/>
      <c r="Q90" s="200"/>
      <c r="R90" s="141"/>
      <c r="S90" s="143"/>
      <c r="T90" s="135"/>
      <c r="U90" s="135"/>
      <c r="V90" s="201">
        <f t="shared" ref="V90:AI90" si="39">V91</f>
        <v>0</v>
      </c>
      <c r="W90" s="201">
        <f t="shared" si="39"/>
        <v>0</v>
      </c>
      <c r="X90" s="201">
        <f t="shared" si="39"/>
        <v>0</v>
      </c>
      <c r="Y90" s="201">
        <f t="shared" si="39"/>
        <v>0</v>
      </c>
      <c r="Z90" s="201">
        <f t="shared" si="39"/>
        <v>0</v>
      </c>
      <c r="AA90" s="201">
        <f t="shared" si="39"/>
        <v>0</v>
      </c>
      <c r="AB90" s="201">
        <f t="shared" si="39"/>
        <v>0</v>
      </c>
      <c r="AC90" s="201">
        <f t="shared" si="39"/>
        <v>0</v>
      </c>
      <c r="AD90" s="201">
        <f t="shared" si="39"/>
        <v>0</v>
      </c>
      <c r="AE90" s="201">
        <f t="shared" si="39"/>
        <v>0</v>
      </c>
      <c r="AF90" s="201">
        <f t="shared" si="39"/>
        <v>114000000</v>
      </c>
      <c r="AG90" s="201">
        <f t="shared" si="39"/>
        <v>0</v>
      </c>
      <c r="AH90" s="201">
        <f t="shared" si="39"/>
        <v>0</v>
      </c>
      <c r="AI90" s="201">
        <f t="shared" si="39"/>
        <v>114000000</v>
      </c>
      <c r="AJ90" s="202"/>
      <c r="AK90" s="144"/>
    </row>
    <row r="91" spans="1:77" ht="186" customHeight="1" x14ac:dyDescent="0.2">
      <c r="A91" s="133"/>
      <c r="B91" s="67"/>
      <c r="C91" s="67"/>
      <c r="D91" s="67"/>
      <c r="E91" s="67"/>
      <c r="F91" s="71"/>
      <c r="G91" s="517"/>
      <c r="H91" s="512" t="s">
        <v>155</v>
      </c>
      <c r="I91" s="66">
        <v>1202004</v>
      </c>
      <c r="J91" s="512" t="s">
        <v>281</v>
      </c>
      <c r="K91" s="66">
        <v>1202004</v>
      </c>
      <c r="L91" s="512" t="s">
        <v>281</v>
      </c>
      <c r="M91" s="69">
        <v>120200400</v>
      </c>
      <c r="N91" s="76" t="s">
        <v>120</v>
      </c>
      <c r="O91" s="69">
        <v>120200400</v>
      </c>
      <c r="P91" s="76" t="s">
        <v>120</v>
      </c>
      <c r="Q91" s="517" t="s">
        <v>55</v>
      </c>
      <c r="R91" s="96">
        <v>12</v>
      </c>
      <c r="S91" s="517" t="s">
        <v>282</v>
      </c>
      <c r="T91" s="522" t="s">
        <v>1404</v>
      </c>
      <c r="U91" s="522" t="s">
        <v>283</v>
      </c>
      <c r="V91" s="137"/>
      <c r="W91" s="203"/>
      <c r="X91" s="137"/>
      <c r="Y91" s="137"/>
      <c r="Z91" s="137"/>
      <c r="AA91" s="137"/>
      <c r="AB91" s="137"/>
      <c r="AC91" s="137"/>
      <c r="AD91" s="137"/>
      <c r="AE91" s="137"/>
      <c r="AF91" s="150">
        <v>114000000</v>
      </c>
      <c r="AG91" s="137"/>
      <c r="AH91" s="137"/>
      <c r="AI91" s="138">
        <f>+V91+W91+X91+Y91+Z91+AA91+AB91+AC91+AD91+AE91+AF91+AG91+AH91</f>
        <v>114000000</v>
      </c>
      <c r="AJ91" s="138" t="s">
        <v>284</v>
      </c>
      <c r="AK91" s="212" t="s">
        <v>1429</v>
      </c>
    </row>
    <row r="92" spans="1:77" ht="24.75" customHeight="1" x14ac:dyDescent="0.2">
      <c r="A92" s="133"/>
      <c r="B92" s="67"/>
      <c r="C92" s="67"/>
      <c r="D92" s="67"/>
      <c r="E92" s="67"/>
      <c r="F92" s="141">
        <v>1203</v>
      </c>
      <c r="G92" s="65" t="s">
        <v>285</v>
      </c>
      <c r="H92" s="179"/>
      <c r="I92" s="179"/>
      <c r="J92" s="140"/>
      <c r="K92" s="139"/>
      <c r="L92" s="140"/>
      <c r="M92" s="140"/>
      <c r="N92" s="135"/>
      <c r="O92" s="141"/>
      <c r="P92" s="135"/>
      <c r="Q92" s="200"/>
      <c r="R92" s="141"/>
      <c r="S92" s="143"/>
      <c r="T92" s="135"/>
      <c r="U92" s="135"/>
      <c r="V92" s="136">
        <f>V93</f>
        <v>0</v>
      </c>
      <c r="W92" s="136">
        <f t="shared" ref="W92:AI92" si="40">W93</f>
        <v>0</v>
      </c>
      <c r="X92" s="136">
        <f t="shared" si="40"/>
        <v>0</v>
      </c>
      <c r="Y92" s="136">
        <f t="shared" si="40"/>
        <v>0</v>
      </c>
      <c r="Z92" s="136">
        <f t="shared" si="40"/>
        <v>0</v>
      </c>
      <c r="AA92" s="136">
        <f t="shared" si="40"/>
        <v>0</v>
      </c>
      <c r="AB92" s="136">
        <f t="shared" si="40"/>
        <v>0</v>
      </c>
      <c r="AC92" s="136">
        <f t="shared" si="40"/>
        <v>0</v>
      </c>
      <c r="AD92" s="136">
        <f t="shared" si="40"/>
        <v>0</v>
      </c>
      <c r="AE92" s="136">
        <f t="shared" si="40"/>
        <v>0</v>
      </c>
      <c r="AF92" s="136">
        <f t="shared" si="40"/>
        <v>36000000</v>
      </c>
      <c r="AG92" s="136">
        <f t="shared" si="40"/>
        <v>0</v>
      </c>
      <c r="AH92" s="136">
        <f t="shared" si="40"/>
        <v>0</v>
      </c>
      <c r="AI92" s="136">
        <f t="shared" si="40"/>
        <v>36000000</v>
      </c>
      <c r="AJ92" s="204"/>
      <c r="AK92" s="144"/>
    </row>
    <row r="93" spans="1:77" ht="186" customHeight="1" x14ac:dyDescent="0.2">
      <c r="A93" s="133"/>
      <c r="B93" s="67"/>
      <c r="C93" s="67"/>
      <c r="D93" s="67"/>
      <c r="E93" s="67"/>
      <c r="F93" s="71"/>
      <c r="G93" s="517"/>
      <c r="H93" s="512" t="s">
        <v>155</v>
      </c>
      <c r="I93" s="66">
        <v>1203002</v>
      </c>
      <c r="J93" s="512" t="s">
        <v>286</v>
      </c>
      <c r="K93" s="66">
        <v>1203002</v>
      </c>
      <c r="L93" s="512" t="s">
        <v>286</v>
      </c>
      <c r="M93" s="66">
        <v>120300200</v>
      </c>
      <c r="N93" s="76" t="s">
        <v>287</v>
      </c>
      <c r="O93" s="66">
        <v>120300200</v>
      </c>
      <c r="P93" s="76" t="s">
        <v>287</v>
      </c>
      <c r="Q93" s="205" t="s">
        <v>71</v>
      </c>
      <c r="R93" s="96">
        <v>40</v>
      </c>
      <c r="S93" s="517" t="s">
        <v>288</v>
      </c>
      <c r="T93" s="522" t="s">
        <v>289</v>
      </c>
      <c r="U93" s="522" t="s">
        <v>290</v>
      </c>
      <c r="V93" s="137"/>
      <c r="W93" s="138"/>
      <c r="X93" s="137"/>
      <c r="Y93" s="137"/>
      <c r="Z93" s="137"/>
      <c r="AA93" s="137"/>
      <c r="AB93" s="137"/>
      <c r="AC93" s="137"/>
      <c r="AD93" s="137"/>
      <c r="AE93" s="137"/>
      <c r="AF93" s="150">
        <v>36000000</v>
      </c>
      <c r="AG93" s="137"/>
      <c r="AH93" s="206"/>
      <c r="AI93" s="138">
        <f>+V93+W93+X93+Y93+Z93+AA93+AB93+AC93+AD93+AE93+AF93+AG93+AH93</f>
        <v>36000000</v>
      </c>
      <c r="AJ93" s="138" t="s">
        <v>284</v>
      </c>
      <c r="AK93" s="212" t="s">
        <v>1429</v>
      </c>
    </row>
    <row r="94" spans="1:77" ht="27" customHeight="1" x14ac:dyDescent="0.2">
      <c r="A94" s="133"/>
      <c r="B94" s="67"/>
      <c r="C94" s="67"/>
      <c r="D94" s="67"/>
      <c r="E94" s="67"/>
      <c r="F94" s="141">
        <v>1206</v>
      </c>
      <c r="G94" s="65" t="s">
        <v>291</v>
      </c>
      <c r="H94" s="179"/>
      <c r="I94" s="179"/>
      <c r="J94" s="140"/>
      <c r="K94" s="139"/>
      <c r="L94" s="140"/>
      <c r="M94" s="140"/>
      <c r="N94" s="135"/>
      <c r="O94" s="141"/>
      <c r="P94" s="135"/>
      <c r="Q94" s="200"/>
      <c r="R94" s="141"/>
      <c r="S94" s="143"/>
      <c r="T94" s="135"/>
      <c r="U94" s="135"/>
      <c r="V94" s="207">
        <f>V95</f>
        <v>0</v>
      </c>
      <c r="W94" s="207">
        <f t="shared" ref="W94:AI94" si="41">W95</f>
        <v>0</v>
      </c>
      <c r="X94" s="207">
        <f t="shared" si="41"/>
        <v>0</v>
      </c>
      <c r="Y94" s="207">
        <f t="shared" si="41"/>
        <v>0</v>
      </c>
      <c r="Z94" s="207">
        <f t="shared" si="41"/>
        <v>0</v>
      </c>
      <c r="AA94" s="207">
        <f t="shared" si="41"/>
        <v>0</v>
      </c>
      <c r="AB94" s="207">
        <f t="shared" si="41"/>
        <v>0</v>
      </c>
      <c r="AC94" s="207">
        <f t="shared" si="41"/>
        <v>0</v>
      </c>
      <c r="AD94" s="207">
        <f t="shared" si="41"/>
        <v>0</v>
      </c>
      <c r="AE94" s="207">
        <f t="shared" si="41"/>
        <v>0</v>
      </c>
      <c r="AF94" s="207">
        <f t="shared" si="41"/>
        <v>36000000</v>
      </c>
      <c r="AG94" s="207">
        <f t="shared" si="41"/>
        <v>0</v>
      </c>
      <c r="AH94" s="207">
        <f t="shared" si="41"/>
        <v>0</v>
      </c>
      <c r="AI94" s="207">
        <f t="shared" si="41"/>
        <v>36000000</v>
      </c>
      <c r="AJ94" s="136"/>
      <c r="AK94" s="144"/>
    </row>
    <row r="95" spans="1:77" ht="180" customHeight="1" x14ac:dyDescent="0.2">
      <c r="A95" s="133"/>
      <c r="B95" s="67"/>
      <c r="C95" s="67"/>
      <c r="D95" s="67"/>
      <c r="E95" s="67"/>
      <c r="F95" s="71"/>
      <c r="G95" s="517"/>
      <c r="H95" s="512" t="s">
        <v>155</v>
      </c>
      <c r="I95" s="66">
        <v>1206005</v>
      </c>
      <c r="J95" s="512" t="s">
        <v>292</v>
      </c>
      <c r="K95" s="66">
        <v>1206005</v>
      </c>
      <c r="L95" s="512" t="s">
        <v>292</v>
      </c>
      <c r="M95" s="69">
        <v>120600500</v>
      </c>
      <c r="N95" s="510" t="s">
        <v>293</v>
      </c>
      <c r="O95" s="69">
        <v>120600500</v>
      </c>
      <c r="P95" s="510" t="s">
        <v>293</v>
      </c>
      <c r="Q95" s="205" t="s">
        <v>71</v>
      </c>
      <c r="R95" s="96">
        <v>20</v>
      </c>
      <c r="S95" s="517" t="s">
        <v>294</v>
      </c>
      <c r="T95" s="208" t="s">
        <v>295</v>
      </c>
      <c r="U95" s="208" t="s">
        <v>296</v>
      </c>
      <c r="V95" s="137"/>
      <c r="W95" s="209"/>
      <c r="X95" s="137"/>
      <c r="Y95" s="137"/>
      <c r="Z95" s="137"/>
      <c r="AA95" s="137"/>
      <c r="AB95" s="137"/>
      <c r="AC95" s="137"/>
      <c r="AD95" s="137"/>
      <c r="AE95" s="137"/>
      <c r="AF95" s="150">
        <v>36000000</v>
      </c>
      <c r="AG95" s="137"/>
      <c r="AH95" s="137"/>
      <c r="AI95" s="138">
        <f>+V95+W95+X95+Y95+Z95+AA95+AB95+AC95+AD95+AE95+AF95+AG95+AH95</f>
        <v>36000000</v>
      </c>
      <c r="AJ95" s="138" t="s">
        <v>284</v>
      </c>
      <c r="AK95" s="212" t="s">
        <v>1429</v>
      </c>
    </row>
    <row r="96" spans="1:77" s="9" customFormat="1" ht="25.5" customHeight="1" x14ac:dyDescent="0.25">
      <c r="A96" s="115"/>
      <c r="B96" s="67"/>
      <c r="C96" s="67"/>
      <c r="D96" s="64">
        <v>22</v>
      </c>
      <c r="E96" s="62" t="s">
        <v>173</v>
      </c>
      <c r="F96" s="62"/>
      <c r="G96" s="123"/>
      <c r="H96" s="124"/>
      <c r="I96" s="124"/>
      <c r="J96" s="126"/>
      <c r="K96" s="125"/>
      <c r="L96" s="126"/>
      <c r="M96" s="126"/>
      <c r="N96" s="128"/>
      <c r="O96" s="127"/>
      <c r="P96" s="128"/>
      <c r="Q96" s="129"/>
      <c r="R96" s="127"/>
      <c r="S96" s="199"/>
      <c r="T96" s="131"/>
      <c r="U96" s="131"/>
      <c r="V96" s="132">
        <f>V97</f>
        <v>0</v>
      </c>
      <c r="W96" s="132">
        <f t="shared" ref="W96:AI97" si="42">W97</f>
        <v>0</v>
      </c>
      <c r="X96" s="132">
        <f t="shared" si="42"/>
        <v>0</v>
      </c>
      <c r="Y96" s="132">
        <f t="shared" si="42"/>
        <v>0</v>
      </c>
      <c r="Z96" s="132">
        <f t="shared" si="42"/>
        <v>0</v>
      </c>
      <c r="AA96" s="132">
        <f t="shared" si="42"/>
        <v>0</v>
      </c>
      <c r="AB96" s="132">
        <f t="shared" si="42"/>
        <v>0</v>
      </c>
      <c r="AC96" s="132">
        <f t="shared" si="42"/>
        <v>0</v>
      </c>
      <c r="AD96" s="132">
        <f t="shared" si="42"/>
        <v>0</v>
      </c>
      <c r="AE96" s="132">
        <f t="shared" si="42"/>
        <v>0</v>
      </c>
      <c r="AF96" s="132">
        <f t="shared" si="42"/>
        <v>30000000</v>
      </c>
      <c r="AG96" s="132">
        <f t="shared" si="42"/>
        <v>0</v>
      </c>
      <c r="AH96" s="132">
        <f t="shared" si="42"/>
        <v>0</v>
      </c>
      <c r="AI96" s="132">
        <f t="shared" si="42"/>
        <v>30000000</v>
      </c>
      <c r="AJ96" s="132"/>
      <c r="AK96" s="157"/>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row>
    <row r="97" spans="1:77" ht="25.5" customHeight="1" x14ac:dyDescent="0.2">
      <c r="A97" s="133"/>
      <c r="B97" s="67"/>
      <c r="C97" s="67"/>
      <c r="D97" s="67"/>
      <c r="E97" s="67"/>
      <c r="F97" s="141">
        <v>2201</v>
      </c>
      <c r="G97" s="65" t="s">
        <v>297</v>
      </c>
      <c r="H97" s="179"/>
      <c r="I97" s="179"/>
      <c r="J97" s="140"/>
      <c r="K97" s="139"/>
      <c r="L97" s="140"/>
      <c r="M97" s="140"/>
      <c r="N97" s="135"/>
      <c r="O97" s="141"/>
      <c r="P97" s="135"/>
      <c r="Q97" s="200"/>
      <c r="R97" s="141"/>
      <c r="S97" s="143"/>
      <c r="T97" s="135"/>
      <c r="U97" s="135"/>
      <c r="V97" s="201">
        <f>V98</f>
        <v>0</v>
      </c>
      <c r="W97" s="201">
        <f t="shared" si="42"/>
        <v>0</v>
      </c>
      <c r="X97" s="201">
        <f t="shared" si="42"/>
        <v>0</v>
      </c>
      <c r="Y97" s="201">
        <f t="shared" si="42"/>
        <v>0</v>
      </c>
      <c r="Z97" s="201">
        <f t="shared" si="42"/>
        <v>0</v>
      </c>
      <c r="AA97" s="201">
        <f t="shared" si="42"/>
        <v>0</v>
      </c>
      <c r="AB97" s="201">
        <f t="shared" si="42"/>
        <v>0</v>
      </c>
      <c r="AC97" s="201">
        <f t="shared" si="42"/>
        <v>0</v>
      </c>
      <c r="AD97" s="201">
        <f t="shared" si="42"/>
        <v>0</v>
      </c>
      <c r="AE97" s="201">
        <f t="shared" si="42"/>
        <v>0</v>
      </c>
      <c r="AF97" s="201">
        <f t="shared" si="42"/>
        <v>30000000</v>
      </c>
      <c r="AG97" s="201">
        <f t="shared" si="42"/>
        <v>0</v>
      </c>
      <c r="AH97" s="201">
        <f t="shared" si="42"/>
        <v>0</v>
      </c>
      <c r="AI97" s="201">
        <f t="shared" si="42"/>
        <v>30000000</v>
      </c>
      <c r="AJ97" s="210"/>
      <c r="AK97" s="211"/>
    </row>
    <row r="98" spans="1:77" ht="129.75" customHeight="1" x14ac:dyDescent="0.2">
      <c r="A98" s="133"/>
      <c r="B98" s="67"/>
      <c r="C98" s="67"/>
      <c r="D98" s="67"/>
      <c r="E98" s="67"/>
      <c r="F98" s="71"/>
      <c r="G98" s="212"/>
      <c r="H98" s="512" t="s">
        <v>298</v>
      </c>
      <c r="I98" s="90">
        <v>2201068</v>
      </c>
      <c r="J98" s="512" t="s">
        <v>299</v>
      </c>
      <c r="K98" s="90">
        <v>2201068</v>
      </c>
      <c r="L98" s="512" t="s">
        <v>299</v>
      </c>
      <c r="M98" s="69">
        <v>220106800</v>
      </c>
      <c r="N98" s="510" t="s">
        <v>300</v>
      </c>
      <c r="O98" s="69">
        <v>220106800</v>
      </c>
      <c r="P98" s="510" t="s">
        <v>300</v>
      </c>
      <c r="Q98" s="517" t="s">
        <v>71</v>
      </c>
      <c r="R98" s="96">
        <v>70</v>
      </c>
      <c r="S98" s="517" t="s">
        <v>301</v>
      </c>
      <c r="T98" s="510" t="s">
        <v>302</v>
      </c>
      <c r="U98" s="510" t="s">
        <v>303</v>
      </c>
      <c r="V98" s="137"/>
      <c r="W98" s="137"/>
      <c r="X98" s="137"/>
      <c r="Y98" s="137"/>
      <c r="Z98" s="137"/>
      <c r="AA98" s="137"/>
      <c r="AB98" s="137"/>
      <c r="AC98" s="137"/>
      <c r="AD98" s="137"/>
      <c r="AE98" s="137"/>
      <c r="AF98" s="150">
        <v>30000000</v>
      </c>
      <c r="AG98" s="137"/>
      <c r="AH98" s="137"/>
      <c r="AI98" s="138">
        <f>+V98+W98+X98+Y98+Z98+AA98+AB98+AC98+AD98+AE98+AF98+AG98+AH98</f>
        <v>30000000</v>
      </c>
      <c r="AJ98" s="138" t="s">
        <v>284</v>
      </c>
      <c r="AK98" s="212" t="s">
        <v>1429</v>
      </c>
    </row>
    <row r="99" spans="1:77" s="9" customFormat="1" ht="24" customHeight="1" x14ac:dyDescent="0.25">
      <c r="A99" s="115"/>
      <c r="B99" s="67"/>
      <c r="C99" s="67"/>
      <c r="D99" s="406">
        <v>41</v>
      </c>
      <c r="E99" s="62" t="s">
        <v>304</v>
      </c>
      <c r="F99" s="62"/>
      <c r="G99" s="123"/>
      <c r="H99" s="124"/>
      <c r="I99" s="124"/>
      <c r="J99" s="126"/>
      <c r="K99" s="125"/>
      <c r="L99" s="126"/>
      <c r="M99" s="126"/>
      <c r="N99" s="128"/>
      <c r="O99" s="127"/>
      <c r="P99" s="128"/>
      <c r="Q99" s="129"/>
      <c r="R99" s="127"/>
      <c r="S99" s="199"/>
      <c r="T99" s="131"/>
      <c r="U99" s="131"/>
      <c r="V99" s="132">
        <f>V100+V106</f>
        <v>0</v>
      </c>
      <c r="W99" s="132">
        <f t="shared" ref="W99:AI99" si="43">W100+W106</f>
        <v>0</v>
      </c>
      <c r="X99" s="132">
        <f t="shared" si="43"/>
        <v>0</v>
      </c>
      <c r="Y99" s="132">
        <f t="shared" si="43"/>
        <v>0</v>
      </c>
      <c r="Z99" s="132">
        <f t="shared" si="43"/>
        <v>0</v>
      </c>
      <c r="AA99" s="132">
        <f t="shared" si="43"/>
        <v>0</v>
      </c>
      <c r="AB99" s="132">
        <f t="shared" si="43"/>
        <v>0</v>
      </c>
      <c r="AC99" s="132">
        <f t="shared" si="43"/>
        <v>0</v>
      </c>
      <c r="AD99" s="132">
        <f t="shared" si="43"/>
        <v>0</v>
      </c>
      <c r="AE99" s="132">
        <f t="shared" si="43"/>
        <v>0</v>
      </c>
      <c r="AF99" s="132">
        <f t="shared" si="43"/>
        <v>224000000</v>
      </c>
      <c r="AG99" s="132">
        <f t="shared" si="43"/>
        <v>0</v>
      </c>
      <c r="AH99" s="132">
        <f t="shared" si="43"/>
        <v>0</v>
      </c>
      <c r="AI99" s="132">
        <f t="shared" si="43"/>
        <v>224000000</v>
      </c>
      <c r="AJ99" s="132">
        <f>AJ100</f>
        <v>0</v>
      </c>
      <c r="AK99" s="132">
        <f>AK100</f>
        <v>0</v>
      </c>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row>
    <row r="100" spans="1:77" ht="24" customHeight="1" x14ac:dyDescent="0.2">
      <c r="A100" s="133"/>
      <c r="B100" s="67"/>
      <c r="C100" s="67"/>
      <c r="D100" s="67"/>
      <c r="E100" s="67"/>
      <c r="F100" s="141">
        <v>4101</v>
      </c>
      <c r="G100" s="65" t="s">
        <v>305</v>
      </c>
      <c r="H100" s="179"/>
      <c r="I100" s="179"/>
      <c r="J100" s="140"/>
      <c r="K100" s="139"/>
      <c r="L100" s="140"/>
      <c r="M100" s="140"/>
      <c r="N100" s="135"/>
      <c r="O100" s="141"/>
      <c r="P100" s="135"/>
      <c r="Q100" s="200"/>
      <c r="R100" s="141"/>
      <c r="S100" s="143"/>
      <c r="T100" s="135"/>
      <c r="U100" s="135"/>
      <c r="V100" s="136">
        <f>SUM(V101:V105)</f>
        <v>0</v>
      </c>
      <c r="W100" s="136">
        <f t="shared" ref="W100:AK100" si="44">SUM(W101:W105)</f>
        <v>0</v>
      </c>
      <c r="X100" s="136">
        <f t="shared" si="44"/>
        <v>0</v>
      </c>
      <c r="Y100" s="136">
        <f t="shared" si="44"/>
        <v>0</v>
      </c>
      <c r="Z100" s="136">
        <f t="shared" si="44"/>
        <v>0</v>
      </c>
      <c r="AA100" s="136">
        <f t="shared" si="44"/>
        <v>0</v>
      </c>
      <c r="AB100" s="136">
        <f t="shared" si="44"/>
        <v>0</v>
      </c>
      <c r="AC100" s="136">
        <f t="shared" si="44"/>
        <v>0</v>
      </c>
      <c r="AD100" s="136">
        <f t="shared" si="44"/>
        <v>0</v>
      </c>
      <c r="AE100" s="136">
        <f t="shared" si="44"/>
        <v>0</v>
      </c>
      <c r="AF100" s="136">
        <f t="shared" si="44"/>
        <v>206000000</v>
      </c>
      <c r="AG100" s="136">
        <f t="shared" si="44"/>
        <v>0</v>
      </c>
      <c r="AH100" s="136">
        <f t="shared" si="44"/>
        <v>0</v>
      </c>
      <c r="AI100" s="136">
        <f t="shared" si="44"/>
        <v>206000000</v>
      </c>
      <c r="AJ100" s="136">
        <f t="shared" si="44"/>
        <v>0</v>
      </c>
      <c r="AK100" s="136">
        <f t="shared" si="44"/>
        <v>0</v>
      </c>
    </row>
    <row r="101" spans="1:77" ht="140.25" customHeight="1" x14ac:dyDescent="0.2">
      <c r="A101" s="133"/>
      <c r="B101" s="67"/>
      <c r="C101" s="67"/>
      <c r="D101" s="67"/>
      <c r="E101" s="67"/>
      <c r="F101" s="66"/>
      <c r="G101" s="517"/>
      <c r="H101" s="512" t="s">
        <v>306</v>
      </c>
      <c r="I101" s="69">
        <v>4101023</v>
      </c>
      <c r="J101" s="512" t="s">
        <v>307</v>
      </c>
      <c r="K101" s="69">
        <v>4101023</v>
      </c>
      <c r="L101" s="512" t="s">
        <v>307</v>
      </c>
      <c r="M101" s="69">
        <v>410102300</v>
      </c>
      <c r="N101" s="512" t="s">
        <v>308</v>
      </c>
      <c r="O101" s="69">
        <v>410102300</v>
      </c>
      <c r="P101" s="76" t="s">
        <v>308</v>
      </c>
      <c r="Q101" s="205" t="s">
        <v>71</v>
      </c>
      <c r="R101" s="96">
        <v>500</v>
      </c>
      <c r="S101" s="613" t="s">
        <v>309</v>
      </c>
      <c r="T101" s="614" t="s">
        <v>310</v>
      </c>
      <c r="U101" s="606" t="s">
        <v>311</v>
      </c>
      <c r="V101" s="137"/>
      <c r="W101" s="137"/>
      <c r="X101" s="137"/>
      <c r="Y101" s="137"/>
      <c r="Z101" s="137"/>
      <c r="AA101" s="137"/>
      <c r="AB101" s="137"/>
      <c r="AC101" s="137"/>
      <c r="AD101" s="137"/>
      <c r="AE101" s="137"/>
      <c r="AF101" s="150">
        <v>70000000</v>
      </c>
      <c r="AG101" s="137"/>
      <c r="AH101" s="137"/>
      <c r="AI101" s="138">
        <f>+V101+W101+X101+Y101+Z101+AA101+AB101+AC101+AD101+AE101+AF101+AG101+AH101</f>
        <v>70000000</v>
      </c>
      <c r="AJ101" s="138" t="s">
        <v>284</v>
      </c>
      <c r="AK101" s="212" t="s">
        <v>1429</v>
      </c>
    </row>
    <row r="102" spans="1:77" ht="69.75" customHeight="1" x14ac:dyDescent="0.2">
      <c r="A102" s="133"/>
      <c r="B102" s="67"/>
      <c r="C102" s="67"/>
      <c r="D102" s="67"/>
      <c r="E102" s="67"/>
      <c r="F102" s="66"/>
      <c r="G102" s="517"/>
      <c r="H102" s="512" t="s">
        <v>306</v>
      </c>
      <c r="I102" s="430">
        <v>4101025</v>
      </c>
      <c r="J102" s="512" t="s">
        <v>312</v>
      </c>
      <c r="K102" s="69">
        <v>4101025</v>
      </c>
      <c r="L102" s="512" t="s">
        <v>312</v>
      </c>
      <c r="M102" s="69">
        <v>410102511</v>
      </c>
      <c r="N102" s="510" t="s">
        <v>313</v>
      </c>
      <c r="O102" s="69">
        <v>410102511</v>
      </c>
      <c r="P102" s="510" t="s">
        <v>313</v>
      </c>
      <c r="Q102" s="205" t="s">
        <v>71</v>
      </c>
      <c r="R102" s="96">
        <v>100</v>
      </c>
      <c r="S102" s="613"/>
      <c r="T102" s="614"/>
      <c r="U102" s="606"/>
      <c r="V102" s="137"/>
      <c r="W102" s="137"/>
      <c r="X102" s="137"/>
      <c r="Y102" s="137"/>
      <c r="Z102" s="137"/>
      <c r="AA102" s="137"/>
      <c r="AB102" s="137"/>
      <c r="AC102" s="137"/>
      <c r="AD102" s="137"/>
      <c r="AE102" s="137"/>
      <c r="AF102" s="150">
        <v>40000000</v>
      </c>
      <c r="AG102" s="137"/>
      <c r="AH102" s="137"/>
      <c r="AI102" s="138">
        <f>+V102+W102+X102+Y102+Z102+AA102+AB102+AC102+AD102+AE102+AF102+AG102+AH102</f>
        <v>40000000</v>
      </c>
      <c r="AJ102" s="138" t="s">
        <v>284</v>
      </c>
      <c r="AK102" s="212" t="s">
        <v>1429</v>
      </c>
    </row>
    <row r="103" spans="1:77" ht="69" customHeight="1" x14ac:dyDescent="0.2">
      <c r="A103" s="133"/>
      <c r="B103" s="67"/>
      <c r="C103" s="67"/>
      <c r="D103" s="67"/>
      <c r="E103" s="67"/>
      <c r="F103" s="66"/>
      <c r="G103" s="517"/>
      <c r="H103" s="512" t="s">
        <v>306</v>
      </c>
      <c r="I103" s="69">
        <v>4101038</v>
      </c>
      <c r="J103" s="512" t="s">
        <v>314</v>
      </c>
      <c r="K103" s="69">
        <v>4101038</v>
      </c>
      <c r="L103" s="512" t="s">
        <v>314</v>
      </c>
      <c r="M103" s="69">
        <v>410103800</v>
      </c>
      <c r="N103" s="510" t="s">
        <v>315</v>
      </c>
      <c r="O103" s="69">
        <v>410103800</v>
      </c>
      <c r="P103" s="510" t="s">
        <v>315</v>
      </c>
      <c r="Q103" s="205" t="s">
        <v>71</v>
      </c>
      <c r="R103" s="96">
        <v>12</v>
      </c>
      <c r="S103" s="613"/>
      <c r="T103" s="614"/>
      <c r="U103" s="606"/>
      <c r="V103" s="137"/>
      <c r="W103" s="137"/>
      <c r="X103" s="137"/>
      <c r="Y103" s="137"/>
      <c r="Z103" s="137"/>
      <c r="AA103" s="137"/>
      <c r="AB103" s="137"/>
      <c r="AC103" s="137"/>
      <c r="AD103" s="137"/>
      <c r="AE103" s="137"/>
      <c r="AF103" s="150">
        <v>41000000</v>
      </c>
      <c r="AG103" s="137"/>
      <c r="AH103" s="137"/>
      <c r="AI103" s="138">
        <f>+V103+W103+X103+Y103+Z103+AA103+AB103+AC103+AD103+AE103+AF103+AG103+AH103</f>
        <v>41000000</v>
      </c>
      <c r="AJ103" s="138" t="s">
        <v>284</v>
      </c>
      <c r="AK103" s="212" t="s">
        <v>1429</v>
      </c>
    </row>
    <row r="104" spans="1:77" ht="109.5" customHeight="1" x14ac:dyDescent="0.2">
      <c r="A104" s="133"/>
      <c r="B104" s="67"/>
      <c r="C104" s="67"/>
      <c r="D104" s="67"/>
      <c r="E104" s="67"/>
      <c r="F104" s="66"/>
      <c r="G104" s="517"/>
      <c r="H104" s="512" t="s">
        <v>316</v>
      </c>
      <c r="I104" s="69">
        <v>4101073</v>
      </c>
      <c r="J104" s="512" t="s">
        <v>317</v>
      </c>
      <c r="K104" s="69">
        <v>4101073</v>
      </c>
      <c r="L104" s="512" t="s">
        <v>317</v>
      </c>
      <c r="M104" s="69">
        <v>410107300</v>
      </c>
      <c r="N104" s="510" t="s">
        <v>318</v>
      </c>
      <c r="O104" s="69">
        <v>410107300</v>
      </c>
      <c r="P104" s="510" t="s">
        <v>318</v>
      </c>
      <c r="Q104" s="88" t="s">
        <v>71</v>
      </c>
      <c r="R104" s="96">
        <v>30</v>
      </c>
      <c r="S104" s="613"/>
      <c r="T104" s="614"/>
      <c r="U104" s="606"/>
      <c r="V104" s="137"/>
      <c r="W104" s="137"/>
      <c r="X104" s="137"/>
      <c r="Y104" s="137"/>
      <c r="Z104" s="137"/>
      <c r="AA104" s="137"/>
      <c r="AB104" s="137"/>
      <c r="AC104" s="137"/>
      <c r="AD104" s="137"/>
      <c r="AE104" s="137"/>
      <c r="AF104" s="150">
        <v>40000000</v>
      </c>
      <c r="AG104" s="137"/>
      <c r="AH104" s="137"/>
      <c r="AI104" s="138">
        <f>+V104+W104+X104+Y104+Z104+AA104+AB104+AC104+AD104+AE104+AF104+AG104+AH104</f>
        <v>40000000</v>
      </c>
      <c r="AJ104" s="138" t="s">
        <v>284</v>
      </c>
      <c r="AK104" s="212" t="s">
        <v>1429</v>
      </c>
    </row>
    <row r="105" spans="1:77" ht="60" x14ac:dyDescent="0.2">
      <c r="A105" s="133"/>
      <c r="B105" s="67"/>
      <c r="C105" s="67"/>
      <c r="D105" s="67"/>
      <c r="E105" s="67"/>
      <c r="F105" s="66"/>
      <c r="G105" s="517"/>
      <c r="H105" s="512" t="s">
        <v>319</v>
      </c>
      <c r="I105" s="69">
        <v>4101011</v>
      </c>
      <c r="J105" s="512" t="s">
        <v>320</v>
      </c>
      <c r="K105" s="69">
        <v>4101011</v>
      </c>
      <c r="L105" s="512" t="s">
        <v>320</v>
      </c>
      <c r="M105" s="69">
        <v>410101100</v>
      </c>
      <c r="N105" s="510" t="s">
        <v>321</v>
      </c>
      <c r="O105" s="69">
        <v>410101100</v>
      </c>
      <c r="P105" s="510" t="s">
        <v>321</v>
      </c>
      <c r="Q105" s="205" t="s">
        <v>71</v>
      </c>
      <c r="R105" s="96">
        <v>2</v>
      </c>
      <c r="S105" s="613"/>
      <c r="T105" s="614"/>
      <c r="U105" s="606"/>
      <c r="V105" s="137"/>
      <c r="W105" s="137"/>
      <c r="X105" s="137"/>
      <c r="Y105" s="137"/>
      <c r="Z105" s="137"/>
      <c r="AA105" s="137"/>
      <c r="AB105" s="137"/>
      <c r="AC105" s="137"/>
      <c r="AD105" s="137"/>
      <c r="AE105" s="137"/>
      <c r="AF105" s="150">
        <v>15000000</v>
      </c>
      <c r="AG105" s="137"/>
      <c r="AH105" s="137"/>
      <c r="AI105" s="138">
        <f>+V105+W105+X105+Y105+Z105+AA105+AB105+AC105+AD105+AE105+AF105+AG105+AH105</f>
        <v>15000000</v>
      </c>
      <c r="AJ105" s="138" t="s">
        <v>284</v>
      </c>
      <c r="AK105" s="212" t="s">
        <v>1429</v>
      </c>
    </row>
    <row r="106" spans="1:77" ht="25.5" customHeight="1" x14ac:dyDescent="0.2">
      <c r="A106" s="133"/>
      <c r="B106" s="67"/>
      <c r="C106" s="67"/>
      <c r="D106" s="67"/>
      <c r="E106" s="67"/>
      <c r="F106" s="141">
        <v>4103</v>
      </c>
      <c r="G106" s="65" t="s">
        <v>322</v>
      </c>
      <c r="H106" s="179"/>
      <c r="I106" s="179"/>
      <c r="J106" s="140"/>
      <c r="K106" s="139"/>
      <c r="L106" s="140"/>
      <c r="M106" s="140"/>
      <c r="N106" s="135"/>
      <c r="O106" s="141"/>
      <c r="P106" s="135"/>
      <c r="Q106" s="200"/>
      <c r="R106" s="141"/>
      <c r="S106" s="143"/>
      <c r="T106" s="135"/>
      <c r="U106" s="135"/>
      <c r="V106" s="202">
        <f>V107</f>
        <v>0</v>
      </c>
      <c r="W106" s="202">
        <f t="shared" ref="W106:AI106" si="45">W107</f>
        <v>0</v>
      </c>
      <c r="X106" s="202">
        <f t="shared" si="45"/>
        <v>0</v>
      </c>
      <c r="Y106" s="202">
        <f t="shared" si="45"/>
        <v>0</v>
      </c>
      <c r="Z106" s="202">
        <f t="shared" si="45"/>
        <v>0</v>
      </c>
      <c r="AA106" s="202">
        <f t="shared" si="45"/>
        <v>0</v>
      </c>
      <c r="AB106" s="202">
        <f t="shared" si="45"/>
        <v>0</v>
      </c>
      <c r="AC106" s="202">
        <f t="shared" si="45"/>
        <v>0</v>
      </c>
      <c r="AD106" s="202">
        <f t="shared" si="45"/>
        <v>0</v>
      </c>
      <c r="AE106" s="202">
        <f t="shared" si="45"/>
        <v>0</v>
      </c>
      <c r="AF106" s="202">
        <f t="shared" si="45"/>
        <v>18000000</v>
      </c>
      <c r="AG106" s="202">
        <f t="shared" si="45"/>
        <v>0</v>
      </c>
      <c r="AH106" s="202">
        <f t="shared" si="45"/>
        <v>0</v>
      </c>
      <c r="AI106" s="202">
        <f t="shared" si="45"/>
        <v>18000000</v>
      </c>
      <c r="AJ106" s="202"/>
      <c r="AK106" s="144"/>
    </row>
    <row r="107" spans="1:77" ht="129.75" customHeight="1" x14ac:dyDescent="0.2">
      <c r="A107" s="133"/>
      <c r="B107" s="67"/>
      <c r="C107" s="67"/>
      <c r="D107" s="67"/>
      <c r="E107" s="67"/>
      <c r="F107" s="66"/>
      <c r="G107" s="517"/>
      <c r="H107" s="512" t="s">
        <v>323</v>
      </c>
      <c r="I107" s="66" t="s">
        <v>50</v>
      </c>
      <c r="J107" s="518" t="s">
        <v>324</v>
      </c>
      <c r="K107" s="74">
        <v>4103052</v>
      </c>
      <c r="L107" s="518" t="s">
        <v>325</v>
      </c>
      <c r="M107" s="66" t="s">
        <v>50</v>
      </c>
      <c r="N107" s="510" t="s">
        <v>326</v>
      </c>
      <c r="O107" s="74">
        <v>410305201</v>
      </c>
      <c r="P107" s="510" t="s">
        <v>327</v>
      </c>
      <c r="Q107" s="517" t="s">
        <v>71</v>
      </c>
      <c r="R107" s="96">
        <v>25</v>
      </c>
      <c r="S107" s="517" t="s">
        <v>328</v>
      </c>
      <c r="T107" s="512" t="s">
        <v>329</v>
      </c>
      <c r="U107" s="512" t="s">
        <v>330</v>
      </c>
      <c r="V107" s="137"/>
      <c r="W107" s="137"/>
      <c r="X107" s="137"/>
      <c r="Y107" s="137"/>
      <c r="Z107" s="137"/>
      <c r="AA107" s="137"/>
      <c r="AB107" s="137"/>
      <c r="AC107" s="137"/>
      <c r="AD107" s="137"/>
      <c r="AE107" s="137"/>
      <c r="AF107" s="150">
        <v>18000000</v>
      </c>
      <c r="AG107" s="137"/>
      <c r="AH107" s="137"/>
      <c r="AI107" s="138">
        <f>+V107+W107+X107+Y107+Z107+AA107+AB107+AC107+AD107+AE107+AF107+AG107+AH107</f>
        <v>18000000</v>
      </c>
      <c r="AJ107" s="138" t="s">
        <v>284</v>
      </c>
      <c r="AK107" s="212" t="s">
        <v>1429</v>
      </c>
    </row>
    <row r="108" spans="1:77" s="9" customFormat="1" ht="23.25" customHeight="1" x14ac:dyDescent="0.25">
      <c r="A108" s="115"/>
      <c r="B108" s="67"/>
      <c r="C108" s="67"/>
      <c r="D108" s="64">
        <v>45</v>
      </c>
      <c r="E108" s="62" t="s">
        <v>47</v>
      </c>
      <c r="F108" s="62"/>
      <c r="G108" s="123"/>
      <c r="H108" s="124"/>
      <c r="I108" s="124"/>
      <c r="J108" s="126"/>
      <c r="K108" s="125"/>
      <c r="L108" s="126"/>
      <c r="M108" s="126"/>
      <c r="N108" s="128"/>
      <c r="O108" s="127"/>
      <c r="P108" s="128"/>
      <c r="Q108" s="129"/>
      <c r="R108" s="127"/>
      <c r="S108" s="199"/>
      <c r="T108" s="131"/>
      <c r="U108" s="131"/>
      <c r="V108" s="132">
        <f>V109</f>
        <v>0</v>
      </c>
      <c r="W108" s="132">
        <f t="shared" ref="W108:AI108" si="46">W109</f>
        <v>1837447380.3299999</v>
      </c>
      <c r="X108" s="132">
        <f t="shared" si="46"/>
        <v>0</v>
      </c>
      <c r="Y108" s="132">
        <f t="shared" si="46"/>
        <v>0</v>
      </c>
      <c r="Z108" s="132">
        <f t="shared" si="46"/>
        <v>0</v>
      </c>
      <c r="AA108" s="132">
        <f t="shared" si="46"/>
        <v>0</v>
      </c>
      <c r="AB108" s="132">
        <f t="shared" si="46"/>
        <v>0</v>
      </c>
      <c r="AC108" s="132">
        <f t="shared" si="46"/>
        <v>0</v>
      </c>
      <c r="AD108" s="132">
        <f t="shared" si="46"/>
        <v>0</v>
      </c>
      <c r="AE108" s="132">
        <f t="shared" si="46"/>
        <v>0</v>
      </c>
      <c r="AF108" s="132">
        <f t="shared" si="46"/>
        <v>36000000</v>
      </c>
      <c r="AG108" s="132">
        <f t="shared" si="46"/>
        <v>0</v>
      </c>
      <c r="AH108" s="132">
        <f t="shared" si="46"/>
        <v>0</v>
      </c>
      <c r="AI108" s="132">
        <f t="shared" si="46"/>
        <v>1873447380.3299999</v>
      </c>
      <c r="AJ108" s="132"/>
      <c r="AK108" s="157"/>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row>
    <row r="109" spans="1:77" ht="23.25" customHeight="1" x14ac:dyDescent="0.2">
      <c r="A109" s="133"/>
      <c r="B109" s="67"/>
      <c r="C109" s="67"/>
      <c r="D109" s="67"/>
      <c r="E109" s="67"/>
      <c r="F109" s="141">
        <v>4501</v>
      </c>
      <c r="G109" s="65" t="s">
        <v>331</v>
      </c>
      <c r="H109" s="190"/>
      <c r="I109" s="190"/>
      <c r="J109" s="190"/>
      <c r="K109" s="190"/>
      <c r="L109" s="190"/>
      <c r="M109" s="190"/>
      <c r="N109" s="190"/>
      <c r="O109" s="179"/>
      <c r="P109" s="135"/>
      <c r="Q109" s="200"/>
      <c r="R109" s="141"/>
      <c r="S109" s="143"/>
      <c r="T109" s="140"/>
      <c r="U109" s="140"/>
      <c r="V109" s="202">
        <f t="shared" ref="V109:AI109" si="47">SUM(V110:V111)</f>
        <v>0</v>
      </c>
      <c r="W109" s="202">
        <f t="shared" si="47"/>
        <v>1837447380.3299999</v>
      </c>
      <c r="X109" s="202">
        <f t="shared" si="47"/>
        <v>0</v>
      </c>
      <c r="Y109" s="202">
        <f t="shared" si="47"/>
        <v>0</v>
      </c>
      <c r="Z109" s="202">
        <f t="shared" si="47"/>
        <v>0</v>
      </c>
      <c r="AA109" s="202">
        <f t="shared" si="47"/>
        <v>0</v>
      </c>
      <c r="AB109" s="202">
        <f t="shared" si="47"/>
        <v>0</v>
      </c>
      <c r="AC109" s="202">
        <f t="shared" si="47"/>
        <v>0</v>
      </c>
      <c r="AD109" s="202">
        <f t="shared" si="47"/>
        <v>0</v>
      </c>
      <c r="AE109" s="202">
        <f t="shared" si="47"/>
        <v>0</v>
      </c>
      <c r="AF109" s="202">
        <f t="shared" si="47"/>
        <v>36000000</v>
      </c>
      <c r="AG109" s="202">
        <f t="shared" si="47"/>
        <v>0</v>
      </c>
      <c r="AH109" s="202">
        <f t="shared" si="47"/>
        <v>0</v>
      </c>
      <c r="AI109" s="202">
        <f t="shared" si="47"/>
        <v>1873447380.3299999</v>
      </c>
      <c r="AJ109" s="202"/>
      <c r="AK109" s="144"/>
    </row>
    <row r="110" spans="1:77" ht="188.25" customHeight="1" x14ac:dyDescent="0.2">
      <c r="A110" s="133"/>
      <c r="B110" s="67"/>
      <c r="C110" s="67"/>
      <c r="D110" s="67"/>
      <c r="E110" s="67"/>
      <c r="F110" s="71"/>
      <c r="G110" s="517"/>
      <c r="H110" s="512" t="s">
        <v>155</v>
      </c>
      <c r="I110" s="66" t="s">
        <v>50</v>
      </c>
      <c r="J110" s="518" t="s">
        <v>332</v>
      </c>
      <c r="K110" s="74">
        <v>4501029</v>
      </c>
      <c r="L110" s="518" t="s">
        <v>333</v>
      </c>
      <c r="M110" s="66" t="s">
        <v>50</v>
      </c>
      <c r="N110" s="510" t="s">
        <v>334</v>
      </c>
      <c r="O110" s="74">
        <v>450102900</v>
      </c>
      <c r="P110" s="510" t="s">
        <v>335</v>
      </c>
      <c r="Q110" s="205" t="s">
        <v>55</v>
      </c>
      <c r="R110" s="96">
        <v>5</v>
      </c>
      <c r="S110" s="517" t="s">
        <v>336</v>
      </c>
      <c r="T110" s="512" t="s">
        <v>337</v>
      </c>
      <c r="U110" s="512" t="s">
        <v>338</v>
      </c>
      <c r="V110" s="137"/>
      <c r="W110" s="209">
        <f>1648000000+76182726+113264654.33</f>
        <v>1837447380.3299999</v>
      </c>
      <c r="X110" s="137"/>
      <c r="Y110" s="137"/>
      <c r="Z110" s="137"/>
      <c r="AA110" s="137"/>
      <c r="AB110" s="137"/>
      <c r="AC110" s="137"/>
      <c r="AD110" s="137"/>
      <c r="AE110" s="137"/>
      <c r="AF110" s="150"/>
      <c r="AG110" s="137"/>
      <c r="AH110" s="137"/>
      <c r="AI110" s="138">
        <f>+V110+W110+X110+Y110+Z110+AA110+AB110+AC110+AD110+AE110+AF110+AG110+AH110</f>
        <v>1837447380.3299999</v>
      </c>
      <c r="AJ110" s="138" t="s">
        <v>284</v>
      </c>
      <c r="AK110" s="212" t="s">
        <v>1429</v>
      </c>
    </row>
    <row r="111" spans="1:77" ht="188.25" customHeight="1" x14ac:dyDescent="0.2">
      <c r="A111" s="133"/>
      <c r="B111" s="83"/>
      <c r="C111" s="83"/>
      <c r="D111" s="83"/>
      <c r="E111" s="83"/>
      <c r="F111" s="66"/>
      <c r="G111" s="517"/>
      <c r="H111" s="512" t="s">
        <v>155</v>
      </c>
      <c r="I111" s="66">
        <v>4501001</v>
      </c>
      <c r="J111" s="81" t="s">
        <v>118</v>
      </c>
      <c r="K111" s="66">
        <v>4501001</v>
      </c>
      <c r="L111" s="81" t="s">
        <v>118</v>
      </c>
      <c r="M111" s="66">
        <v>450100100</v>
      </c>
      <c r="N111" s="510" t="s">
        <v>339</v>
      </c>
      <c r="O111" s="66">
        <v>450100100</v>
      </c>
      <c r="P111" s="510" t="s">
        <v>339</v>
      </c>
      <c r="Q111" s="205" t="s">
        <v>55</v>
      </c>
      <c r="R111" s="96">
        <v>12</v>
      </c>
      <c r="S111" s="517" t="s">
        <v>340</v>
      </c>
      <c r="T111" s="512" t="s">
        <v>1405</v>
      </c>
      <c r="U111" s="81" t="s">
        <v>341</v>
      </c>
      <c r="V111" s="510" t="s">
        <v>0</v>
      </c>
      <c r="W111" s="137"/>
      <c r="X111" s="137"/>
      <c r="Y111" s="137"/>
      <c r="Z111" s="137"/>
      <c r="AA111" s="137"/>
      <c r="AB111" s="137"/>
      <c r="AC111" s="137"/>
      <c r="AD111" s="137"/>
      <c r="AE111" s="137"/>
      <c r="AF111" s="213">
        <v>36000000</v>
      </c>
      <c r="AG111" s="137"/>
      <c r="AH111" s="137"/>
      <c r="AI111" s="138">
        <f>SUM(V111:AH111)</f>
        <v>36000000</v>
      </c>
      <c r="AJ111" s="138" t="s">
        <v>284</v>
      </c>
      <c r="AK111" s="212" t="s">
        <v>1429</v>
      </c>
    </row>
    <row r="112" spans="1:77" ht="24.75" customHeight="1" x14ac:dyDescent="0.2">
      <c r="A112" s="133"/>
      <c r="B112" s="116">
        <v>3</v>
      </c>
      <c r="C112" s="116"/>
      <c r="D112" s="61" t="s">
        <v>203</v>
      </c>
      <c r="E112" s="163"/>
      <c r="F112" s="61"/>
      <c r="G112" s="61"/>
      <c r="H112" s="61"/>
      <c r="I112" s="61"/>
      <c r="J112" s="118"/>
      <c r="K112" s="117"/>
      <c r="L112" s="118"/>
      <c r="M112" s="118"/>
      <c r="N112" s="119"/>
      <c r="O112" s="116"/>
      <c r="P112" s="119"/>
      <c r="Q112" s="198"/>
      <c r="R112" s="116"/>
      <c r="S112" s="121"/>
      <c r="T112" s="119"/>
      <c r="U112" s="119"/>
      <c r="V112" s="122">
        <f>V113+V116</f>
        <v>0</v>
      </c>
      <c r="W112" s="122">
        <f t="shared" ref="W112:AH112" si="48">W113+W116</f>
        <v>0</v>
      </c>
      <c r="X112" s="122">
        <f t="shared" si="48"/>
        <v>0</v>
      </c>
      <c r="Y112" s="122">
        <f t="shared" si="48"/>
        <v>0</v>
      </c>
      <c r="Z112" s="122">
        <f t="shared" si="48"/>
        <v>0</v>
      </c>
      <c r="AA112" s="122">
        <f t="shared" si="48"/>
        <v>0</v>
      </c>
      <c r="AB112" s="122">
        <f t="shared" si="48"/>
        <v>0</v>
      </c>
      <c r="AC112" s="122">
        <f t="shared" si="48"/>
        <v>0</v>
      </c>
      <c r="AD112" s="122">
        <f t="shared" si="48"/>
        <v>0</v>
      </c>
      <c r="AE112" s="122">
        <f t="shared" si="48"/>
        <v>0</v>
      </c>
      <c r="AF112" s="122">
        <f t="shared" si="48"/>
        <v>193000000</v>
      </c>
      <c r="AG112" s="122">
        <f t="shared" si="48"/>
        <v>0</v>
      </c>
      <c r="AH112" s="122">
        <f t="shared" si="48"/>
        <v>0</v>
      </c>
      <c r="AI112" s="122">
        <f>AI113+AI116</f>
        <v>193000000</v>
      </c>
      <c r="AJ112" s="122"/>
      <c r="AK112" s="156"/>
    </row>
    <row r="113" spans="1:77" s="9" customFormat="1" ht="27.75" customHeight="1" x14ac:dyDescent="0.25">
      <c r="A113" s="115"/>
      <c r="B113" s="67"/>
      <c r="C113" s="67"/>
      <c r="D113" s="64">
        <v>32</v>
      </c>
      <c r="E113" s="62" t="s">
        <v>225</v>
      </c>
      <c r="F113" s="62"/>
      <c r="G113" s="123"/>
      <c r="H113" s="124"/>
      <c r="I113" s="124"/>
      <c r="J113" s="126"/>
      <c r="K113" s="125"/>
      <c r="L113" s="126"/>
      <c r="M113" s="126"/>
      <c r="N113" s="128"/>
      <c r="O113" s="127"/>
      <c r="P113" s="128"/>
      <c r="Q113" s="129"/>
      <c r="R113" s="127"/>
      <c r="S113" s="199"/>
      <c r="T113" s="131"/>
      <c r="U113" s="131"/>
      <c r="V113" s="132">
        <f>V114</f>
        <v>0</v>
      </c>
      <c r="W113" s="132">
        <f t="shared" ref="W113:AI113" si="49">W114</f>
        <v>0</v>
      </c>
      <c r="X113" s="132">
        <f t="shared" si="49"/>
        <v>0</v>
      </c>
      <c r="Y113" s="132">
        <f t="shared" si="49"/>
        <v>0</v>
      </c>
      <c r="Z113" s="132">
        <f t="shared" si="49"/>
        <v>0</v>
      </c>
      <c r="AA113" s="132">
        <f t="shared" si="49"/>
        <v>0</v>
      </c>
      <c r="AB113" s="132">
        <f t="shared" si="49"/>
        <v>0</v>
      </c>
      <c r="AC113" s="132">
        <f t="shared" si="49"/>
        <v>0</v>
      </c>
      <c r="AD113" s="132">
        <f t="shared" si="49"/>
        <v>0</v>
      </c>
      <c r="AE113" s="132">
        <f t="shared" si="49"/>
        <v>0</v>
      </c>
      <c r="AF113" s="132">
        <f t="shared" si="49"/>
        <v>45000000</v>
      </c>
      <c r="AG113" s="132">
        <f t="shared" si="49"/>
        <v>0</v>
      </c>
      <c r="AH113" s="132">
        <f t="shared" si="49"/>
        <v>0</v>
      </c>
      <c r="AI113" s="132">
        <f t="shared" si="49"/>
        <v>45000000</v>
      </c>
      <c r="AJ113" s="132"/>
      <c r="AK113" s="157"/>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row>
    <row r="114" spans="1:77" ht="27.75" customHeight="1" x14ac:dyDescent="0.2">
      <c r="A114" s="133"/>
      <c r="B114" s="67"/>
      <c r="C114" s="67"/>
      <c r="D114" s="67"/>
      <c r="E114" s="67"/>
      <c r="F114" s="141">
        <v>3205</v>
      </c>
      <c r="G114" s="65" t="s">
        <v>226</v>
      </c>
      <c r="H114" s="179"/>
      <c r="I114" s="179"/>
      <c r="J114" s="140"/>
      <c r="K114" s="139"/>
      <c r="L114" s="140"/>
      <c r="M114" s="140"/>
      <c r="N114" s="135"/>
      <c r="O114" s="141"/>
      <c r="P114" s="135"/>
      <c r="Q114" s="200"/>
      <c r="R114" s="141"/>
      <c r="S114" s="143"/>
      <c r="T114" s="135"/>
      <c r="U114" s="135"/>
      <c r="V114" s="202">
        <f t="shared" ref="V114:AI114" si="50">SUM(V115:V115)</f>
        <v>0</v>
      </c>
      <c r="W114" s="202">
        <f t="shared" si="50"/>
        <v>0</v>
      </c>
      <c r="X114" s="202">
        <f t="shared" si="50"/>
        <v>0</v>
      </c>
      <c r="Y114" s="202">
        <f t="shared" si="50"/>
        <v>0</v>
      </c>
      <c r="Z114" s="202">
        <f t="shared" si="50"/>
        <v>0</v>
      </c>
      <c r="AA114" s="202">
        <f t="shared" si="50"/>
        <v>0</v>
      </c>
      <c r="AB114" s="202">
        <f t="shared" si="50"/>
        <v>0</v>
      </c>
      <c r="AC114" s="202">
        <f t="shared" si="50"/>
        <v>0</v>
      </c>
      <c r="AD114" s="202">
        <f t="shared" si="50"/>
        <v>0</v>
      </c>
      <c r="AE114" s="202">
        <f t="shared" si="50"/>
        <v>0</v>
      </c>
      <c r="AF114" s="202">
        <f t="shared" si="50"/>
        <v>45000000</v>
      </c>
      <c r="AG114" s="202">
        <f t="shared" si="50"/>
        <v>0</v>
      </c>
      <c r="AH114" s="202">
        <f t="shared" si="50"/>
        <v>0</v>
      </c>
      <c r="AI114" s="202">
        <f t="shared" si="50"/>
        <v>45000000</v>
      </c>
      <c r="AJ114" s="202"/>
      <c r="AK114" s="144"/>
    </row>
    <row r="115" spans="1:77" ht="155.25" customHeight="1" x14ac:dyDescent="0.2">
      <c r="A115" s="133"/>
      <c r="B115" s="67"/>
      <c r="C115" s="67"/>
      <c r="D115" s="67"/>
      <c r="E115" s="67"/>
      <c r="F115" s="71"/>
      <c r="G115" s="517"/>
      <c r="H115" s="512" t="s">
        <v>342</v>
      </c>
      <c r="I115" s="66">
        <v>3205002</v>
      </c>
      <c r="J115" s="512" t="s">
        <v>343</v>
      </c>
      <c r="K115" s="66">
        <v>3205002</v>
      </c>
      <c r="L115" s="512" t="s">
        <v>343</v>
      </c>
      <c r="M115" s="66">
        <v>320500200</v>
      </c>
      <c r="N115" s="510" t="s">
        <v>344</v>
      </c>
      <c r="O115" s="66">
        <v>320500200</v>
      </c>
      <c r="P115" s="510" t="s">
        <v>344</v>
      </c>
      <c r="Q115" s="88" t="s">
        <v>71</v>
      </c>
      <c r="R115" s="96">
        <v>3</v>
      </c>
      <c r="S115" s="517" t="s">
        <v>345</v>
      </c>
      <c r="T115" s="510" t="s">
        <v>346</v>
      </c>
      <c r="U115" s="510" t="s">
        <v>347</v>
      </c>
      <c r="V115" s="137"/>
      <c r="W115" s="137"/>
      <c r="X115" s="137"/>
      <c r="Y115" s="137"/>
      <c r="Z115" s="137"/>
      <c r="AA115" s="137"/>
      <c r="AB115" s="137"/>
      <c r="AC115" s="137"/>
      <c r="AD115" s="137"/>
      <c r="AE115" s="137"/>
      <c r="AF115" s="214">
        <v>45000000</v>
      </c>
      <c r="AG115" s="137"/>
      <c r="AH115" s="137"/>
      <c r="AI115" s="138">
        <f>+V115+W115+X115+Y115+Z115+AA115+AB115+AC115+AD115+AE115+AF115+AG115+AH115</f>
        <v>45000000</v>
      </c>
      <c r="AJ115" s="138" t="s">
        <v>284</v>
      </c>
      <c r="AK115" s="212" t="s">
        <v>1429</v>
      </c>
    </row>
    <row r="116" spans="1:77" s="9" customFormat="1" ht="27.75" customHeight="1" x14ac:dyDescent="0.25">
      <c r="A116" s="115"/>
      <c r="B116" s="67"/>
      <c r="C116" s="67"/>
      <c r="D116" s="64">
        <v>45</v>
      </c>
      <c r="E116" s="62" t="s">
        <v>47</v>
      </c>
      <c r="F116" s="62"/>
      <c r="G116" s="123"/>
      <c r="H116" s="124"/>
      <c r="I116" s="124"/>
      <c r="J116" s="126"/>
      <c r="K116" s="125"/>
      <c r="L116" s="126"/>
      <c r="M116" s="126"/>
      <c r="N116" s="128"/>
      <c r="O116" s="127"/>
      <c r="P116" s="128"/>
      <c r="Q116" s="129"/>
      <c r="R116" s="127"/>
      <c r="S116" s="199"/>
      <c r="T116" s="131"/>
      <c r="U116" s="131"/>
      <c r="V116" s="132">
        <f>V117</f>
        <v>0</v>
      </c>
      <c r="W116" s="132">
        <f>W117</f>
        <v>0</v>
      </c>
      <c r="X116" s="132">
        <f t="shared" ref="X116:AI116" si="51">X117</f>
        <v>0</v>
      </c>
      <c r="Y116" s="132">
        <f t="shared" si="51"/>
        <v>0</v>
      </c>
      <c r="Z116" s="132">
        <f t="shared" si="51"/>
        <v>0</v>
      </c>
      <c r="AA116" s="132">
        <f t="shared" si="51"/>
        <v>0</v>
      </c>
      <c r="AB116" s="132">
        <f t="shared" si="51"/>
        <v>0</v>
      </c>
      <c r="AC116" s="132">
        <f t="shared" si="51"/>
        <v>0</v>
      </c>
      <c r="AD116" s="132">
        <f t="shared" si="51"/>
        <v>0</v>
      </c>
      <c r="AE116" s="132">
        <f t="shared" si="51"/>
        <v>0</v>
      </c>
      <c r="AF116" s="132">
        <f t="shared" si="51"/>
        <v>148000000</v>
      </c>
      <c r="AG116" s="132">
        <f t="shared" si="51"/>
        <v>0</v>
      </c>
      <c r="AH116" s="132">
        <f t="shared" si="51"/>
        <v>0</v>
      </c>
      <c r="AI116" s="132">
        <f t="shared" si="51"/>
        <v>148000000</v>
      </c>
      <c r="AJ116" s="132"/>
      <c r="AK116" s="157"/>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row>
    <row r="117" spans="1:77" ht="30" customHeight="1" x14ac:dyDescent="0.2">
      <c r="A117" s="133"/>
      <c r="B117" s="67"/>
      <c r="C117" s="67"/>
      <c r="D117" s="67"/>
      <c r="E117" s="67"/>
      <c r="F117" s="141">
        <v>4503</v>
      </c>
      <c r="G117" s="65" t="s">
        <v>1406</v>
      </c>
      <c r="H117" s="179"/>
      <c r="I117" s="179"/>
      <c r="J117" s="140"/>
      <c r="K117" s="139"/>
      <c r="L117" s="140"/>
      <c r="M117" s="140"/>
      <c r="N117" s="135"/>
      <c r="O117" s="141"/>
      <c r="P117" s="135"/>
      <c r="Q117" s="200"/>
      <c r="R117" s="215"/>
      <c r="S117" s="143"/>
      <c r="T117" s="135"/>
      <c r="U117" s="135"/>
      <c r="V117" s="202">
        <f>SUM(V118:V120)</f>
        <v>0</v>
      </c>
      <c r="W117" s="202">
        <f>SUM(W118:W120)</f>
        <v>0</v>
      </c>
      <c r="X117" s="202">
        <f t="shared" ref="X117:AI117" si="52">SUM(X118:X120)</f>
        <v>0</v>
      </c>
      <c r="Y117" s="202">
        <f t="shared" si="52"/>
        <v>0</v>
      </c>
      <c r="Z117" s="202">
        <f t="shared" si="52"/>
        <v>0</v>
      </c>
      <c r="AA117" s="202">
        <f t="shared" si="52"/>
        <v>0</v>
      </c>
      <c r="AB117" s="202">
        <f t="shared" si="52"/>
        <v>0</v>
      </c>
      <c r="AC117" s="202">
        <f t="shared" si="52"/>
        <v>0</v>
      </c>
      <c r="AD117" s="202">
        <f t="shared" si="52"/>
        <v>0</v>
      </c>
      <c r="AE117" s="202">
        <f t="shared" si="52"/>
        <v>0</v>
      </c>
      <c r="AF117" s="202">
        <f t="shared" si="52"/>
        <v>148000000</v>
      </c>
      <c r="AG117" s="202">
        <f t="shared" si="52"/>
        <v>0</v>
      </c>
      <c r="AH117" s="202">
        <f t="shared" si="52"/>
        <v>0</v>
      </c>
      <c r="AI117" s="202">
        <f t="shared" si="52"/>
        <v>148000000</v>
      </c>
      <c r="AJ117" s="202"/>
      <c r="AK117" s="144"/>
    </row>
    <row r="118" spans="1:77" ht="90" customHeight="1" x14ac:dyDescent="0.2">
      <c r="A118" s="133"/>
      <c r="B118" s="67"/>
      <c r="C118" s="67"/>
      <c r="D118" s="67"/>
      <c r="E118" s="67"/>
      <c r="F118" s="71"/>
      <c r="G118" s="212"/>
      <c r="H118" s="512" t="s">
        <v>348</v>
      </c>
      <c r="I118" s="66">
        <v>4503002</v>
      </c>
      <c r="J118" s="512" t="s">
        <v>349</v>
      </c>
      <c r="K118" s="66">
        <v>4503002</v>
      </c>
      <c r="L118" s="512" t="s">
        <v>349</v>
      </c>
      <c r="M118" s="66">
        <v>450300200</v>
      </c>
      <c r="N118" s="510" t="s">
        <v>350</v>
      </c>
      <c r="O118" s="66">
        <v>450300200</v>
      </c>
      <c r="P118" s="510" t="s">
        <v>350</v>
      </c>
      <c r="Q118" s="100" t="s">
        <v>71</v>
      </c>
      <c r="R118" s="96">
        <v>4000</v>
      </c>
      <c r="S118" s="613" t="s">
        <v>351</v>
      </c>
      <c r="T118" s="628" t="s">
        <v>352</v>
      </c>
      <c r="U118" s="628" t="s">
        <v>353</v>
      </c>
      <c r="V118" s="137"/>
      <c r="W118" s="137"/>
      <c r="X118" s="137"/>
      <c r="Y118" s="137"/>
      <c r="Z118" s="137"/>
      <c r="AA118" s="137"/>
      <c r="AB118" s="137"/>
      <c r="AC118" s="137"/>
      <c r="AD118" s="137"/>
      <c r="AE118" s="137"/>
      <c r="AF118" s="150">
        <v>18000000</v>
      </c>
      <c r="AG118" s="137"/>
      <c r="AH118" s="137"/>
      <c r="AI118" s="138">
        <f>+V118+W118+X118+Y118+Z118+AA118+AB118+AC118+AD118+AE118+AF118+AG118+AH118</f>
        <v>18000000</v>
      </c>
      <c r="AJ118" s="138" t="s">
        <v>284</v>
      </c>
      <c r="AK118" s="212" t="s">
        <v>1429</v>
      </c>
    </row>
    <row r="119" spans="1:77" ht="83.25" customHeight="1" x14ac:dyDescent="0.2">
      <c r="A119" s="133"/>
      <c r="B119" s="67"/>
      <c r="C119" s="67"/>
      <c r="D119" s="67"/>
      <c r="E119" s="67"/>
      <c r="F119" s="71"/>
      <c r="G119" s="212"/>
      <c r="H119" s="512" t="s">
        <v>354</v>
      </c>
      <c r="I119" s="66">
        <v>4503003</v>
      </c>
      <c r="J119" s="512" t="s">
        <v>118</v>
      </c>
      <c r="K119" s="66">
        <v>4503003</v>
      </c>
      <c r="L119" s="512" t="s">
        <v>118</v>
      </c>
      <c r="M119" s="66">
        <v>450300300</v>
      </c>
      <c r="N119" s="510" t="s">
        <v>355</v>
      </c>
      <c r="O119" s="66">
        <v>450300300</v>
      </c>
      <c r="P119" s="510" t="s">
        <v>355</v>
      </c>
      <c r="Q119" s="517" t="s">
        <v>55</v>
      </c>
      <c r="R119" s="216">
        <v>12</v>
      </c>
      <c r="S119" s="613"/>
      <c r="T119" s="628"/>
      <c r="U119" s="628"/>
      <c r="V119" s="137"/>
      <c r="W119" s="137"/>
      <c r="X119" s="137"/>
      <c r="Y119" s="137"/>
      <c r="Z119" s="137"/>
      <c r="AA119" s="137"/>
      <c r="AB119" s="137"/>
      <c r="AC119" s="137"/>
      <c r="AD119" s="137"/>
      <c r="AE119" s="137"/>
      <c r="AF119" s="150">
        <v>100000000</v>
      </c>
      <c r="AG119" s="137"/>
      <c r="AH119" s="137"/>
      <c r="AI119" s="138">
        <f>+V119+W119+X119+Y119+Z119+AA119+AB119+AC119+AD119+AE119+AF119+AG119+AH119</f>
        <v>100000000</v>
      </c>
      <c r="AJ119" s="138" t="s">
        <v>284</v>
      </c>
      <c r="AK119" s="212" t="s">
        <v>1429</v>
      </c>
    </row>
    <row r="120" spans="1:77" ht="113.25" customHeight="1" x14ac:dyDescent="0.2">
      <c r="A120" s="133"/>
      <c r="B120" s="67"/>
      <c r="C120" s="67"/>
      <c r="D120" s="67"/>
      <c r="E120" s="67"/>
      <c r="F120" s="71"/>
      <c r="G120" s="212"/>
      <c r="H120" s="512" t="s">
        <v>354</v>
      </c>
      <c r="I120" s="66">
        <v>4503004</v>
      </c>
      <c r="J120" s="518" t="s">
        <v>356</v>
      </c>
      <c r="K120" s="68">
        <v>4503016</v>
      </c>
      <c r="L120" s="518" t="s">
        <v>357</v>
      </c>
      <c r="M120" s="66" t="s">
        <v>50</v>
      </c>
      <c r="N120" s="510" t="s">
        <v>358</v>
      </c>
      <c r="O120" s="68">
        <v>450301600</v>
      </c>
      <c r="P120" s="510" t="s">
        <v>359</v>
      </c>
      <c r="Q120" s="517" t="s">
        <v>55</v>
      </c>
      <c r="R120" s="96">
        <v>1</v>
      </c>
      <c r="S120" s="613"/>
      <c r="T120" s="628"/>
      <c r="U120" s="628"/>
      <c r="V120" s="137"/>
      <c r="W120" s="137"/>
      <c r="X120" s="137"/>
      <c r="Y120" s="137"/>
      <c r="Z120" s="137"/>
      <c r="AA120" s="137"/>
      <c r="AB120" s="137"/>
      <c r="AC120" s="137"/>
      <c r="AD120" s="137"/>
      <c r="AE120" s="137"/>
      <c r="AF120" s="150">
        <v>30000000</v>
      </c>
      <c r="AG120" s="137"/>
      <c r="AH120" s="137"/>
      <c r="AI120" s="138">
        <f>+V120+W120+X120+Y120+Z120+AA120+AB120+AC120+AD120+AE120+AF120+AG120+AH120</f>
        <v>30000000</v>
      </c>
      <c r="AJ120" s="138" t="s">
        <v>284</v>
      </c>
      <c r="AK120" s="212" t="s">
        <v>1429</v>
      </c>
    </row>
    <row r="121" spans="1:77" ht="28.5" customHeight="1" x14ac:dyDescent="0.2">
      <c r="A121" s="133"/>
      <c r="B121" s="116">
        <v>4</v>
      </c>
      <c r="C121" s="116"/>
      <c r="D121" s="61" t="s">
        <v>46</v>
      </c>
      <c r="E121" s="61"/>
      <c r="F121" s="61"/>
      <c r="G121" s="61"/>
      <c r="H121" s="61"/>
      <c r="I121" s="61"/>
      <c r="J121" s="118"/>
      <c r="K121" s="117"/>
      <c r="L121" s="118"/>
      <c r="M121" s="118"/>
      <c r="N121" s="119"/>
      <c r="O121" s="116"/>
      <c r="P121" s="119"/>
      <c r="Q121" s="198"/>
      <c r="R121" s="116"/>
      <c r="S121" s="121"/>
      <c r="T121" s="119"/>
      <c r="U121" s="119"/>
      <c r="V121" s="122">
        <f>V122</f>
        <v>0</v>
      </c>
      <c r="W121" s="122">
        <f t="shared" ref="W121:AI122" si="53">W122</f>
        <v>0</v>
      </c>
      <c r="X121" s="122">
        <f t="shared" si="53"/>
        <v>0</v>
      </c>
      <c r="Y121" s="122">
        <f t="shared" si="53"/>
        <v>0</v>
      </c>
      <c r="Z121" s="122">
        <f t="shared" si="53"/>
        <v>0</v>
      </c>
      <c r="AA121" s="122">
        <f t="shared" si="53"/>
        <v>0</v>
      </c>
      <c r="AB121" s="122">
        <f t="shared" si="53"/>
        <v>0</v>
      </c>
      <c r="AC121" s="122">
        <f t="shared" si="53"/>
        <v>0</v>
      </c>
      <c r="AD121" s="122">
        <f t="shared" si="53"/>
        <v>0</v>
      </c>
      <c r="AE121" s="122">
        <f t="shared" si="53"/>
        <v>0</v>
      </c>
      <c r="AF121" s="122">
        <f t="shared" si="53"/>
        <v>313000000</v>
      </c>
      <c r="AG121" s="122">
        <f t="shared" si="53"/>
        <v>0</v>
      </c>
      <c r="AH121" s="122">
        <f t="shared" si="53"/>
        <v>0</v>
      </c>
      <c r="AI121" s="122">
        <f>AI122</f>
        <v>313000000</v>
      </c>
      <c r="AJ121" s="122"/>
      <c r="AK121" s="156"/>
    </row>
    <row r="122" spans="1:77" s="9" customFormat="1" ht="27.75" customHeight="1" x14ac:dyDescent="0.25">
      <c r="A122" s="115"/>
      <c r="B122" s="67"/>
      <c r="C122" s="67"/>
      <c r="D122" s="64">
        <v>45</v>
      </c>
      <c r="E122" s="62" t="s">
        <v>47</v>
      </c>
      <c r="F122" s="62"/>
      <c r="G122" s="123"/>
      <c r="H122" s="124"/>
      <c r="I122" s="124"/>
      <c r="J122" s="126"/>
      <c r="K122" s="125"/>
      <c r="L122" s="126"/>
      <c r="M122" s="126"/>
      <c r="N122" s="128"/>
      <c r="O122" s="127"/>
      <c r="P122" s="128"/>
      <c r="Q122" s="129"/>
      <c r="R122" s="127"/>
      <c r="S122" s="199"/>
      <c r="T122" s="131"/>
      <c r="U122" s="131"/>
      <c r="V122" s="132">
        <f>V123</f>
        <v>0</v>
      </c>
      <c r="W122" s="132">
        <f t="shared" si="53"/>
        <v>0</v>
      </c>
      <c r="X122" s="132">
        <f t="shared" si="53"/>
        <v>0</v>
      </c>
      <c r="Y122" s="132">
        <f t="shared" si="53"/>
        <v>0</v>
      </c>
      <c r="Z122" s="132">
        <f t="shared" si="53"/>
        <v>0</v>
      </c>
      <c r="AA122" s="132">
        <f t="shared" si="53"/>
        <v>0</v>
      </c>
      <c r="AB122" s="132">
        <f t="shared" si="53"/>
        <v>0</v>
      </c>
      <c r="AC122" s="132">
        <f t="shared" si="53"/>
        <v>0</v>
      </c>
      <c r="AD122" s="132">
        <f t="shared" si="53"/>
        <v>0</v>
      </c>
      <c r="AE122" s="132">
        <f t="shared" si="53"/>
        <v>0</v>
      </c>
      <c r="AF122" s="132">
        <f t="shared" si="53"/>
        <v>313000000</v>
      </c>
      <c r="AG122" s="132">
        <f t="shared" si="53"/>
        <v>0</v>
      </c>
      <c r="AH122" s="132">
        <f t="shared" si="53"/>
        <v>0</v>
      </c>
      <c r="AI122" s="132">
        <f t="shared" si="53"/>
        <v>313000000</v>
      </c>
      <c r="AJ122" s="132"/>
      <c r="AK122" s="157"/>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row>
    <row r="123" spans="1:77" ht="30.75" customHeight="1" x14ac:dyDescent="0.2">
      <c r="A123" s="133"/>
      <c r="B123" s="83"/>
      <c r="C123" s="83"/>
      <c r="D123" s="83"/>
      <c r="E123" s="83"/>
      <c r="F123" s="141">
        <v>4502</v>
      </c>
      <c r="G123" s="65" t="s">
        <v>74</v>
      </c>
      <c r="H123" s="179"/>
      <c r="I123" s="179"/>
      <c r="J123" s="140"/>
      <c r="K123" s="139"/>
      <c r="L123" s="140"/>
      <c r="M123" s="140"/>
      <c r="N123" s="135"/>
      <c r="O123" s="141"/>
      <c r="P123" s="135"/>
      <c r="Q123" s="200"/>
      <c r="R123" s="141"/>
      <c r="S123" s="143"/>
      <c r="T123" s="135"/>
      <c r="U123" s="135"/>
      <c r="V123" s="136">
        <f>SUM(V125:V128)</f>
        <v>0</v>
      </c>
      <c r="W123" s="136">
        <f t="shared" ref="W123:AE123" si="54">SUM(W125:W128)</f>
        <v>0</v>
      </c>
      <c r="X123" s="136">
        <f t="shared" si="54"/>
        <v>0</v>
      </c>
      <c r="Y123" s="136">
        <f t="shared" si="54"/>
        <v>0</v>
      </c>
      <c r="Z123" s="136">
        <f t="shared" si="54"/>
        <v>0</v>
      </c>
      <c r="AA123" s="136">
        <f t="shared" si="54"/>
        <v>0</v>
      </c>
      <c r="AB123" s="136">
        <f t="shared" si="54"/>
        <v>0</v>
      </c>
      <c r="AC123" s="136">
        <f t="shared" si="54"/>
        <v>0</v>
      </c>
      <c r="AD123" s="136">
        <f t="shared" si="54"/>
        <v>0</v>
      </c>
      <c r="AE123" s="136">
        <f t="shared" si="54"/>
        <v>0</v>
      </c>
      <c r="AF123" s="136">
        <f>SUM(AF124:AF128)</f>
        <v>313000000</v>
      </c>
      <c r="AG123" s="136">
        <f t="shared" ref="AG123:AK123" si="55">SUM(AG124:AG128)</f>
        <v>0</v>
      </c>
      <c r="AH123" s="136">
        <f t="shared" si="55"/>
        <v>0</v>
      </c>
      <c r="AI123" s="136">
        <f t="shared" si="55"/>
        <v>313000000</v>
      </c>
      <c r="AJ123" s="136">
        <f t="shared" si="55"/>
        <v>0</v>
      </c>
      <c r="AK123" s="136">
        <f t="shared" si="55"/>
        <v>0</v>
      </c>
    </row>
    <row r="124" spans="1:77" s="4" customFormat="1" ht="156" customHeight="1" x14ac:dyDescent="0.2">
      <c r="A124" s="55"/>
      <c r="B124" s="92"/>
      <c r="C124" s="92"/>
      <c r="D124" s="92"/>
      <c r="E124" s="92"/>
      <c r="F124" s="68"/>
      <c r="G124" s="91"/>
      <c r="H124" s="518" t="s">
        <v>360</v>
      </c>
      <c r="I124" s="68">
        <v>4502024</v>
      </c>
      <c r="J124" s="518" t="s">
        <v>361</v>
      </c>
      <c r="K124" s="68">
        <v>4502024</v>
      </c>
      <c r="L124" s="518" t="s">
        <v>361</v>
      </c>
      <c r="M124" s="96">
        <v>450202400</v>
      </c>
      <c r="N124" s="217" t="s">
        <v>362</v>
      </c>
      <c r="O124" s="88">
        <v>450202400</v>
      </c>
      <c r="P124" s="217" t="s">
        <v>362</v>
      </c>
      <c r="Q124" s="91" t="s">
        <v>55</v>
      </c>
      <c r="R124" s="96">
        <v>10</v>
      </c>
      <c r="S124" s="91" t="s">
        <v>363</v>
      </c>
      <c r="T124" s="518" t="s">
        <v>364</v>
      </c>
      <c r="U124" s="518" t="s">
        <v>365</v>
      </c>
      <c r="V124" s="110"/>
      <c r="W124" s="110"/>
      <c r="X124" s="110"/>
      <c r="Y124" s="110"/>
      <c r="Z124" s="110"/>
      <c r="AA124" s="110"/>
      <c r="AB124" s="110"/>
      <c r="AC124" s="110"/>
      <c r="AD124" s="110"/>
      <c r="AE124" s="110"/>
      <c r="AF124" s="153">
        <v>50000000</v>
      </c>
      <c r="AG124" s="110"/>
      <c r="AH124" s="110"/>
      <c r="AI124" s="218">
        <f>+V124+W124+X124+Y124+Z124+AA124+AB124+AC124+AD124+AE124+AF124+AG124+AH124</f>
        <v>50000000</v>
      </c>
      <c r="AJ124" s="218" t="s">
        <v>284</v>
      </c>
      <c r="AK124" s="212" t="s">
        <v>1429</v>
      </c>
    </row>
    <row r="125" spans="1:77" ht="100.5" customHeight="1" x14ac:dyDescent="0.2">
      <c r="A125" s="133"/>
      <c r="B125" s="83"/>
      <c r="C125" s="83"/>
      <c r="D125" s="83"/>
      <c r="E125" s="83"/>
      <c r="F125" s="66"/>
      <c r="G125" s="517"/>
      <c r="H125" s="512" t="s">
        <v>75</v>
      </c>
      <c r="I125" s="73">
        <v>4502001</v>
      </c>
      <c r="J125" s="512" t="s">
        <v>86</v>
      </c>
      <c r="K125" s="73">
        <v>4502001</v>
      </c>
      <c r="L125" s="512" t="s">
        <v>86</v>
      </c>
      <c r="M125" s="66">
        <v>450200100</v>
      </c>
      <c r="N125" s="510" t="s">
        <v>366</v>
      </c>
      <c r="O125" s="66">
        <v>450200100</v>
      </c>
      <c r="P125" s="510" t="s">
        <v>88</v>
      </c>
      <c r="Q125" s="205" t="s">
        <v>55</v>
      </c>
      <c r="R125" s="96">
        <v>3</v>
      </c>
      <c r="S125" s="613" t="s">
        <v>367</v>
      </c>
      <c r="T125" s="625" t="s">
        <v>368</v>
      </c>
      <c r="U125" s="629" t="s">
        <v>369</v>
      </c>
      <c r="V125" s="137"/>
      <c r="W125" s="137"/>
      <c r="X125" s="137"/>
      <c r="Y125" s="137"/>
      <c r="Z125" s="137"/>
      <c r="AA125" s="137"/>
      <c r="AB125" s="137"/>
      <c r="AC125" s="137"/>
      <c r="AD125" s="137"/>
      <c r="AE125" s="137"/>
      <c r="AF125" s="153">
        <v>130000000</v>
      </c>
      <c r="AG125" s="137"/>
      <c r="AH125" s="137"/>
      <c r="AI125" s="138">
        <f>+V125+W125+X125+Y125+Z125+AA125+AB125+AC125+AD125+AE125+AF125+AG125+AH125</f>
        <v>130000000</v>
      </c>
      <c r="AJ125" s="138" t="s">
        <v>284</v>
      </c>
      <c r="AK125" s="212" t="s">
        <v>1429</v>
      </c>
    </row>
    <row r="126" spans="1:77" ht="87" customHeight="1" x14ac:dyDescent="0.2">
      <c r="A126" s="133"/>
      <c r="B126" s="83"/>
      <c r="C126" s="83"/>
      <c r="D126" s="83"/>
      <c r="E126" s="83"/>
      <c r="F126" s="66"/>
      <c r="G126" s="517"/>
      <c r="H126" s="512" t="s">
        <v>75</v>
      </c>
      <c r="I126" s="66" t="s">
        <v>50</v>
      </c>
      <c r="J126" s="518" t="s">
        <v>370</v>
      </c>
      <c r="K126" s="98">
        <v>4502001</v>
      </c>
      <c r="L126" s="512" t="s">
        <v>86</v>
      </c>
      <c r="M126" s="66" t="s">
        <v>50</v>
      </c>
      <c r="N126" s="510" t="s">
        <v>371</v>
      </c>
      <c r="O126" s="98">
        <v>450200111</v>
      </c>
      <c r="P126" s="510" t="s">
        <v>372</v>
      </c>
      <c r="Q126" s="205" t="s">
        <v>55</v>
      </c>
      <c r="R126" s="220">
        <v>1</v>
      </c>
      <c r="S126" s="613"/>
      <c r="T126" s="625"/>
      <c r="U126" s="630"/>
      <c r="V126" s="137"/>
      <c r="W126" s="137"/>
      <c r="X126" s="137"/>
      <c r="Y126" s="137"/>
      <c r="Z126" s="137"/>
      <c r="AA126" s="137"/>
      <c r="AB126" s="137"/>
      <c r="AC126" s="137"/>
      <c r="AD126" s="137"/>
      <c r="AE126" s="137"/>
      <c r="AF126" s="150">
        <v>73000000</v>
      </c>
      <c r="AG126" s="137"/>
      <c r="AH126" s="137"/>
      <c r="AI126" s="138">
        <f>+V126+W126+X126+Y126+Z126+AA126+AB126+AC126+AD126+AE126+AF126+AG126+AH126</f>
        <v>73000000</v>
      </c>
      <c r="AJ126" s="138" t="s">
        <v>284</v>
      </c>
      <c r="AK126" s="212" t="s">
        <v>1429</v>
      </c>
    </row>
    <row r="127" spans="1:77" ht="126" customHeight="1" x14ac:dyDescent="0.2">
      <c r="A127" s="133"/>
      <c r="B127" s="83"/>
      <c r="C127" s="83"/>
      <c r="D127" s="83"/>
      <c r="E127" s="83"/>
      <c r="F127" s="66"/>
      <c r="G127" s="517"/>
      <c r="H127" s="512" t="s">
        <v>75</v>
      </c>
      <c r="I127" s="66" t="s">
        <v>50</v>
      </c>
      <c r="J127" s="518" t="s">
        <v>373</v>
      </c>
      <c r="K127" s="68">
        <v>4502001</v>
      </c>
      <c r="L127" s="518" t="s">
        <v>86</v>
      </c>
      <c r="M127" s="66" t="s">
        <v>50</v>
      </c>
      <c r="N127" s="510" t="s">
        <v>1407</v>
      </c>
      <c r="O127" s="68">
        <v>450200109</v>
      </c>
      <c r="P127" s="510" t="s">
        <v>374</v>
      </c>
      <c r="Q127" s="205" t="s">
        <v>55</v>
      </c>
      <c r="R127" s="96">
        <v>12</v>
      </c>
      <c r="S127" s="613"/>
      <c r="T127" s="625"/>
      <c r="U127" s="630"/>
      <c r="V127" s="137"/>
      <c r="W127" s="137"/>
      <c r="X127" s="137"/>
      <c r="Y127" s="137"/>
      <c r="Z127" s="137"/>
      <c r="AA127" s="137"/>
      <c r="AB127" s="137"/>
      <c r="AC127" s="137"/>
      <c r="AD127" s="137"/>
      <c r="AE127" s="137"/>
      <c r="AF127" s="150">
        <v>35000000</v>
      </c>
      <c r="AG127" s="137"/>
      <c r="AH127" s="137"/>
      <c r="AI127" s="138">
        <f>+V127+W127+X127+Y127+Z127+AA127+AB127+AC127+AD127+AE127+AF127+AG127+AH127</f>
        <v>35000000</v>
      </c>
      <c r="AJ127" s="138" t="s">
        <v>284</v>
      </c>
      <c r="AK127" s="212" t="s">
        <v>1429</v>
      </c>
    </row>
    <row r="128" spans="1:77" ht="80.25" customHeight="1" x14ac:dyDescent="0.2">
      <c r="A128" s="133"/>
      <c r="B128" s="83"/>
      <c r="C128" s="83"/>
      <c r="D128" s="83"/>
      <c r="E128" s="83"/>
      <c r="F128" s="66"/>
      <c r="G128" s="517"/>
      <c r="H128" s="512" t="s">
        <v>75</v>
      </c>
      <c r="I128" s="66" t="s">
        <v>50</v>
      </c>
      <c r="J128" s="518" t="s">
        <v>375</v>
      </c>
      <c r="K128" s="98">
        <v>4502035</v>
      </c>
      <c r="L128" s="518" t="s">
        <v>376</v>
      </c>
      <c r="M128" s="66" t="s">
        <v>50</v>
      </c>
      <c r="N128" s="510" t="s">
        <v>377</v>
      </c>
      <c r="O128" s="98">
        <v>450203501</v>
      </c>
      <c r="P128" s="510" t="s">
        <v>378</v>
      </c>
      <c r="Q128" s="205" t="s">
        <v>71</v>
      </c>
      <c r="R128" s="96">
        <v>0.4</v>
      </c>
      <c r="S128" s="613"/>
      <c r="T128" s="625"/>
      <c r="U128" s="631"/>
      <c r="V128" s="137"/>
      <c r="W128" s="137"/>
      <c r="X128" s="137"/>
      <c r="Y128" s="137"/>
      <c r="Z128" s="137"/>
      <c r="AA128" s="137"/>
      <c r="AB128" s="137"/>
      <c r="AC128" s="137"/>
      <c r="AD128" s="137"/>
      <c r="AE128" s="137"/>
      <c r="AF128" s="150">
        <v>25000000</v>
      </c>
      <c r="AG128" s="137"/>
      <c r="AH128" s="137"/>
      <c r="AI128" s="138">
        <f>+V128+W128+X128+Y128+Z128+AA128+AB128+AC128+AD128+AE128+AF128+AG128+AH128</f>
        <v>25000000</v>
      </c>
      <c r="AJ128" s="138" t="s">
        <v>284</v>
      </c>
      <c r="AK128" s="212" t="s">
        <v>1429</v>
      </c>
    </row>
    <row r="129" spans="1:77" s="7" customFormat="1" ht="16.5" customHeight="1" x14ac:dyDescent="0.25">
      <c r="A129" s="457"/>
      <c r="B129" s="457"/>
      <c r="C129" s="457"/>
      <c r="D129" s="457"/>
      <c r="E129" s="457"/>
      <c r="F129" s="457"/>
      <c r="G129" s="457"/>
      <c r="H129" s="458"/>
      <c r="I129" s="457"/>
      <c r="J129" s="457"/>
      <c r="K129" s="457"/>
      <c r="L129" s="457"/>
      <c r="M129" s="457"/>
      <c r="N129" s="457"/>
      <c r="O129" s="457"/>
      <c r="P129" s="457"/>
      <c r="Q129" s="459"/>
      <c r="R129" s="457"/>
      <c r="S129" s="459"/>
      <c r="T129" s="459"/>
      <c r="U129" s="459"/>
      <c r="V129" s="460"/>
      <c r="W129" s="460"/>
      <c r="X129" s="460"/>
      <c r="Y129" s="460"/>
      <c r="Z129" s="460"/>
      <c r="AA129" s="460"/>
      <c r="AB129" s="460"/>
      <c r="AC129" s="460"/>
      <c r="AD129" s="460"/>
      <c r="AE129" s="460"/>
      <c r="AF129" s="460"/>
      <c r="AG129" s="460"/>
      <c r="AH129" s="460"/>
      <c r="AI129" s="460"/>
      <c r="AJ129" s="460"/>
      <c r="AK129" s="460"/>
    </row>
    <row r="130" spans="1:77" s="391" customFormat="1" ht="33" customHeight="1" x14ac:dyDescent="0.2">
      <c r="A130" s="41" t="s">
        <v>379</v>
      </c>
      <c r="B130" s="41"/>
      <c r="C130" s="41"/>
      <c r="D130" s="41"/>
      <c r="E130" s="41"/>
      <c r="F130" s="42"/>
      <c r="G130" s="43"/>
      <c r="H130" s="383"/>
      <c r="I130" s="383"/>
      <c r="J130" s="383"/>
      <c r="K130" s="386"/>
      <c r="L130" s="383"/>
      <c r="M130" s="383"/>
      <c r="N130" s="388"/>
      <c r="O130" s="387"/>
      <c r="P130" s="388"/>
      <c r="Q130" s="389"/>
      <c r="R130" s="387"/>
      <c r="S130" s="43"/>
      <c r="T130" s="388"/>
      <c r="U130" s="388"/>
      <c r="V130" s="384">
        <f>V131</f>
        <v>2980319083.0199995</v>
      </c>
      <c r="W130" s="384">
        <f t="shared" ref="W130:AI131" si="56">W131</f>
        <v>0</v>
      </c>
      <c r="X130" s="384">
        <f t="shared" si="56"/>
        <v>0</v>
      </c>
      <c r="Y130" s="384">
        <f t="shared" si="56"/>
        <v>0</v>
      </c>
      <c r="Z130" s="384">
        <f t="shared" si="56"/>
        <v>0</v>
      </c>
      <c r="AA130" s="384">
        <f t="shared" si="56"/>
        <v>0</v>
      </c>
      <c r="AB130" s="384">
        <f t="shared" si="56"/>
        <v>0</v>
      </c>
      <c r="AC130" s="384">
        <f t="shared" si="56"/>
        <v>0</v>
      </c>
      <c r="AD130" s="384">
        <f t="shared" si="56"/>
        <v>0</v>
      </c>
      <c r="AE130" s="384">
        <f t="shared" si="56"/>
        <v>0</v>
      </c>
      <c r="AF130" s="384">
        <f t="shared" si="56"/>
        <v>795000000</v>
      </c>
      <c r="AG130" s="384">
        <f t="shared" si="56"/>
        <v>263038142</v>
      </c>
      <c r="AH130" s="384">
        <f t="shared" si="56"/>
        <v>0</v>
      </c>
      <c r="AI130" s="384">
        <f t="shared" si="56"/>
        <v>4038357225.02</v>
      </c>
      <c r="AJ130" s="384"/>
      <c r="AK130" s="385"/>
      <c r="AL130" s="390"/>
      <c r="AM130" s="390"/>
      <c r="AN130" s="390"/>
      <c r="AO130" s="390"/>
      <c r="AP130" s="390"/>
      <c r="AQ130" s="390"/>
      <c r="AR130" s="390"/>
      <c r="AS130" s="390"/>
      <c r="AT130" s="390"/>
      <c r="AU130" s="390"/>
      <c r="AV130" s="390"/>
      <c r="AW130" s="390"/>
      <c r="AX130" s="390"/>
      <c r="AY130" s="390"/>
      <c r="AZ130" s="390"/>
      <c r="BA130" s="390"/>
      <c r="BB130" s="390"/>
      <c r="BC130" s="390"/>
      <c r="BD130" s="390"/>
      <c r="BE130" s="390"/>
      <c r="BF130" s="390"/>
      <c r="BG130" s="390"/>
      <c r="BH130" s="390"/>
      <c r="BI130" s="390"/>
      <c r="BJ130" s="390"/>
      <c r="BK130" s="390"/>
      <c r="BL130" s="390"/>
      <c r="BM130" s="390"/>
      <c r="BN130" s="390"/>
      <c r="BO130" s="390"/>
      <c r="BP130" s="390"/>
      <c r="BQ130" s="390"/>
      <c r="BR130" s="390"/>
      <c r="BS130" s="390"/>
      <c r="BT130" s="390"/>
      <c r="BU130" s="390"/>
      <c r="BV130" s="390"/>
      <c r="BW130" s="390"/>
      <c r="BX130" s="390"/>
      <c r="BY130" s="390"/>
    </row>
    <row r="131" spans="1:77" ht="27" customHeight="1" x14ac:dyDescent="0.2">
      <c r="A131" s="133"/>
      <c r="B131" s="116">
        <v>1</v>
      </c>
      <c r="C131" s="116"/>
      <c r="D131" s="61" t="s">
        <v>152</v>
      </c>
      <c r="E131" s="163"/>
      <c r="F131" s="61"/>
      <c r="G131" s="61"/>
      <c r="H131" s="61"/>
      <c r="I131" s="61"/>
      <c r="J131" s="118"/>
      <c r="K131" s="117"/>
      <c r="L131" s="118"/>
      <c r="M131" s="118"/>
      <c r="N131" s="119"/>
      <c r="O131" s="116"/>
      <c r="P131" s="119"/>
      <c r="Q131" s="120"/>
      <c r="R131" s="116"/>
      <c r="S131" s="121"/>
      <c r="T131" s="119"/>
      <c r="U131" s="119"/>
      <c r="V131" s="122">
        <f>V132</f>
        <v>2980319083.0199995</v>
      </c>
      <c r="W131" s="122">
        <f t="shared" si="56"/>
        <v>0</v>
      </c>
      <c r="X131" s="122">
        <f t="shared" si="56"/>
        <v>0</v>
      </c>
      <c r="Y131" s="122">
        <f t="shared" si="56"/>
        <v>0</v>
      </c>
      <c r="Z131" s="122">
        <f t="shared" si="56"/>
        <v>0</v>
      </c>
      <c r="AA131" s="122">
        <f t="shared" si="56"/>
        <v>0</v>
      </c>
      <c r="AB131" s="122">
        <f t="shared" si="56"/>
        <v>0</v>
      </c>
      <c r="AC131" s="122">
        <f t="shared" si="56"/>
        <v>0</v>
      </c>
      <c r="AD131" s="122">
        <f t="shared" si="56"/>
        <v>0</v>
      </c>
      <c r="AE131" s="122">
        <f t="shared" si="56"/>
        <v>0</v>
      </c>
      <c r="AF131" s="122">
        <f t="shared" si="56"/>
        <v>795000000</v>
      </c>
      <c r="AG131" s="122">
        <f t="shared" si="56"/>
        <v>263038142</v>
      </c>
      <c r="AH131" s="122">
        <f t="shared" si="56"/>
        <v>0</v>
      </c>
      <c r="AI131" s="122">
        <f>AI132</f>
        <v>4038357225.02</v>
      </c>
      <c r="AJ131" s="122"/>
      <c r="AK131" s="156"/>
    </row>
    <row r="132" spans="1:77" s="9" customFormat="1" ht="27.75" customHeight="1" x14ac:dyDescent="0.25">
      <c r="A132" s="115"/>
      <c r="B132" s="67"/>
      <c r="C132" s="67"/>
      <c r="D132" s="64">
        <v>33</v>
      </c>
      <c r="E132" s="194" t="s">
        <v>183</v>
      </c>
      <c r="F132" s="62"/>
      <c r="G132" s="123"/>
      <c r="H132" s="124"/>
      <c r="I132" s="124"/>
      <c r="J132" s="126"/>
      <c r="K132" s="125"/>
      <c r="L132" s="126"/>
      <c r="M132" s="126"/>
      <c r="N132" s="128"/>
      <c r="O132" s="127"/>
      <c r="P132" s="128"/>
      <c r="Q132" s="129"/>
      <c r="R132" s="127"/>
      <c r="S132" s="199"/>
      <c r="T132" s="131"/>
      <c r="U132" s="131"/>
      <c r="V132" s="132">
        <f>V133+V142</f>
        <v>2980319083.0199995</v>
      </c>
      <c r="W132" s="132">
        <f t="shared" ref="W132:AI132" si="57">W133+W142</f>
        <v>0</v>
      </c>
      <c r="X132" s="132">
        <f t="shared" si="57"/>
        <v>0</v>
      </c>
      <c r="Y132" s="132">
        <f t="shared" si="57"/>
        <v>0</v>
      </c>
      <c r="Z132" s="132">
        <f t="shared" si="57"/>
        <v>0</v>
      </c>
      <c r="AA132" s="132">
        <f t="shared" si="57"/>
        <v>0</v>
      </c>
      <c r="AB132" s="132">
        <f t="shared" si="57"/>
        <v>0</v>
      </c>
      <c r="AC132" s="132">
        <f t="shared" si="57"/>
        <v>0</v>
      </c>
      <c r="AD132" s="132">
        <f t="shared" si="57"/>
        <v>0</v>
      </c>
      <c r="AE132" s="132">
        <f t="shared" si="57"/>
        <v>0</v>
      </c>
      <c r="AF132" s="132">
        <f t="shared" si="57"/>
        <v>795000000</v>
      </c>
      <c r="AG132" s="132">
        <f t="shared" si="57"/>
        <v>263038142</v>
      </c>
      <c r="AH132" s="132">
        <f t="shared" si="57"/>
        <v>0</v>
      </c>
      <c r="AI132" s="132">
        <f t="shared" si="57"/>
        <v>4038357225.02</v>
      </c>
      <c r="AJ132" s="132"/>
      <c r="AK132" s="157"/>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row>
    <row r="133" spans="1:77" ht="29.25" customHeight="1" x14ac:dyDescent="0.2">
      <c r="A133" s="133"/>
      <c r="B133" s="67"/>
      <c r="C133" s="67"/>
      <c r="D133" s="67"/>
      <c r="E133" s="67"/>
      <c r="F133" s="141">
        <v>3301</v>
      </c>
      <c r="G133" s="65" t="s">
        <v>184</v>
      </c>
      <c r="H133" s="179"/>
      <c r="I133" s="179"/>
      <c r="J133" s="140"/>
      <c r="K133" s="139"/>
      <c r="L133" s="140"/>
      <c r="M133" s="140"/>
      <c r="N133" s="135"/>
      <c r="O133" s="141"/>
      <c r="P133" s="135"/>
      <c r="Q133" s="142"/>
      <c r="R133" s="141"/>
      <c r="S133" s="143"/>
      <c r="T133" s="135"/>
      <c r="U133" s="135"/>
      <c r="V133" s="136">
        <f>SUM(V134:V141)</f>
        <v>2980319083.0199995</v>
      </c>
      <c r="W133" s="136">
        <f t="shared" ref="W133:AI133" si="58">SUM(W134:W141)</f>
        <v>0</v>
      </c>
      <c r="X133" s="136">
        <f t="shared" si="58"/>
        <v>0</v>
      </c>
      <c r="Y133" s="136">
        <f t="shared" si="58"/>
        <v>0</v>
      </c>
      <c r="Z133" s="136">
        <f t="shared" si="58"/>
        <v>0</v>
      </c>
      <c r="AA133" s="136">
        <f t="shared" si="58"/>
        <v>0</v>
      </c>
      <c r="AB133" s="136">
        <f t="shared" si="58"/>
        <v>0</v>
      </c>
      <c r="AC133" s="136">
        <f t="shared" si="58"/>
        <v>0</v>
      </c>
      <c r="AD133" s="136">
        <f t="shared" si="58"/>
        <v>0</v>
      </c>
      <c r="AE133" s="136">
        <f t="shared" si="58"/>
        <v>0</v>
      </c>
      <c r="AF133" s="136">
        <f t="shared" si="58"/>
        <v>662000000</v>
      </c>
      <c r="AG133" s="136">
        <f t="shared" si="58"/>
        <v>0</v>
      </c>
      <c r="AH133" s="136">
        <f t="shared" si="58"/>
        <v>0</v>
      </c>
      <c r="AI133" s="136">
        <f t="shared" si="58"/>
        <v>3642319083.02</v>
      </c>
      <c r="AJ133" s="136"/>
      <c r="AK133" s="144"/>
    </row>
    <row r="134" spans="1:77" ht="144" customHeight="1" x14ac:dyDescent="0.2">
      <c r="A134" s="133"/>
      <c r="B134" s="67"/>
      <c r="C134" s="67"/>
      <c r="D134" s="67"/>
      <c r="E134" s="67"/>
      <c r="F134" s="71"/>
      <c r="G134" s="80"/>
      <c r="H134" s="518" t="s">
        <v>380</v>
      </c>
      <c r="I134" s="66">
        <v>3301087</v>
      </c>
      <c r="J134" s="512" t="s">
        <v>381</v>
      </c>
      <c r="K134" s="66">
        <v>3301087</v>
      </c>
      <c r="L134" s="512" t="s">
        <v>381</v>
      </c>
      <c r="M134" s="66">
        <v>330108701</v>
      </c>
      <c r="N134" s="510" t="s">
        <v>350</v>
      </c>
      <c r="O134" s="66">
        <v>330108701</v>
      </c>
      <c r="P134" s="510" t="s">
        <v>350</v>
      </c>
      <c r="Q134" s="517" t="s">
        <v>71</v>
      </c>
      <c r="R134" s="96">
        <v>5700</v>
      </c>
      <c r="S134" s="612" t="s">
        <v>382</v>
      </c>
      <c r="T134" s="614" t="s">
        <v>383</v>
      </c>
      <c r="U134" s="606" t="s">
        <v>384</v>
      </c>
      <c r="V134" s="415"/>
      <c r="W134" s="137"/>
      <c r="X134" s="137"/>
      <c r="Y134" s="137"/>
      <c r="Z134" s="137"/>
      <c r="AA134" s="137"/>
      <c r="AB134" s="137"/>
      <c r="AC134" s="137"/>
      <c r="AD134" s="137"/>
      <c r="AE134" s="137"/>
      <c r="AF134" s="221">
        <f>370000000-80000000</f>
        <v>290000000</v>
      </c>
      <c r="AG134" s="137"/>
      <c r="AH134" s="137"/>
      <c r="AI134" s="138">
        <f>SUM(V134:AH134)</f>
        <v>290000000</v>
      </c>
      <c r="AJ134" s="138" t="s">
        <v>385</v>
      </c>
      <c r="AK134" s="212" t="s">
        <v>1430</v>
      </c>
    </row>
    <row r="135" spans="1:77" ht="135" customHeight="1" x14ac:dyDescent="0.2">
      <c r="A135" s="133"/>
      <c r="B135" s="67"/>
      <c r="C135" s="67"/>
      <c r="D135" s="67"/>
      <c r="E135" s="67"/>
      <c r="F135" s="71"/>
      <c r="G135" s="72"/>
      <c r="H135" s="518" t="s">
        <v>185</v>
      </c>
      <c r="I135" s="66">
        <v>3301073</v>
      </c>
      <c r="J135" s="512" t="s">
        <v>386</v>
      </c>
      <c r="K135" s="66">
        <v>3301073</v>
      </c>
      <c r="L135" s="512" t="s">
        <v>386</v>
      </c>
      <c r="M135" s="66">
        <v>330107301</v>
      </c>
      <c r="N135" s="510" t="s">
        <v>387</v>
      </c>
      <c r="O135" s="66">
        <v>330107301</v>
      </c>
      <c r="P135" s="510" t="s">
        <v>387</v>
      </c>
      <c r="Q135" s="517" t="s">
        <v>71</v>
      </c>
      <c r="R135" s="96">
        <v>500</v>
      </c>
      <c r="S135" s="612"/>
      <c r="T135" s="614"/>
      <c r="U135" s="606"/>
      <c r="V135" s="221">
        <f>919912475+183982494.6+176183734.3</f>
        <v>1280078703.8999999</v>
      </c>
      <c r="W135" s="137"/>
      <c r="X135" s="137"/>
      <c r="Y135" s="137"/>
      <c r="Z135" s="137"/>
      <c r="AA135" s="137"/>
      <c r="AB135" s="137"/>
      <c r="AC135" s="137"/>
      <c r="AD135" s="137"/>
      <c r="AE135" s="137"/>
      <c r="AF135" s="222">
        <f>150000000+24600000+30000000+50000000</f>
        <v>254600000</v>
      </c>
      <c r="AG135" s="137"/>
      <c r="AH135" s="137"/>
      <c r="AI135" s="138">
        <f t="shared" ref="AI135:AI141" si="59">+V135+W135+X135+Y135+Z135+AA135+AB135+AC135+AD135+AE135+AF135+AG135+AH135</f>
        <v>1534678703.8999999</v>
      </c>
      <c r="AJ135" s="138" t="s">
        <v>385</v>
      </c>
      <c r="AK135" s="212" t="s">
        <v>1430</v>
      </c>
    </row>
    <row r="136" spans="1:77" ht="151.5" customHeight="1" x14ac:dyDescent="0.2">
      <c r="A136" s="133"/>
      <c r="B136" s="67"/>
      <c r="C136" s="67"/>
      <c r="D136" s="67"/>
      <c r="E136" s="67"/>
      <c r="F136" s="71"/>
      <c r="G136" s="72"/>
      <c r="H136" s="518" t="s">
        <v>388</v>
      </c>
      <c r="I136" s="66" t="s">
        <v>50</v>
      </c>
      <c r="J136" s="518" t="s">
        <v>389</v>
      </c>
      <c r="K136" s="68">
        <v>3301070</v>
      </c>
      <c r="L136" s="518" t="s">
        <v>390</v>
      </c>
      <c r="M136" s="66" t="s">
        <v>50</v>
      </c>
      <c r="N136" s="510" t="s">
        <v>391</v>
      </c>
      <c r="O136" s="68">
        <v>330107000</v>
      </c>
      <c r="P136" s="510" t="s">
        <v>101</v>
      </c>
      <c r="Q136" s="88" t="s">
        <v>71</v>
      </c>
      <c r="R136" s="96">
        <v>0.3</v>
      </c>
      <c r="S136" s="612"/>
      <c r="T136" s="614"/>
      <c r="U136" s="606"/>
      <c r="V136" s="416"/>
      <c r="W136" s="137"/>
      <c r="X136" s="137"/>
      <c r="Y136" s="137"/>
      <c r="Z136" s="137"/>
      <c r="AA136" s="137"/>
      <c r="AB136" s="137"/>
      <c r="AC136" s="137"/>
      <c r="AD136" s="137"/>
      <c r="AE136" s="137"/>
      <c r="AF136" s="221">
        <v>36000000</v>
      </c>
      <c r="AG136" s="137"/>
      <c r="AH136" s="137"/>
      <c r="AI136" s="138">
        <f>+V136+W136+X136+Y136+Z136+AA136+AB136+AC136+AD136+AE136+AF136+AG136+AH136</f>
        <v>36000000</v>
      </c>
      <c r="AJ136" s="138" t="s">
        <v>385</v>
      </c>
      <c r="AK136" s="212" t="s">
        <v>1430</v>
      </c>
    </row>
    <row r="137" spans="1:77" ht="96" customHeight="1" x14ac:dyDescent="0.2">
      <c r="A137" s="133"/>
      <c r="B137" s="67"/>
      <c r="C137" s="67"/>
      <c r="D137" s="67"/>
      <c r="E137" s="67"/>
      <c r="F137" s="71"/>
      <c r="G137" s="72"/>
      <c r="H137" s="518" t="s">
        <v>185</v>
      </c>
      <c r="I137" s="68">
        <v>3301099</v>
      </c>
      <c r="J137" s="518" t="s">
        <v>1408</v>
      </c>
      <c r="K137" s="68">
        <v>3301099</v>
      </c>
      <c r="L137" s="518" t="s">
        <v>1408</v>
      </c>
      <c r="M137" s="68">
        <v>330109900</v>
      </c>
      <c r="N137" s="510" t="s">
        <v>1409</v>
      </c>
      <c r="O137" s="68">
        <v>330109900</v>
      </c>
      <c r="P137" s="510" t="s">
        <v>1409</v>
      </c>
      <c r="Q137" s="88" t="s">
        <v>55</v>
      </c>
      <c r="R137" s="96">
        <v>1</v>
      </c>
      <c r="S137" s="612"/>
      <c r="T137" s="614"/>
      <c r="U137" s="606"/>
      <c r="V137" s="416"/>
      <c r="W137" s="137"/>
      <c r="X137" s="137"/>
      <c r="Y137" s="137"/>
      <c r="Z137" s="137"/>
      <c r="AA137" s="137"/>
      <c r="AB137" s="137"/>
      <c r="AC137" s="137"/>
      <c r="AD137" s="137"/>
      <c r="AE137" s="137"/>
      <c r="AF137" s="221">
        <f>30000000-24600000</f>
        <v>5400000</v>
      </c>
      <c r="AG137" s="137"/>
      <c r="AH137" s="137"/>
      <c r="AI137" s="138">
        <f>+V137+W137+X137+Y137+Z137+AA137+AB137+AC137+AD137+AE137+AF137+AG137+AH137</f>
        <v>5400000</v>
      </c>
      <c r="AJ137" s="138" t="s">
        <v>385</v>
      </c>
      <c r="AK137" s="212" t="s">
        <v>1430</v>
      </c>
    </row>
    <row r="138" spans="1:77" ht="139.5" customHeight="1" x14ac:dyDescent="0.2">
      <c r="A138" s="133"/>
      <c r="B138" s="67"/>
      <c r="C138" s="67"/>
      <c r="D138" s="67"/>
      <c r="E138" s="67"/>
      <c r="F138" s="71"/>
      <c r="G138" s="80"/>
      <c r="H138" s="518" t="s">
        <v>380</v>
      </c>
      <c r="I138" s="66">
        <v>3301052</v>
      </c>
      <c r="J138" s="512" t="s">
        <v>392</v>
      </c>
      <c r="K138" s="66">
        <v>3301052</v>
      </c>
      <c r="L138" s="512" t="s">
        <v>392</v>
      </c>
      <c r="M138" s="223">
        <v>330105203</v>
      </c>
      <c r="N138" s="510" t="s">
        <v>393</v>
      </c>
      <c r="O138" s="223">
        <v>330105203</v>
      </c>
      <c r="P138" s="510" t="s">
        <v>393</v>
      </c>
      <c r="Q138" s="88" t="s">
        <v>55</v>
      </c>
      <c r="R138" s="96">
        <v>135</v>
      </c>
      <c r="S138" s="612"/>
      <c r="T138" s="614"/>
      <c r="U138" s="606"/>
      <c r="V138" s="416"/>
      <c r="W138" s="137"/>
      <c r="X138" s="137"/>
      <c r="Y138" s="137"/>
      <c r="Z138" s="137"/>
      <c r="AA138" s="137"/>
      <c r="AB138" s="137"/>
      <c r="AC138" s="137"/>
      <c r="AD138" s="137"/>
      <c r="AE138" s="137"/>
      <c r="AF138" s="221">
        <v>18000000</v>
      </c>
      <c r="AG138" s="137"/>
      <c r="AH138" s="137"/>
      <c r="AI138" s="138">
        <f>+V138+W138+X138+Y138+Z138+AA138+AB138+AC138+AD138+AE138+AF138+AG138+AH138</f>
        <v>18000000</v>
      </c>
      <c r="AJ138" s="138" t="s">
        <v>385</v>
      </c>
      <c r="AK138" s="212" t="s">
        <v>1430</v>
      </c>
    </row>
    <row r="139" spans="1:77" ht="103.5" customHeight="1" x14ac:dyDescent="0.2">
      <c r="A139" s="133"/>
      <c r="B139" s="67"/>
      <c r="C139" s="67"/>
      <c r="D139" s="67"/>
      <c r="E139" s="67"/>
      <c r="F139" s="71"/>
      <c r="G139" s="510"/>
      <c r="H139" s="518" t="s">
        <v>394</v>
      </c>
      <c r="I139" s="66">
        <v>3301085</v>
      </c>
      <c r="J139" s="512" t="s">
        <v>395</v>
      </c>
      <c r="K139" s="66">
        <v>3301085</v>
      </c>
      <c r="L139" s="512" t="s">
        <v>395</v>
      </c>
      <c r="M139" s="66" t="s">
        <v>396</v>
      </c>
      <c r="N139" s="510" t="s">
        <v>397</v>
      </c>
      <c r="O139" s="66" t="s">
        <v>396</v>
      </c>
      <c r="P139" s="510" t="s">
        <v>397</v>
      </c>
      <c r="Q139" s="517" t="s">
        <v>71</v>
      </c>
      <c r="R139" s="96">
        <v>40000</v>
      </c>
      <c r="S139" s="612" t="s">
        <v>398</v>
      </c>
      <c r="T139" s="614" t="s">
        <v>399</v>
      </c>
      <c r="U139" s="628" t="s">
        <v>400</v>
      </c>
      <c r="V139" s="221">
        <f>80000000+75000000</f>
        <v>155000000</v>
      </c>
      <c r="W139" s="137"/>
      <c r="X139" s="137"/>
      <c r="Y139" s="137"/>
      <c r="Z139" s="137"/>
      <c r="AA139" s="137"/>
      <c r="AB139" s="137"/>
      <c r="AC139" s="137"/>
      <c r="AD139" s="137"/>
      <c r="AE139" s="137"/>
      <c r="AF139" s="222">
        <f>20000000</f>
        <v>20000000</v>
      </c>
      <c r="AG139" s="137"/>
      <c r="AH139" s="137"/>
      <c r="AI139" s="138">
        <f t="shared" si="59"/>
        <v>175000000</v>
      </c>
      <c r="AJ139" s="138" t="s">
        <v>385</v>
      </c>
      <c r="AK139" s="212" t="s">
        <v>1430</v>
      </c>
    </row>
    <row r="140" spans="1:77" ht="100.5" customHeight="1" x14ac:dyDescent="0.2">
      <c r="A140" s="133"/>
      <c r="B140" s="67"/>
      <c r="C140" s="67"/>
      <c r="D140" s="67"/>
      <c r="E140" s="67"/>
      <c r="F140" s="71"/>
      <c r="G140" s="510"/>
      <c r="H140" s="518" t="s">
        <v>394</v>
      </c>
      <c r="I140" s="66">
        <v>3301100</v>
      </c>
      <c r="J140" s="512" t="s">
        <v>401</v>
      </c>
      <c r="K140" s="66">
        <v>3301100</v>
      </c>
      <c r="L140" s="512" t="s">
        <v>401</v>
      </c>
      <c r="M140" s="224" t="s">
        <v>402</v>
      </c>
      <c r="N140" s="76" t="s">
        <v>403</v>
      </c>
      <c r="O140" s="224" t="s">
        <v>402</v>
      </c>
      <c r="P140" s="76" t="s">
        <v>403</v>
      </c>
      <c r="Q140" s="517" t="s">
        <v>71</v>
      </c>
      <c r="R140" s="96">
        <v>10</v>
      </c>
      <c r="S140" s="612"/>
      <c r="T140" s="614"/>
      <c r="U140" s="628"/>
      <c r="V140" s="221">
        <f>103982494.6+40030803</f>
        <v>144013297.59999999</v>
      </c>
      <c r="W140" s="137"/>
      <c r="X140" s="137"/>
      <c r="Y140" s="137"/>
      <c r="Z140" s="137"/>
      <c r="AA140" s="137"/>
      <c r="AB140" s="137"/>
      <c r="AC140" s="137"/>
      <c r="AD140" s="137"/>
      <c r="AE140" s="137"/>
      <c r="AF140" s="225">
        <f>18000000</f>
        <v>18000000</v>
      </c>
      <c r="AG140" s="137"/>
      <c r="AH140" s="137"/>
      <c r="AI140" s="138">
        <f t="shared" si="59"/>
        <v>162013297.59999999</v>
      </c>
      <c r="AJ140" s="138" t="s">
        <v>385</v>
      </c>
      <c r="AK140" s="212" t="s">
        <v>1430</v>
      </c>
    </row>
    <row r="141" spans="1:77" ht="148.5" customHeight="1" x14ac:dyDescent="0.2">
      <c r="A141" s="133"/>
      <c r="B141" s="67"/>
      <c r="C141" s="67"/>
      <c r="D141" s="67"/>
      <c r="E141" s="67"/>
      <c r="F141" s="71"/>
      <c r="G141" s="80"/>
      <c r="H141" s="518" t="s">
        <v>185</v>
      </c>
      <c r="I141" s="66">
        <v>3301095</v>
      </c>
      <c r="J141" s="512" t="s">
        <v>404</v>
      </c>
      <c r="K141" s="66">
        <v>3301095</v>
      </c>
      <c r="L141" s="512" t="s">
        <v>404</v>
      </c>
      <c r="M141" s="66" t="s">
        <v>405</v>
      </c>
      <c r="N141" s="510" t="s">
        <v>406</v>
      </c>
      <c r="O141" s="66" t="s">
        <v>405</v>
      </c>
      <c r="P141" s="510" t="s">
        <v>406</v>
      </c>
      <c r="Q141" s="88" t="s">
        <v>71</v>
      </c>
      <c r="R141" s="96">
        <v>150</v>
      </c>
      <c r="S141" s="517" t="s">
        <v>407</v>
      </c>
      <c r="T141" s="522" t="s">
        <v>408</v>
      </c>
      <c r="U141" s="522" t="s">
        <v>409</v>
      </c>
      <c r="V141" s="416">
        <f>183982494.6+1217244586.92</f>
        <v>1401227081.52</v>
      </c>
      <c r="W141" s="137"/>
      <c r="X141" s="137"/>
      <c r="Y141" s="137"/>
      <c r="Z141" s="137"/>
      <c r="AA141" s="137"/>
      <c r="AB141" s="137"/>
      <c r="AC141" s="137"/>
      <c r="AD141" s="137"/>
      <c r="AE141" s="137"/>
      <c r="AF141" s="221">
        <v>20000000</v>
      </c>
      <c r="AG141" s="137"/>
      <c r="AH141" s="137"/>
      <c r="AI141" s="138">
        <f t="shared" si="59"/>
        <v>1421227081.52</v>
      </c>
      <c r="AJ141" s="138" t="s">
        <v>385</v>
      </c>
      <c r="AK141" s="212" t="s">
        <v>1430</v>
      </c>
    </row>
    <row r="142" spans="1:77" ht="25.5" customHeight="1" x14ac:dyDescent="0.2">
      <c r="A142" s="133"/>
      <c r="B142" s="67"/>
      <c r="C142" s="67"/>
      <c r="D142" s="67"/>
      <c r="E142" s="67"/>
      <c r="F142" s="141">
        <v>3302</v>
      </c>
      <c r="G142" s="65" t="s">
        <v>410</v>
      </c>
      <c r="H142" s="179"/>
      <c r="I142" s="179"/>
      <c r="J142" s="140"/>
      <c r="K142" s="139"/>
      <c r="L142" s="140"/>
      <c r="M142" s="140"/>
      <c r="N142" s="135"/>
      <c r="O142" s="141"/>
      <c r="P142" s="135"/>
      <c r="Q142" s="142"/>
      <c r="R142" s="141"/>
      <c r="S142" s="143"/>
      <c r="T142" s="135"/>
      <c r="U142" s="135"/>
      <c r="V142" s="136">
        <f t="shared" ref="V142:AH142" si="60">SUM(V143:V144)</f>
        <v>0</v>
      </c>
      <c r="W142" s="136">
        <f t="shared" si="60"/>
        <v>0</v>
      </c>
      <c r="X142" s="136">
        <f t="shared" si="60"/>
        <v>0</v>
      </c>
      <c r="Y142" s="136">
        <f t="shared" si="60"/>
        <v>0</v>
      </c>
      <c r="Z142" s="136">
        <f t="shared" si="60"/>
        <v>0</v>
      </c>
      <c r="AA142" s="136">
        <f t="shared" si="60"/>
        <v>0</v>
      </c>
      <c r="AB142" s="136">
        <f t="shared" si="60"/>
        <v>0</v>
      </c>
      <c r="AC142" s="136">
        <f t="shared" si="60"/>
        <v>0</v>
      </c>
      <c r="AD142" s="136">
        <f t="shared" si="60"/>
        <v>0</v>
      </c>
      <c r="AE142" s="136">
        <f t="shared" si="60"/>
        <v>0</v>
      </c>
      <c r="AF142" s="136">
        <f>SUM(AF143:AF144)</f>
        <v>133000000</v>
      </c>
      <c r="AG142" s="136">
        <f>SUM(AG143:AG144)</f>
        <v>263038142</v>
      </c>
      <c r="AH142" s="136">
        <f t="shared" si="60"/>
        <v>0</v>
      </c>
      <c r="AI142" s="136">
        <f>SUM(AI143:AI144)</f>
        <v>396038142</v>
      </c>
      <c r="AJ142" s="136"/>
      <c r="AK142" s="144"/>
    </row>
    <row r="143" spans="1:77" ht="123" customHeight="1" x14ac:dyDescent="0.2">
      <c r="A143" s="133"/>
      <c r="B143" s="67"/>
      <c r="C143" s="67"/>
      <c r="D143" s="67"/>
      <c r="E143" s="67"/>
      <c r="F143" s="71"/>
      <c r="G143" s="80"/>
      <c r="H143" s="512" t="s">
        <v>411</v>
      </c>
      <c r="I143" s="70">
        <v>3302042</v>
      </c>
      <c r="J143" s="512" t="s">
        <v>412</v>
      </c>
      <c r="K143" s="70">
        <v>3302042</v>
      </c>
      <c r="L143" s="512" t="s">
        <v>412</v>
      </c>
      <c r="M143" s="66" t="s">
        <v>413</v>
      </c>
      <c r="N143" s="510" t="s">
        <v>414</v>
      </c>
      <c r="O143" s="66" t="s">
        <v>413</v>
      </c>
      <c r="P143" s="510" t="s">
        <v>414</v>
      </c>
      <c r="Q143" s="517" t="s">
        <v>71</v>
      </c>
      <c r="R143" s="96">
        <v>12</v>
      </c>
      <c r="S143" s="613" t="s">
        <v>415</v>
      </c>
      <c r="T143" s="616" t="s">
        <v>416</v>
      </c>
      <c r="U143" s="627" t="s">
        <v>417</v>
      </c>
      <c r="V143" s="137"/>
      <c r="W143" s="137"/>
      <c r="X143" s="137"/>
      <c r="Y143" s="137"/>
      <c r="Z143" s="137"/>
      <c r="AA143" s="137"/>
      <c r="AB143" s="137"/>
      <c r="AC143" s="137"/>
      <c r="AD143" s="137"/>
      <c r="AE143" s="137"/>
      <c r="AF143" s="150">
        <v>66500000</v>
      </c>
      <c r="AG143" s="225"/>
      <c r="AH143" s="206"/>
      <c r="AI143" s="138">
        <f>+V143+W143+X143+Y143+Z143+AA143+AB143+AC143+AD143+AE143+AF143+AG143+AH143</f>
        <v>66500000</v>
      </c>
      <c r="AJ143" s="138" t="s">
        <v>385</v>
      </c>
      <c r="AK143" s="212" t="s">
        <v>1430</v>
      </c>
    </row>
    <row r="144" spans="1:77" ht="130.5" customHeight="1" x14ac:dyDescent="0.2">
      <c r="A144" s="133"/>
      <c r="B144" s="67"/>
      <c r="C144" s="67"/>
      <c r="D144" s="67"/>
      <c r="E144" s="67"/>
      <c r="F144" s="71"/>
      <c r="G144" s="80"/>
      <c r="H144" s="512" t="s">
        <v>411</v>
      </c>
      <c r="I144" s="70">
        <v>3302070</v>
      </c>
      <c r="J144" s="512" t="s">
        <v>418</v>
      </c>
      <c r="K144" s="70">
        <v>3302070</v>
      </c>
      <c r="L144" s="512" t="s">
        <v>418</v>
      </c>
      <c r="M144" s="224" t="s">
        <v>419</v>
      </c>
      <c r="N144" s="76" t="s">
        <v>403</v>
      </c>
      <c r="O144" s="224" t="s">
        <v>419</v>
      </c>
      <c r="P144" s="76" t="s">
        <v>403</v>
      </c>
      <c r="Q144" s="517" t="s">
        <v>55</v>
      </c>
      <c r="R144" s="96">
        <v>4</v>
      </c>
      <c r="S144" s="613"/>
      <c r="T144" s="616"/>
      <c r="U144" s="627"/>
      <c r="V144" s="133"/>
      <c r="W144" s="137"/>
      <c r="X144" s="137"/>
      <c r="Y144" s="137"/>
      <c r="Z144" s="137"/>
      <c r="AA144" s="137"/>
      <c r="AB144" s="137"/>
      <c r="AC144" s="137"/>
      <c r="AD144" s="137"/>
      <c r="AE144" s="137"/>
      <c r="AF144" s="150">
        <v>66500000</v>
      </c>
      <c r="AG144" s="226">
        <v>263038142</v>
      </c>
      <c r="AH144" s="206"/>
      <c r="AI144" s="138">
        <f>+V144+W144+X144+Y144+Z144+AA144+AB144+AC144+AD144+AE144+AF144+AG144+AH144</f>
        <v>329538142</v>
      </c>
      <c r="AJ144" s="138" t="s">
        <v>385</v>
      </c>
      <c r="AK144" s="212" t="s">
        <v>1430</v>
      </c>
    </row>
    <row r="145" spans="1:77" s="7" customFormat="1" ht="16.5" customHeight="1" x14ac:dyDescent="0.25">
      <c r="A145" s="457"/>
      <c r="B145" s="457"/>
      <c r="C145" s="457"/>
      <c r="D145" s="457"/>
      <c r="E145" s="457"/>
      <c r="F145" s="457"/>
      <c r="G145" s="457"/>
      <c r="H145" s="458"/>
      <c r="I145" s="457"/>
      <c r="J145" s="457"/>
      <c r="K145" s="457"/>
      <c r="L145" s="457"/>
      <c r="M145" s="457"/>
      <c r="N145" s="457"/>
      <c r="O145" s="457"/>
      <c r="P145" s="457"/>
      <c r="Q145" s="459"/>
      <c r="R145" s="457"/>
      <c r="S145" s="459"/>
      <c r="T145" s="459"/>
      <c r="U145" s="459"/>
      <c r="V145" s="460"/>
      <c r="W145" s="460"/>
      <c r="X145" s="460"/>
      <c r="Y145" s="460"/>
      <c r="Z145" s="460"/>
      <c r="AA145" s="460"/>
      <c r="AB145" s="460"/>
      <c r="AC145" s="460"/>
      <c r="AD145" s="460"/>
      <c r="AE145" s="460"/>
      <c r="AF145" s="460"/>
      <c r="AG145" s="460"/>
      <c r="AH145" s="460"/>
      <c r="AI145" s="460"/>
      <c r="AJ145" s="460"/>
      <c r="AK145" s="460"/>
    </row>
    <row r="146" spans="1:77" s="391" customFormat="1" ht="36.75" customHeight="1" x14ac:dyDescent="0.2">
      <c r="A146" s="41" t="s">
        <v>420</v>
      </c>
      <c r="B146" s="41"/>
      <c r="C146" s="41"/>
      <c r="D146" s="41"/>
      <c r="E146" s="41"/>
      <c r="F146" s="42"/>
      <c r="G146" s="43"/>
      <c r="H146" s="383"/>
      <c r="I146" s="383"/>
      <c r="J146" s="383"/>
      <c r="K146" s="386"/>
      <c r="L146" s="383"/>
      <c r="M146" s="383"/>
      <c r="N146" s="388"/>
      <c r="O146" s="387"/>
      <c r="P146" s="388"/>
      <c r="Q146" s="389"/>
      <c r="R146" s="387"/>
      <c r="S146" s="43"/>
      <c r="T146" s="388"/>
      <c r="U146" s="388"/>
      <c r="V146" s="384">
        <f>V147</f>
        <v>0</v>
      </c>
      <c r="W146" s="384">
        <f t="shared" ref="W146:AH146" si="61">W147</f>
        <v>0</v>
      </c>
      <c r="X146" s="384">
        <f t="shared" si="61"/>
        <v>0</v>
      </c>
      <c r="Y146" s="384">
        <f t="shared" si="61"/>
        <v>0</v>
      </c>
      <c r="Z146" s="384">
        <f t="shared" si="61"/>
        <v>0</v>
      </c>
      <c r="AA146" s="384">
        <f t="shared" si="61"/>
        <v>0</v>
      </c>
      <c r="AB146" s="384">
        <f t="shared" si="61"/>
        <v>0</v>
      </c>
      <c r="AC146" s="384">
        <f t="shared" si="61"/>
        <v>0</v>
      </c>
      <c r="AD146" s="384">
        <f t="shared" si="61"/>
        <v>0</v>
      </c>
      <c r="AE146" s="384">
        <f t="shared" si="61"/>
        <v>0</v>
      </c>
      <c r="AF146" s="384">
        <f t="shared" si="61"/>
        <v>2261356036</v>
      </c>
      <c r="AG146" s="384">
        <f t="shared" si="61"/>
        <v>664872303.75999999</v>
      </c>
      <c r="AH146" s="384">
        <f t="shared" si="61"/>
        <v>0</v>
      </c>
      <c r="AI146" s="384">
        <f>AI147</f>
        <v>2926228339.7600002</v>
      </c>
      <c r="AJ146" s="384"/>
      <c r="AK146" s="385"/>
      <c r="AL146" s="390"/>
      <c r="AM146" s="390"/>
      <c r="AN146" s="390"/>
      <c r="AO146" s="390"/>
      <c r="AP146" s="390"/>
      <c r="AQ146" s="390"/>
      <c r="AR146" s="390"/>
      <c r="AS146" s="390"/>
      <c r="AT146" s="390"/>
      <c r="AU146" s="390"/>
      <c r="AV146" s="390"/>
      <c r="AW146" s="390"/>
      <c r="AX146" s="390"/>
      <c r="AY146" s="390"/>
      <c r="AZ146" s="390"/>
      <c r="BA146" s="390"/>
      <c r="BB146" s="390"/>
      <c r="BC146" s="390"/>
      <c r="BD146" s="390"/>
      <c r="BE146" s="390"/>
      <c r="BF146" s="390"/>
      <c r="BG146" s="390"/>
      <c r="BH146" s="390"/>
      <c r="BI146" s="390"/>
      <c r="BJ146" s="390"/>
      <c r="BK146" s="390"/>
      <c r="BL146" s="390"/>
      <c r="BM146" s="390"/>
      <c r="BN146" s="390"/>
      <c r="BO146" s="390"/>
      <c r="BP146" s="390"/>
      <c r="BQ146" s="390"/>
      <c r="BR146" s="390"/>
      <c r="BS146" s="390"/>
      <c r="BT146" s="390"/>
      <c r="BU146" s="390"/>
      <c r="BV146" s="390"/>
      <c r="BW146" s="390"/>
      <c r="BX146" s="390"/>
      <c r="BY146" s="390"/>
    </row>
    <row r="147" spans="1:77" ht="25.5" customHeight="1" x14ac:dyDescent="0.2">
      <c r="A147" s="133"/>
      <c r="B147" s="227">
        <v>2</v>
      </c>
      <c r="C147" s="227"/>
      <c r="D147" s="61" t="s">
        <v>421</v>
      </c>
      <c r="E147" s="63"/>
      <c r="F147" s="61"/>
      <c r="G147" s="61"/>
      <c r="H147" s="61"/>
      <c r="I147" s="61"/>
      <c r="J147" s="118"/>
      <c r="K147" s="117"/>
      <c r="L147" s="118"/>
      <c r="M147" s="118"/>
      <c r="N147" s="119"/>
      <c r="O147" s="116"/>
      <c r="P147" s="119"/>
      <c r="Q147" s="120"/>
      <c r="R147" s="116"/>
      <c r="S147" s="121"/>
      <c r="T147" s="119"/>
      <c r="U147" s="119"/>
      <c r="V147" s="122">
        <f t="shared" ref="V147:AI147" si="62">V148+V158</f>
        <v>0</v>
      </c>
      <c r="W147" s="122">
        <f t="shared" si="62"/>
        <v>0</v>
      </c>
      <c r="X147" s="122">
        <f t="shared" si="62"/>
        <v>0</v>
      </c>
      <c r="Y147" s="122">
        <f t="shared" si="62"/>
        <v>0</v>
      </c>
      <c r="Z147" s="122">
        <f t="shared" si="62"/>
        <v>0</v>
      </c>
      <c r="AA147" s="122">
        <f t="shared" si="62"/>
        <v>0</v>
      </c>
      <c r="AB147" s="122">
        <f t="shared" si="62"/>
        <v>0</v>
      </c>
      <c r="AC147" s="122">
        <f t="shared" si="62"/>
        <v>0</v>
      </c>
      <c r="AD147" s="122">
        <f t="shared" si="62"/>
        <v>0</v>
      </c>
      <c r="AE147" s="122">
        <f t="shared" si="62"/>
        <v>0</v>
      </c>
      <c r="AF147" s="122">
        <f t="shared" si="62"/>
        <v>2261356036</v>
      </c>
      <c r="AG147" s="122">
        <f t="shared" si="62"/>
        <v>664872303.75999999</v>
      </c>
      <c r="AH147" s="122">
        <f t="shared" si="62"/>
        <v>0</v>
      </c>
      <c r="AI147" s="122">
        <f t="shared" si="62"/>
        <v>2926228339.7600002</v>
      </c>
      <c r="AJ147" s="122"/>
      <c r="AK147" s="156"/>
    </row>
    <row r="148" spans="1:77" s="9" customFormat="1" ht="27.75" customHeight="1" x14ac:dyDescent="0.25">
      <c r="A148" s="115"/>
      <c r="B148" s="67"/>
      <c r="C148" s="67"/>
      <c r="D148" s="64">
        <v>35</v>
      </c>
      <c r="E148" s="62" t="s">
        <v>422</v>
      </c>
      <c r="F148" s="62"/>
      <c r="G148" s="123"/>
      <c r="H148" s="124"/>
      <c r="I148" s="124"/>
      <c r="J148" s="126"/>
      <c r="K148" s="125"/>
      <c r="L148" s="126"/>
      <c r="M148" s="126"/>
      <c r="N148" s="128"/>
      <c r="O148" s="127"/>
      <c r="P148" s="128"/>
      <c r="Q148" s="129"/>
      <c r="R148" s="127"/>
      <c r="S148" s="199"/>
      <c r="T148" s="131"/>
      <c r="U148" s="131"/>
      <c r="V148" s="132">
        <f>V149</f>
        <v>0</v>
      </c>
      <c r="W148" s="132">
        <f t="shared" ref="W148:AH148" si="63">W149</f>
        <v>0</v>
      </c>
      <c r="X148" s="132">
        <f t="shared" si="63"/>
        <v>0</v>
      </c>
      <c r="Y148" s="132">
        <f t="shared" si="63"/>
        <v>0</v>
      </c>
      <c r="Z148" s="132">
        <f t="shared" si="63"/>
        <v>0</v>
      </c>
      <c r="AA148" s="132">
        <f t="shared" si="63"/>
        <v>0</v>
      </c>
      <c r="AB148" s="132">
        <f t="shared" si="63"/>
        <v>0</v>
      </c>
      <c r="AC148" s="132">
        <f t="shared" si="63"/>
        <v>0</v>
      </c>
      <c r="AD148" s="132">
        <f t="shared" si="63"/>
        <v>0</v>
      </c>
      <c r="AE148" s="132">
        <f t="shared" si="63"/>
        <v>0</v>
      </c>
      <c r="AF148" s="132">
        <f t="shared" si="63"/>
        <v>2023856036</v>
      </c>
      <c r="AG148" s="132">
        <f t="shared" si="63"/>
        <v>664872303.75999999</v>
      </c>
      <c r="AH148" s="132">
        <f t="shared" si="63"/>
        <v>0</v>
      </c>
      <c r="AI148" s="132">
        <f>AI149</f>
        <v>2688728339.7600002</v>
      </c>
      <c r="AJ148" s="132"/>
      <c r="AK148" s="157"/>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row>
    <row r="149" spans="1:77" ht="33" customHeight="1" x14ac:dyDescent="0.2">
      <c r="A149" s="133"/>
      <c r="B149" s="71"/>
      <c r="C149" s="71"/>
      <c r="D149" s="71"/>
      <c r="E149" s="71"/>
      <c r="F149" s="134">
        <v>3502</v>
      </c>
      <c r="G149" s="65" t="s">
        <v>423</v>
      </c>
      <c r="H149" s="179"/>
      <c r="I149" s="179"/>
      <c r="J149" s="140"/>
      <c r="K149" s="139"/>
      <c r="L149" s="140"/>
      <c r="M149" s="140"/>
      <c r="N149" s="135"/>
      <c r="O149" s="141"/>
      <c r="P149" s="135"/>
      <c r="Q149" s="142"/>
      <c r="R149" s="141"/>
      <c r="S149" s="143"/>
      <c r="T149" s="135"/>
      <c r="U149" s="135"/>
      <c r="V149" s="136">
        <f t="shared" ref="V149:AJ149" si="64">SUM(V150:V157)</f>
        <v>0</v>
      </c>
      <c r="W149" s="136">
        <f t="shared" si="64"/>
        <v>0</v>
      </c>
      <c r="X149" s="136">
        <f t="shared" si="64"/>
        <v>0</v>
      </c>
      <c r="Y149" s="136">
        <f t="shared" si="64"/>
        <v>0</v>
      </c>
      <c r="Z149" s="136">
        <f t="shared" si="64"/>
        <v>0</v>
      </c>
      <c r="AA149" s="136">
        <f t="shared" si="64"/>
        <v>0</v>
      </c>
      <c r="AB149" s="136">
        <f t="shared" si="64"/>
        <v>0</v>
      </c>
      <c r="AC149" s="136">
        <f t="shared" si="64"/>
        <v>0</v>
      </c>
      <c r="AD149" s="136">
        <f t="shared" si="64"/>
        <v>0</v>
      </c>
      <c r="AE149" s="136">
        <f t="shared" si="64"/>
        <v>0</v>
      </c>
      <c r="AF149" s="136">
        <f t="shared" si="64"/>
        <v>2023856036</v>
      </c>
      <c r="AG149" s="136">
        <f t="shared" si="64"/>
        <v>664872303.75999999</v>
      </c>
      <c r="AH149" s="136">
        <f t="shared" si="64"/>
        <v>0</v>
      </c>
      <c r="AI149" s="136">
        <f t="shared" si="64"/>
        <v>2688728339.7600002</v>
      </c>
      <c r="AJ149" s="136">
        <f t="shared" si="64"/>
        <v>0</v>
      </c>
      <c r="AK149" s="144"/>
    </row>
    <row r="150" spans="1:77" ht="72.75" customHeight="1" x14ac:dyDescent="0.2">
      <c r="A150" s="133"/>
      <c r="B150" s="71"/>
      <c r="C150" s="71"/>
      <c r="D150" s="71"/>
      <c r="E150" s="71"/>
      <c r="F150" s="71"/>
      <c r="G150" s="99"/>
      <c r="H150" s="518" t="s">
        <v>424</v>
      </c>
      <c r="I150" s="73">
        <v>3502006</v>
      </c>
      <c r="J150" s="518" t="s">
        <v>425</v>
      </c>
      <c r="K150" s="73">
        <v>3502006</v>
      </c>
      <c r="L150" s="518" t="s">
        <v>425</v>
      </c>
      <c r="M150" s="68" t="s">
        <v>426</v>
      </c>
      <c r="N150" s="516" t="s">
        <v>427</v>
      </c>
      <c r="O150" s="68" t="s">
        <v>426</v>
      </c>
      <c r="P150" s="516" t="s">
        <v>427</v>
      </c>
      <c r="Q150" s="205" t="s">
        <v>71</v>
      </c>
      <c r="R150" s="96">
        <v>1</v>
      </c>
      <c r="S150" s="613" t="s">
        <v>428</v>
      </c>
      <c r="T150" s="616" t="s">
        <v>429</v>
      </c>
      <c r="U150" s="616" t="s">
        <v>430</v>
      </c>
      <c r="V150" s="228"/>
      <c r="W150" s="228"/>
      <c r="X150" s="228"/>
      <c r="Y150" s="228"/>
      <c r="Z150" s="228"/>
      <c r="AA150" s="228"/>
      <c r="AB150" s="228"/>
      <c r="AC150" s="228"/>
      <c r="AD150" s="228"/>
      <c r="AE150" s="228"/>
      <c r="AF150" s="229">
        <v>27000000</v>
      </c>
      <c r="AG150" s="228"/>
      <c r="AH150" s="137"/>
      <c r="AI150" s="138">
        <f>+V150+W150+X150+Y150+Z150+AA150+AB150+AC150+AD150+AE150+AF150+AG150+AH150</f>
        <v>27000000</v>
      </c>
      <c r="AJ150" s="327" t="s">
        <v>431</v>
      </c>
      <c r="AK150" s="576" t="s">
        <v>1434</v>
      </c>
    </row>
    <row r="151" spans="1:77" ht="87" customHeight="1" x14ac:dyDescent="0.2">
      <c r="A151" s="133"/>
      <c r="B151" s="71"/>
      <c r="C151" s="71"/>
      <c r="D151" s="71"/>
      <c r="E151" s="71"/>
      <c r="F151" s="71"/>
      <c r="G151" s="212"/>
      <c r="H151" s="512" t="s">
        <v>424</v>
      </c>
      <c r="I151" s="73">
        <v>3502007</v>
      </c>
      <c r="J151" s="512" t="s">
        <v>432</v>
      </c>
      <c r="K151" s="73">
        <v>3502007</v>
      </c>
      <c r="L151" s="512" t="s">
        <v>432</v>
      </c>
      <c r="M151" s="66" t="s">
        <v>433</v>
      </c>
      <c r="N151" s="510" t="s">
        <v>434</v>
      </c>
      <c r="O151" s="66" t="s">
        <v>433</v>
      </c>
      <c r="P151" s="510" t="s">
        <v>434</v>
      </c>
      <c r="Q151" s="205" t="s">
        <v>55</v>
      </c>
      <c r="R151" s="96">
        <v>7</v>
      </c>
      <c r="S151" s="613"/>
      <c r="T151" s="616"/>
      <c r="U151" s="616"/>
      <c r="V151" s="137"/>
      <c r="W151" s="137"/>
      <c r="X151" s="137"/>
      <c r="Y151" s="137"/>
      <c r="Z151" s="137"/>
      <c r="AA151" s="137"/>
      <c r="AB151" s="137"/>
      <c r="AC151" s="137"/>
      <c r="AD151" s="137"/>
      <c r="AE151" s="137"/>
      <c r="AF151" s="150">
        <v>50000000</v>
      </c>
      <c r="AG151" s="137"/>
      <c r="AH151" s="137"/>
      <c r="AI151" s="138">
        <f>+V151+W151+X151+Y151+Z151+AA151+AB151+AC151+AD151+AE151+AF151+AG151+AH151</f>
        <v>50000000</v>
      </c>
      <c r="AJ151" s="327" t="s">
        <v>431</v>
      </c>
      <c r="AK151" s="576" t="s">
        <v>1434</v>
      </c>
    </row>
    <row r="152" spans="1:77" ht="60" customHeight="1" x14ac:dyDescent="0.2">
      <c r="A152" s="133"/>
      <c r="B152" s="71"/>
      <c r="C152" s="71"/>
      <c r="D152" s="71"/>
      <c r="E152" s="71"/>
      <c r="F152" s="71"/>
      <c r="G152" s="517"/>
      <c r="H152" s="518" t="s">
        <v>424</v>
      </c>
      <c r="I152" s="69">
        <v>3502022</v>
      </c>
      <c r="J152" s="512" t="s">
        <v>1410</v>
      </c>
      <c r="K152" s="69">
        <v>3502022</v>
      </c>
      <c r="L152" s="512" t="s">
        <v>1410</v>
      </c>
      <c r="M152" s="192" t="s">
        <v>435</v>
      </c>
      <c r="N152" s="76" t="s">
        <v>436</v>
      </c>
      <c r="O152" s="192" t="s">
        <v>435</v>
      </c>
      <c r="P152" s="76" t="s">
        <v>436</v>
      </c>
      <c r="Q152" s="88" t="s">
        <v>55</v>
      </c>
      <c r="R152" s="88">
        <v>14</v>
      </c>
      <c r="S152" s="613" t="s">
        <v>437</v>
      </c>
      <c r="T152" s="614" t="s">
        <v>438</v>
      </c>
      <c r="U152" s="614" t="s">
        <v>439</v>
      </c>
      <c r="V152" s="228"/>
      <c r="W152" s="228"/>
      <c r="X152" s="228"/>
      <c r="Y152" s="228"/>
      <c r="Z152" s="228"/>
      <c r="AA152" s="228"/>
      <c r="AB152" s="228"/>
      <c r="AC152" s="228"/>
      <c r="AD152" s="228"/>
      <c r="AE152" s="228"/>
      <c r="AF152" s="229">
        <v>90000000</v>
      </c>
      <c r="AG152" s="228"/>
      <c r="AH152" s="137"/>
      <c r="AI152" s="138">
        <f t="shared" ref="AI152:AI157" si="65">+V152+W152+X152+Y152+Z152+AA152+AB152+AC152+AD152+AE152+AF152+AG152+AH152</f>
        <v>90000000</v>
      </c>
      <c r="AJ152" s="327" t="s">
        <v>431</v>
      </c>
      <c r="AK152" s="576" t="s">
        <v>1434</v>
      </c>
    </row>
    <row r="153" spans="1:77" ht="84.75" customHeight="1" x14ac:dyDescent="0.2">
      <c r="A153" s="133"/>
      <c r="B153" s="71"/>
      <c r="C153" s="71"/>
      <c r="D153" s="71"/>
      <c r="E153" s="71"/>
      <c r="F153" s="71"/>
      <c r="G153" s="517"/>
      <c r="H153" s="518" t="s">
        <v>424</v>
      </c>
      <c r="I153" s="69">
        <v>3502047</v>
      </c>
      <c r="J153" s="512" t="s">
        <v>252</v>
      </c>
      <c r="K153" s="69">
        <v>3502047</v>
      </c>
      <c r="L153" s="512" t="s">
        <v>252</v>
      </c>
      <c r="M153" s="192" t="s">
        <v>440</v>
      </c>
      <c r="N153" s="76" t="s">
        <v>254</v>
      </c>
      <c r="O153" s="192" t="s">
        <v>440</v>
      </c>
      <c r="P153" s="76" t="s">
        <v>254</v>
      </c>
      <c r="Q153" s="517" t="s">
        <v>71</v>
      </c>
      <c r="R153" s="88" t="s">
        <v>441</v>
      </c>
      <c r="S153" s="613"/>
      <c r="T153" s="614"/>
      <c r="U153" s="614"/>
      <c r="V153" s="137"/>
      <c r="W153" s="137"/>
      <c r="X153" s="137"/>
      <c r="Y153" s="137"/>
      <c r="Z153" s="137"/>
      <c r="AA153" s="137"/>
      <c r="AB153" s="137"/>
      <c r="AC153" s="137"/>
      <c r="AD153" s="137"/>
      <c r="AE153" s="137"/>
      <c r="AF153" s="153">
        <f>130000000+30000000</f>
        <v>160000000</v>
      </c>
      <c r="AG153" s="137"/>
      <c r="AH153" s="137"/>
      <c r="AI153" s="138">
        <f t="shared" si="65"/>
        <v>160000000</v>
      </c>
      <c r="AJ153" s="327" t="s">
        <v>431</v>
      </c>
      <c r="AK153" s="576" t="s">
        <v>1434</v>
      </c>
    </row>
    <row r="154" spans="1:77" ht="69.75" customHeight="1" x14ac:dyDescent="0.2">
      <c r="A154" s="133"/>
      <c r="B154" s="71"/>
      <c r="C154" s="71"/>
      <c r="D154" s="71"/>
      <c r="E154" s="71"/>
      <c r="F154" s="71"/>
      <c r="G154" s="517"/>
      <c r="H154" s="518" t="s">
        <v>442</v>
      </c>
      <c r="I154" s="69">
        <v>3502039</v>
      </c>
      <c r="J154" s="512" t="s">
        <v>443</v>
      </c>
      <c r="K154" s="69">
        <v>3502039</v>
      </c>
      <c r="L154" s="512" t="s">
        <v>443</v>
      </c>
      <c r="M154" s="66" t="s">
        <v>444</v>
      </c>
      <c r="N154" s="510" t="s">
        <v>120</v>
      </c>
      <c r="O154" s="66" t="s">
        <v>444</v>
      </c>
      <c r="P154" s="510" t="s">
        <v>120</v>
      </c>
      <c r="Q154" s="517" t="s">
        <v>55</v>
      </c>
      <c r="R154" s="88">
        <v>12</v>
      </c>
      <c r="S154" s="613" t="s">
        <v>445</v>
      </c>
      <c r="T154" s="614" t="s">
        <v>446</v>
      </c>
      <c r="U154" s="606" t="s">
        <v>447</v>
      </c>
      <c r="V154" s="137"/>
      <c r="W154" s="137"/>
      <c r="X154" s="137"/>
      <c r="Y154" s="137"/>
      <c r="Z154" s="137"/>
      <c r="AA154" s="137"/>
      <c r="AB154" s="137"/>
      <c r="AC154" s="137"/>
      <c r="AD154" s="137"/>
      <c r="AE154" s="137"/>
      <c r="AF154" s="150">
        <v>80000000</v>
      </c>
      <c r="AG154" s="137"/>
      <c r="AH154" s="137"/>
      <c r="AI154" s="138">
        <f t="shared" si="65"/>
        <v>80000000</v>
      </c>
      <c r="AJ154" s="327" t="s">
        <v>431</v>
      </c>
      <c r="AK154" s="576" t="s">
        <v>1434</v>
      </c>
    </row>
    <row r="155" spans="1:77" ht="76.5" customHeight="1" x14ac:dyDescent="0.2">
      <c r="A155" s="133"/>
      <c r="B155" s="71"/>
      <c r="C155" s="71"/>
      <c r="D155" s="71"/>
      <c r="E155" s="71"/>
      <c r="F155" s="71"/>
      <c r="G155" s="517"/>
      <c r="H155" s="518" t="s">
        <v>424</v>
      </c>
      <c r="I155" s="69">
        <v>3502047</v>
      </c>
      <c r="J155" s="512" t="s">
        <v>252</v>
      </c>
      <c r="K155" s="69">
        <v>3502047</v>
      </c>
      <c r="L155" s="512" t="s">
        <v>252</v>
      </c>
      <c r="M155" s="66" t="s">
        <v>440</v>
      </c>
      <c r="N155" s="510" t="s">
        <v>254</v>
      </c>
      <c r="O155" s="66" t="s">
        <v>440</v>
      </c>
      <c r="P155" s="510" t="s">
        <v>254</v>
      </c>
      <c r="Q155" s="517" t="s">
        <v>71</v>
      </c>
      <c r="R155" s="88" t="s">
        <v>441</v>
      </c>
      <c r="S155" s="613"/>
      <c r="T155" s="614"/>
      <c r="U155" s="606"/>
      <c r="V155" s="137"/>
      <c r="W155" s="137"/>
      <c r="X155" s="137"/>
      <c r="Y155" s="137"/>
      <c r="Z155" s="137"/>
      <c r="AA155" s="137"/>
      <c r="AB155" s="137"/>
      <c r="AC155" s="137"/>
      <c r="AD155" s="137"/>
      <c r="AE155" s="137"/>
      <c r="AF155" s="150">
        <v>18000000</v>
      </c>
      <c r="AG155" s="137"/>
      <c r="AH155" s="137"/>
      <c r="AI155" s="138">
        <f>+V155+W155+X155+Y155+Z155+AA155+AB155+AC155+AD155+AE155+AF155+AG155+AH155</f>
        <v>18000000</v>
      </c>
      <c r="AJ155" s="327" t="s">
        <v>431</v>
      </c>
      <c r="AK155" s="576" t="s">
        <v>1434</v>
      </c>
    </row>
    <row r="156" spans="1:77" s="4" customFormat="1" ht="85.5" customHeight="1" x14ac:dyDescent="0.2">
      <c r="A156" s="55"/>
      <c r="B156" s="95"/>
      <c r="C156" s="95"/>
      <c r="D156" s="95"/>
      <c r="E156" s="95"/>
      <c r="F156" s="95"/>
      <c r="G156" s="91"/>
      <c r="H156" s="518" t="s">
        <v>442</v>
      </c>
      <c r="I156" s="74">
        <v>3502039</v>
      </c>
      <c r="J156" s="518" t="s">
        <v>443</v>
      </c>
      <c r="K156" s="74">
        <v>3502039</v>
      </c>
      <c r="L156" s="518" t="s">
        <v>443</v>
      </c>
      <c r="M156" s="187">
        <v>350203910</v>
      </c>
      <c r="N156" s="217" t="s">
        <v>448</v>
      </c>
      <c r="O156" s="187">
        <v>350203910</v>
      </c>
      <c r="P156" s="217" t="s">
        <v>448</v>
      </c>
      <c r="Q156" s="517" t="s">
        <v>71</v>
      </c>
      <c r="R156" s="88">
        <v>1</v>
      </c>
      <c r="S156" s="613"/>
      <c r="T156" s="614"/>
      <c r="U156" s="606"/>
      <c r="V156" s="110"/>
      <c r="W156" s="110"/>
      <c r="X156" s="110"/>
      <c r="Y156" s="110"/>
      <c r="Z156" s="110"/>
      <c r="AA156" s="110"/>
      <c r="AB156" s="110"/>
      <c r="AC156" s="110"/>
      <c r="AD156" s="110"/>
      <c r="AE156" s="110"/>
      <c r="AF156" s="150">
        <f>100000000+1498856036</f>
        <v>1598856036</v>
      </c>
      <c r="AG156" s="137"/>
      <c r="AH156" s="110"/>
      <c r="AI156" s="218">
        <f t="shared" si="65"/>
        <v>1598856036</v>
      </c>
      <c r="AJ156" s="327" t="s">
        <v>431</v>
      </c>
      <c r="AK156" s="576" t="s">
        <v>1434</v>
      </c>
    </row>
    <row r="157" spans="1:77" s="21" customFormat="1" ht="117" customHeight="1" x14ac:dyDescent="0.25">
      <c r="A157" s="230"/>
      <c r="B157" s="71"/>
      <c r="C157" s="71"/>
      <c r="D157" s="71"/>
      <c r="E157" s="71"/>
      <c r="F157" s="71"/>
      <c r="G157" s="517"/>
      <c r="H157" s="512" t="s">
        <v>442</v>
      </c>
      <c r="I157" s="69">
        <v>3502046</v>
      </c>
      <c r="J157" s="512" t="s">
        <v>449</v>
      </c>
      <c r="K157" s="69">
        <v>3502046</v>
      </c>
      <c r="L157" s="512" t="s">
        <v>449</v>
      </c>
      <c r="M157" s="66" t="s">
        <v>450</v>
      </c>
      <c r="N157" s="510" t="s">
        <v>451</v>
      </c>
      <c r="O157" s="66" t="s">
        <v>450</v>
      </c>
      <c r="P157" s="510" t="s">
        <v>451</v>
      </c>
      <c r="Q157" s="517" t="s">
        <v>71</v>
      </c>
      <c r="R157" s="96">
        <v>1</v>
      </c>
      <c r="S157" s="231" t="s">
        <v>452</v>
      </c>
      <c r="T157" s="518" t="s">
        <v>453</v>
      </c>
      <c r="U157" s="518" t="s">
        <v>454</v>
      </c>
      <c r="V157" s="137"/>
      <c r="W157" s="137"/>
      <c r="X157" s="137"/>
      <c r="Y157" s="137"/>
      <c r="Z157" s="137"/>
      <c r="AA157" s="137"/>
      <c r="AB157" s="137"/>
      <c r="AC157" s="137"/>
      <c r="AD157" s="137"/>
      <c r="AE157" s="137"/>
      <c r="AF157" s="150"/>
      <c r="AG157" s="232">
        <f>664872303.76</f>
        <v>664872303.75999999</v>
      </c>
      <c r="AH157" s="203"/>
      <c r="AI157" s="138">
        <f t="shared" si="65"/>
        <v>664872303.75999999</v>
      </c>
      <c r="AJ157" s="327" t="s">
        <v>431</v>
      </c>
      <c r="AK157" s="576" t="s">
        <v>1434</v>
      </c>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row>
    <row r="158" spans="1:77" s="9" customFormat="1" ht="27.75" customHeight="1" x14ac:dyDescent="0.25">
      <c r="A158" s="115"/>
      <c r="B158" s="67"/>
      <c r="C158" s="67"/>
      <c r="D158" s="64">
        <v>36</v>
      </c>
      <c r="E158" s="194" t="s">
        <v>455</v>
      </c>
      <c r="F158" s="62"/>
      <c r="G158" s="123"/>
      <c r="H158" s="124"/>
      <c r="I158" s="124"/>
      <c r="J158" s="126"/>
      <c r="K158" s="125"/>
      <c r="L158" s="126"/>
      <c r="M158" s="126"/>
      <c r="N158" s="128"/>
      <c r="O158" s="127"/>
      <c r="P158" s="128"/>
      <c r="Q158" s="129"/>
      <c r="R158" s="127"/>
      <c r="S158" s="199"/>
      <c r="T158" s="131"/>
      <c r="U158" s="131"/>
      <c r="V158" s="132">
        <f>V159</f>
        <v>0</v>
      </c>
      <c r="W158" s="132">
        <f t="shared" ref="W158:AI158" si="66">W159</f>
        <v>0</v>
      </c>
      <c r="X158" s="132">
        <f t="shared" si="66"/>
        <v>0</v>
      </c>
      <c r="Y158" s="132">
        <f t="shared" si="66"/>
        <v>0</v>
      </c>
      <c r="Z158" s="132">
        <f t="shared" si="66"/>
        <v>0</v>
      </c>
      <c r="AA158" s="132">
        <f t="shared" si="66"/>
        <v>0</v>
      </c>
      <c r="AB158" s="132">
        <f t="shared" si="66"/>
        <v>0</v>
      </c>
      <c r="AC158" s="132">
        <f t="shared" si="66"/>
        <v>0</v>
      </c>
      <c r="AD158" s="132">
        <f t="shared" si="66"/>
        <v>0</v>
      </c>
      <c r="AE158" s="132">
        <f t="shared" si="66"/>
        <v>0</v>
      </c>
      <c r="AF158" s="132">
        <f t="shared" si="66"/>
        <v>237500000</v>
      </c>
      <c r="AG158" s="132">
        <f t="shared" si="66"/>
        <v>0</v>
      </c>
      <c r="AH158" s="132">
        <f t="shared" si="66"/>
        <v>0</v>
      </c>
      <c r="AI158" s="132">
        <f t="shared" si="66"/>
        <v>237500000</v>
      </c>
      <c r="AJ158" s="553"/>
      <c r="AK158" s="157"/>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row>
    <row r="159" spans="1:77" ht="22.5" customHeight="1" x14ac:dyDescent="0.2">
      <c r="A159" s="133"/>
      <c r="B159" s="71"/>
      <c r="C159" s="71"/>
      <c r="D159" s="71"/>
      <c r="E159" s="71"/>
      <c r="F159" s="134">
        <v>3602</v>
      </c>
      <c r="G159" s="65" t="s">
        <v>456</v>
      </c>
      <c r="H159" s="179"/>
      <c r="I159" s="179"/>
      <c r="J159" s="140"/>
      <c r="K159" s="139"/>
      <c r="L159" s="140"/>
      <c r="M159" s="140"/>
      <c r="N159" s="135"/>
      <c r="O159" s="141"/>
      <c r="P159" s="135"/>
      <c r="Q159" s="142"/>
      <c r="R159" s="141"/>
      <c r="S159" s="143"/>
      <c r="T159" s="140"/>
      <c r="U159" s="140"/>
      <c r="V159" s="136">
        <f>SUM(V160:V163)</f>
        <v>0</v>
      </c>
      <c r="W159" s="136">
        <f t="shared" ref="W159:AI159" si="67">SUM(W160:W163)</f>
        <v>0</v>
      </c>
      <c r="X159" s="136">
        <f t="shared" si="67"/>
        <v>0</v>
      </c>
      <c r="Y159" s="136">
        <f t="shared" si="67"/>
        <v>0</v>
      </c>
      <c r="Z159" s="136">
        <f t="shared" si="67"/>
        <v>0</v>
      </c>
      <c r="AA159" s="136">
        <f t="shared" si="67"/>
        <v>0</v>
      </c>
      <c r="AB159" s="136">
        <f t="shared" si="67"/>
        <v>0</v>
      </c>
      <c r="AC159" s="136">
        <f t="shared" si="67"/>
        <v>0</v>
      </c>
      <c r="AD159" s="136">
        <f t="shared" si="67"/>
        <v>0</v>
      </c>
      <c r="AE159" s="136">
        <f t="shared" si="67"/>
        <v>0</v>
      </c>
      <c r="AF159" s="136">
        <f t="shared" si="67"/>
        <v>237500000</v>
      </c>
      <c r="AG159" s="136">
        <f t="shared" si="67"/>
        <v>0</v>
      </c>
      <c r="AH159" s="136">
        <f t="shared" si="67"/>
        <v>0</v>
      </c>
      <c r="AI159" s="136">
        <f t="shared" si="67"/>
        <v>237500000</v>
      </c>
      <c r="AJ159" s="336"/>
      <c r="AK159" s="144"/>
    </row>
    <row r="160" spans="1:77" ht="71.25" customHeight="1" x14ac:dyDescent="0.2">
      <c r="A160" s="133"/>
      <c r="B160" s="71"/>
      <c r="C160" s="71"/>
      <c r="D160" s="71"/>
      <c r="E160" s="71"/>
      <c r="F160" s="71"/>
      <c r="G160" s="517"/>
      <c r="H160" s="518" t="s">
        <v>424</v>
      </c>
      <c r="I160" s="66">
        <v>3602018</v>
      </c>
      <c r="J160" s="512" t="s">
        <v>457</v>
      </c>
      <c r="K160" s="66">
        <v>3602018</v>
      </c>
      <c r="L160" s="512" t="s">
        <v>457</v>
      </c>
      <c r="M160" s="192" t="s">
        <v>458</v>
      </c>
      <c r="N160" s="76" t="s">
        <v>459</v>
      </c>
      <c r="O160" s="192" t="s">
        <v>458</v>
      </c>
      <c r="P160" s="76" t="s">
        <v>459</v>
      </c>
      <c r="Q160" s="96" t="s">
        <v>71</v>
      </c>
      <c r="R160" s="96">
        <v>3</v>
      </c>
      <c r="S160" s="613" t="s">
        <v>460</v>
      </c>
      <c r="T160" s="624" t="s">
        <v>461</v>
      </c>
      <c r="U160" s="624" t="s">
        <v>462</v>
      </c>
      <c r="V160" s="228"/>
      <c r="W160" s="228"/>
      <c r="X160" s="228"/>
      <c r="Y160" s="228"/>
      <c r="Z160" s="228"/>
      <c r="AA160" s="228"/>
      <c r="AB160" s="228"/>
      <c r="AC160" s="228"/>
      <c r="AD160" s="228"/>
      <c r="AE160" s="228"/>
      <c r="AF160" s="229">
        <v>120000000</v>
      </c>
      <c r="AG160" s="228"/>
      <c r="AH160" s="137"/>
      <c r="AI160" s="138">
        <f>+V160+W160+X160+Y160+Z160+AA160+AB160+AC160+AD160+AE160+AF160+AG160+AH160</f>
        <v>120000000</v>
      </c>
      <c r="AJ160" s="327" t="s">
        <v>431</v>
      </c>
      <c r="AK160" s="576" t="s">
        <v>1434</v>
      </c>
    </row>
    <row r="161" spans="1:77" ht="71.25" customHeight="1" x14ac:dyDescent="0.2">
      <c r="A161" s="133"/>
      <c r="B161" s="71"/>
      <c r="C161" s="71"/>
      <c r="D161" s="71"/>
      <c r="E161" s="71"/>
      <c r="F161" s="71"/>
      <c r="G161" s="517"/>
      <c r="H161" s="518" t="s">
        <v>424</v>
      </c>
      <c r="I161" s="73">
        <v>3602032</v>
      </c>
      <c r="J161" s="512" t="s">
        <v>463</v>
      </c>
      <c r="K161" s="73">
        <v>3602032</v>
      </c>
      <c r="L161" s="512" t="s">
        <v>463</v>
      </c>
      <c r="M161" s="192" t="s">
        <v>464</v>
      </c>
      <c r="N161" s="76" t="s">
        <v>465</v>
      </c>
      <c r="O161" s="192" t="s">
        <v>464</v>
      </c>
      <c r="P161" s="76" t="s">
        <v>465</v>
      </c>
      <c r="Q161" s="96" t="s">
        <v>55</v>
      </c>
      <c r="R161" s="96">
        <v>14</v>
      </c>
      <c r="S161" s="613"/>
      <c r="T161" s="624"/>
      <c r="U161" s="624"/>
      <c r="V161" s="228"/>
      <c r="W161" s="228"/>
      <c r="X161" s="228"/>
      <c r="Y161" s="228"/>
      <c r="Z161" s="228"/>
      <c r="AA161" s="228"/>
      <c r="AB161" s="228"/>
      <c r="AC161" s="228"/>
      <c r="AD161" s="228"/>
      <c r="AE161" s="228"/>
      <c r="AF161" s="229">
        <v>60000000</v>
      </c>
      <c r="AG161" s="228"/>
      <c r="AH161" s="137"/>
      <c r="AI161" s="138">
        <f>+V161+W161+X161+Y161+Z161+AA161+AB161+AC161+AD161+AE161+AF161+AG161+AH161</f>
        <v>60000000</v>
      </c>
      <c r="AJ161" s="327" t="s">
        <v>431</v>
      </c>
      <c r="AK161" s="576" t="s">
        <v>1434</v>
      </c>
    </row>
    <row r="162" spans="1:77" ht="71.25" customHeight="1" x14ac:dyDescent="0.2">
      <c r="A162" s="133"/>
      <c r="B162" s="71"/>
      <c r="C162" s="71"/>
      <c r="D162" s="71"/>
      <c r="E162" s="71"/>
      <c r="F162" s="71"/>
      <c r="G162" s="517"/>
      <c r="H162" s="518" t="s">
        <v>424</v>
      </c>
      <c r="I162" s="73">
        <v>3602029</v>
      </c>
      <c r="J162" s="512" t="s">
        <v>466</v>
      </c>
      <c r="K162" s="73">
        <v>3602029</v>
      </c>
      <c r="L162" s="512" t="s">
        <v>466</v>
      </c>
      <c r="M162" s="192" t="s">
        <v>467</v>
      </c>
      <c r="N162" s="76" t="s">
        <v>468</v>
      </c>
      <c r="O162" s="192" t="s">
        <v>467</v>
      </c>
      <c r="P162" s="76" t="s">
        <v>468</v>
      </c>
      <c r="Q162" s="96" t="s">
        <v>71</v>
      </c>
      <c r="R162" s="96">
        <v>12</v>
      </c>
      <c r="S162" s="613"/>
      <c r="T162" s="624"/>
      <c r="U162" s="624"/>
      <c r="V162" s="228"/>
      <c r="W162" s="228"/>
      <c r="X162" s="228"/>
      <c r="Y162" s="228"/>
      <c r="Z162" s="228"/>
      <c r="AA162" s="228"/>
      <c r="AB162" s="228"/>
      <c r="AC162" s="228"/>
      <c r="AD162" s="228"/>
      <c r="AE162" s="228"/>
      <c r="AF162" s="229">
        <v>22500000</v>
      </c>
      <c r="AG162" s="228"/>
      <c r="AH162" s="137"/>
      <c r="AI162" s="138">
        <f>+V162+W162+X162+Y162+Z162+AA162+AB162+AC162+AD162+AE162+AF162+AG162+AH162</f>
        <v>22500000</v>
      </c>
      <c r="AJ162" s="327" t="s">
        <v>431</v>
      </c>
      <c r="AK162" s="576" t="s">
        <v>1434</v>
      </c>
    </row>
    <row r="163" spans="1:77" ht="71.25" customHeight="1" x14ac:dyDescent="0.2">
      <c r="A163" s="133"/>
      <c r="B163" s="71"/>
      <c r="C163" s="71"/>
      <c r="D163" s="71"/>
      <c r="E163" s="71"/>
      <c r="F163" s="71"/>
      <c r="G163" s="517"/>
      <c r="H163" s="518" t="s">
        <v>424</v>
      </c>
      <c r="I163" s="73">
        <v>3602030</v>
      </c>
      <c r="J163" s="512" t="s">
        <v>469</v>
      </c>
      <c r="K163" s="73">
        <v>3602030</v>
      </c>
      <c r="L163" s="512" t="s">
        <v>469</v>
      </c>
      <c r="M163" s="192" t="s">
        <v>470</v>
      </c>
      <c r="N163" s="76" t="s">
        <v>471</v>
      </c>
      <c r="O163" s="192" t="s">
        <v>470</v>
      </c>
      <c r="P163" s="76" t="s">
        <v>471</v>
      </c>
      <c r="Q163" s="233" t="s">
        <v>71</v>
      </c>
      <c r="R163" s="96">
        <v>3</v>
      </c>
      <c r="S163" s="613"/>
      <c r="T163" s="624"/>
      <c r="U163" s="624"/>
      <c r="V163" s="228"/>
      <c r="W163" s="228"/>
      <c r="X163" s="228"/>
      <c r="Y163" s="228"/>
      <c r="Z163" s="228"/>
      <c r="AA163" s="228"/>
      <c r="AB163" s="228"/>
      <c r="AC163" s="228"/>
      <c r="AD163" s="228"/>
      <c r="AE163" s="228"/>
      <c r="AF163" s="229">
        <v>35000000</v>
      </c>
      <c r="AG163" s="228"/>
      <c r="AH163" s="137"/>
      <c r="AI163" s="138">
        <f>+V163+W163+X163+Y163+Z163+AA163+AB163+AC163+AD163+AE163+AF163+AG163+AH163</f>
        <v>35000000</v>
      </c>
      <c r="AJ163" s="327" t="s">
        <v>431</v>
      </c>
      <c r="AK163" s="576" t="s">
        <v>1434</v>
      </c>
    </row>
    <row r="164" spans="1:77" s="7" customFormat="1" ht="16.5" customHeight="1" x14ac:dyDescent="0.25">
      <c r="A164" s="457"/>
      <c r="B164" s="457"/>
      <c r="C164" s="457"/>
      <c r="D164" s="457"/>
      <c r="E164" s="457"/>
      <c r="F164" s="457"/>
      <c r="G164" s="457"/>
      <c r="H164" s="458"/>
      <c r="I164" s="457"/>
      <c r="J164" s="457"/>
      <c r="K164" s="457"/>
      <c r="L164" s="457"/>
      <c r="M164" s="457"/>
      <c r="N164" s="457"/>
      <c r="O164" s="457"/>
      <c r="P164" s="457"/>
      <c r="Q164" s="459"/>
      <c r="R164" s="457"/>
      <c r="S164" s="459"/>
      <c r="T164" s="459"/>
      <c r="U164" s="459"/>
      <c r="V164" s="460"/>
      <c r="W164" s="460"/>
      <c r="X164" s="460"/>
      <c r="Y164" s="460"/>
      <c r="Z164" s="460"/>
      <c r="AA164" s="460"/>
      <c r="AB164" s="460"/>
      <c r="AC164" s="460"/>
      <c r="AD164" s="460"/>
      <c r="AE164" s="460"/>
      <c r="AF164" s="460"/>
      <c r="AG164" s="460"/>
      <c r="AH164" s="460"/>
      <c r="AI164" s="460"/>
      <c r="AJ164" s="460"/>
      <c r="AK164" s="460"/>
    </row>
    <row r="165" spans="1:77" s="391" customFormat="1" ht="29.25" customHeight="1" x14ac:dyDescent="0.2">
      <c r="A165" s="41" t="s">
        <v>472</v>
      </c>
      <c r="B165" s="41"/>
      <c r="C165" s="41"/>
      <c r="D165" s="41"/>
      <c r="E165" s="41"/>
      <c r="F165" s="42"/>
      <c r="G165" s="43"/>
      <c r="H165" s="383"/>
      <c r="I165" s="383"/>
      <c r="J165" s="383"/>
      <c r="K165" s="386"/>
      <c r="L165" s="383"/>
      <c r="M165" s="383"/>
      <c r="N165" s="388"/>
      <c r="O165" s="387"/>
      <c r="P165" s="388"/>
      <c r="Q165" s="389"/>
      <c r="R165" s="387"/>
      <c r="S165" s="43"/>
      <c r="T165" s="388"/>
      <c r="U165" s="388"/>
      <c r="V165" s="384">
        <f t="shared" ref="V165:AI165" si="68">V166+V200</f>
        <v>0</v>
      </c>
      <c r="W165" s="384">
        <f t="shared" si="68"/>
        <v>0</v>
      </c>
      <c r="X165" s="384">
        <f t="shared" si="68"/>
        <v>0</v>
      </c>
      <c r="Y165" s="384">
        <f t="shared" si="68"/>
        <v>0</v>
      </c>
      <c r="Z165" s="384">
        <f t="shared" si="68"/>
        <v>0</v>
      </c>
      <c r="AA165" s="384">
        <f t="shared" si="68"/>
        <v>0</v>
      </c>
      <c r="AB165" s="384">
        <f t="shared" si="68"/>
        <v>0</v>
      </c>
      <c r="AC165" s="384">
        <f t="shared" si="68"/>
        <v>0</v>
      </c>
      <c r="AD165" s="384">
        <f t="shared" si="68"/>
        <v>0</v>
      </c>
      <c r="AE165" s="384">
        <f t="shared" si="68"/>
        <v>0</v>
      </c>
      <c r="AF165" s="384">
        <f t="shared" si="68"/>
        <v>2573248186</v>
      </c>
      <c r="AG165" s="384">
        <f t="shared" si="68"/>
        <v>0</v>
      </c>
      <c r="AH165" s="384">
        <f t="shared" si="68"/>
        <v>0</v>
      </c>
      <c r="AI165" s="384">
        <f t="shared" si="68"/>
        <v>2573248186</v>
      </c>
      <c r="AJ165" s="384"/>
      <c r="AK165" s="384"/>
      <c r="AL165" s="390"/>
      <c r="AM165" s="390"/>
      <c r="AN165" s="390"/>
      <c r="AO165" s="390"/>
      <c r="AP165" s="390"/>
      <c r="AQ165" s="390"/>
      <c r="AR165" s="390"/>
      <c r="AS165" s="390"/>
      <c r="AT165" s="390"/>
      <c r="AU165" s="390"/>
      <c r="AV165" s="390"/>
      <c r="AW165" s="390"/>
      <c r="AX165" s="390"/>
      <c r="AY165" s="390"/>
      <c r="AZ165" s="390"/>
      <c r="BA165" s="390"/>
      <c r="BB165" s="390"/>
      <c r="BC165" s="390"/>
      <c r="BD165" s="390"/>
      <c r="BE165" s="390"/>
      <c r="BF165" s="390"/>
      <c r="BG165" s="390"/>
      <c r="BH165" s="390"/>
      <c r="BI165" s="390"/>
      <c r="BJ165" s="390"/>
      <c r="BK165" s="390"/>
      <c r="BL165" s="390"/>
      <c r="BM165" s="390"/>
      <c r="BN165" s="390"/>
      <c r="BO165" s="390"/>
      <c r="BP165" s="390"/>
      <c r="BQ165" s="390"/>
      <c r="BR165" s="390"/>
      <c r="BS165" s="390"/>
      <c r="BT165" s="390"/>
      <c r="BU165" s="390"/>
      <c r="BV165" s="390"/>
      <c r="BW165" s="390"/>
      <c r="BX165" s="390"/>
      <c r="BY165" s="390"/>
    </row>
    <row r="166" spans="1:77" ht="26.25" customHeight="1" x14ac:dyDescent="0.2">
      <c r="A166" s="133"/>
      <c r="B166" s="116">
        <v>2</v>
      </c>
      <c r="C166" s="116"/>
      <c r="D166" s="63" t="s">
        <v>421</v>
      </c>
      <c r="E166" s="163"/>
      <c r="F166" s="61"/>
      <c r="G166" s="61"/>
      <c r="H166" s="61"/>
      <c r="I166" s="61"/>
      <c r="J166" s="118"/>
      <c r="K166" s="117"/>
      <c r="L166" s="118"/>
      <c r="M166" s="118"/>
      <c r="N166" s="119"/>
      <c r="O166" s="116"/>
      <c r="P166" s="119"/>
      <c r="Q166" s="120"/>
      <c r="R166" s="116"/>
      <c r="S166" s="121"/>
      <c r="T166" s="119"/>
      <c r="U166" s="119"/>
      <c r="V166" s="122">
        <f>V167+V196</f>
        <v>0</v>
      </c>
      <c r="W166" s="122">
        <f t="shared" ref="W166:AH166" si="69">W167+W196</f>
        <v>0</v>
      </c>
      <c r="X166" s="122">
        <f t="shared" si="69"/>
        <v>0</v>
      </c>
      <c r="Y166" s="122">
        <f t="shared" si="69"/>
        <v>0</v>
      </c>
      <c r="Z166" s="122">
        <f t="shared" si="69"/>
        <v>0</v>
      </c>
      <c r="AA166" s="122">
        <f t="shared" si="69"/>
        <v>0</v>
      </c>
      <c r="AB166" s="122">
        <f t="shared" si="69"/>
        <v>0</v>
      </c>
      <c r="AC166" s="122">
        <f t="shared" si="69"/>
        <v>0</v>
      </c>
      <c r="AD166" s="122">
        <f t="shared" si="69"/>
        <v>0</v>
      </c>
      <c r="AE166" s="122">
        <f t="shared" si="69"/>
        <v>0</v>
      </c>
      <c r="AF166" s="122">
        <f t="shared" si="69"/>
        <v>1226000000</v>
      </c>
      <c r="AG166" s="122">
        <f t="shared" si="69"/>
        <v>0</v>
      </c>
      <c r="AH166" s="122">
        <f t="shared" si="69"/>
        <v>0</v>
      </c>
      <c r="AI166" s="122">
        <f>AI167+AI196</f>
        <v>1226000000</v>
      </c>
      <c r="AJ166" s="122"/>
      <c r="AK166" s="122"/>
    </row>
    <row r="167" spans="1:77" s="9" customFormat="1" ht="27.75" customHeight="1" x14ac:dyDescent="0.25">
      <c r="A167" s="115"/>
      <c r="B167" s="67"/>
      <c r="C167" s="67"/>
      <c r="D167" s="64">
        <v>17</v>
      </c>
      <c r="E167" s="62" t="s">
        <v>473</v>
      </c>
      <c r="F167" s="62"/>
      <c r="G167" s="123"/>
      <c r="H167" s="124"/>
      <c r="I167" s="124"/>
      <c r="J167" s="126"/>
      <c r="K167" s="125"/>
      <c r="L167" s="126"/>
      <c r="M167" s="126"/>
      <c r="N167" s="128"/>
      <c r="O167" s="127"/>
      <c r="P167" s="128"/>
      <c r="Q167" s="129"/>
      <c r="R167" s="127"/>
      <c r="S167" s="199"/>
      <c r="T167" s="131"/>
      <c r="U167" s="131"/>
      <c r="V167" s="132">
        <f>V168+V180+V182+V185+V187+V189+V192</f>
        <v>0</v>
      </c>
      <c r="W167" s="132">
        <f t="shared" ref="W167:AI167" si="70">W168+W180+W182+W185+W187+W189+W192</f>
        <v>0</v>
      </c>
      <c r="X167" s="132">
        <f t="shared" si="70"/>
        <v>0</v>
      </c>
      <c r="Y167" s="132">
        <f t="shared" si="70"/>
        <v>0</v>
      </c>
      <c r="Z167" s="132">
        <f t="shared" si="70"/>
        <v>0</v>
      </c>
      <c r="AA167" s="132">
        <f t="shared" si="70"/>
        <v>0</v>
      </c>
      <c r="AB167" s="132">
        <f t="shared" si="70"/>
        <v>0</v>
      </c>
      <c r="AC167" s="132">
        <f t="shared" si="70"/>
        <v>0</v>
      </c>
      <c r="AD167" s="132">
        <f t="shared" si="70"/>
        <v>0</v>
      </c>
      <c r="AE167" s="132">
        <f t="shared" si="70"/>
        <v>0</v>
      </c>
      <c r="AF167" s="132">
        <f t="shared" si="70"/>
        <v>1190000000</v>
      </c>
      <c r="AG167" s="132">
        <f t="shared" si="70"/>
        <v>0</v>
      </c>
      <c r="AH167" s="132">
        <f t="shared" si="70"/>
        <v>0</v>
      </c>
      <c r="AI167" s="132">
        <f t="shared" si="70"/>
        <v>1190000000</v>
      </c>
      <c r="AJ167" s="132"/>
      <c r="AK167" s="132"/>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row>
    <row r="168" spans="1:77" ht="26.25" customHeight="1" x14ac:dyDescent="0.2">
      <c r="A168" s="133"/>
      <c r="B168" s="67"/>
      <c r="C168" s="67"/>
      <c r="D168" s="67"/>
      <c r="E168" s="67"/>
      <c r="F168" s="141">
        <v>1702</v>
      </c>
      <c r="G168" s="65" t="s">
        <v>474</v>
      </c>
      <c r="H168" s="179"/>
      <c r="I168" s="179"/>
      <c r="J168" s="140"/>
      <c r="K168" s="139"/>
      <c r="L168" s="140"/>
      <c r="M168" s="140"/>
      <c r="N168" s="135"/>
      <c r="O168" s="141"/>
      <c r="P168" s="135"/>
      <c r="Q168" s="142"/>
      <c r="R168" s="141"/>
      <c r="S168" s="143"/>
      <c r="T168" s="135"/>
      <c r="U168" s="135"/>
      <c r="V168" s="136">
        <f>SUM(V169:V179)</f>
        <v>0</v>
      </c>
      <c r="W168" s="136">
        <f t="shared" ref="W168:AI168" si="71">SUM(W169:W179)</f>
        <v>0</v>
      </c>
      <c r="X168" s="136">
        <f t="shared" si="71"/>
        <v>0</v>
      </c>
      <c r="Y168" s="136">
        <f t="shared" si="71"/>
        <v>0</v>
      </c>
      <c r="Z168" s="136">
        <f t="shared" si="71"/>
        <v>0</v>
      </c>
      <c r="AA168" s="136">
        <f t="shared" si="71"/>
        <v>0</v>
      </c>
      <c r="AB168" s="136">
        <f t="shared" si="71"/>
        <v>0</v>
      </c>
      <c r="AC168" s="136">
        <f t="shared" si="71"/>
        <v>0</v>
      </c>
      <c r="AD168" s="136">
        <f t="shared" si="71"/>
        <v>0</v>
      </c>
      <c r="AE168" s="136">
        <f t="shared" si="71"/>
        <v>0</v>
      </c>
      <c r="AF168" s="136">
        <f t="shared" si="71"/>
        <v>834000000</v>
      </c>
      <c r="AG168" s="136">
        <f t="shared" si="71"/>
        <v>0</v>
      </c>
      <c r="AH168" s="136">
        <f t="shared" si="71"/>
        <v>0</v>
      </c>
      <c r="AI168" s="136">
        <f t="shared" si="71"/>
        <v>834000000</v>
      </c>
      <c r="AJ168" s="136"/>
      <c r="AK168" s="136"/>
    </row>
    <row r="169" spans="1:77" ht="88.5" customHeight="1" x14ac:dyDescent="0.2">
      <c r="A169" s="133"/>
      <c r="B169" s="67"/>
      <c r="C169" s="67"/>
      <c r="D169" s="67"/>
      <c r="E169" s="67"/>
      <c r="F169" s="71"/>
      <c r="G169" s="517"/>
      <c r="H169" s="512" t="s">
        <v>475</v>
      </c>
      <c r="I169" s="69">
        <v>1702011</v>
      </c>
      <c r="J169" s="512" t="s">
        <v>476</v>
      </c>
      <c r="K169" s="69">
        <v>1702011</v>
      </c>
      <c r="L169" s="512" t="s">
        <v>476</v>
      </c>
      <c r="M169" s="66" t="s">
        <v>477</v>
      </c>
      <c r="N169" s="510" t="s">
        <v>478</v>
      </c>
      <c r="O169" s="66" t="s">
        <v>477</v>
      </c>
      <c r="P169" s="510" t="s">
        <v>478</v>
      </c>
      <c r="Q169" s="517" t="s">
        <v>55</v>
      </c>
      <c r="R169" s="96">
        <v>30</v>
      </c>
      <c r="S169" s="613" t="s">
        <v>479</v>
      </c>
      <c r="T169" s="606" t="s">
        <v>480</v>
      </c>
      <c r="U169" s="606" t="s">
        <v>481</v>
      </c>
      <c r="V169" s="137"/>
      <c r="W169" s="137"/>
      <c r="X169" s="137"/>
      <c r="Y169" s="137"/>
      <c r="Z169" s="137"/>
      <c r="AA169" s="137"/>
      <c r="AB169" s="137"/>
      <c r="AC169" s="137"/>
      <c r="AD169" s="137"/>
      <c r="AE169" s="137"/>
      <c r="AF169" s="552">
        <v>226000000</v>
      </c>
      <c r="AG169" s="234"/>
      <c r="AH169" s="234"/>
      <c r="AI169" s="234">
        <f t="shared" ref="AI169:AI179" si="72">SUM(V169:AH169)</f>
        <v>226000000</v>
      </c>
      <c r="AJ169" s="235" t="s">
        <v>482</v>
      </c>
      <c r="AK169" s="234" t="s">
        <v>483</v>
      </c>
    </row>
    <row r="170" spans="1:77" ht="64.5" customHeight="1" x14ac:dyDescent="0.2">
      <c r="A170" s="133"/>
      <c r="B170" s="67"/>
      <c r="C170" s="67"/>
      <c r="D170" s="67"/>
      <c r="E170" s="67"/>
      <c r="F170" s="71"/>
      <c r="G170" s="78"/>
      <c r="H170" s="512" t="s">
        <v>475</v>
      </c>
      <c r="I170" s="69">
        <v>1702007</v>
      </c>
      <c r="J170" s="512" t="s">
        <v>484</v>
      </c>
      <c r="K170" s="69">
        <v>1702007</v>
      </c>
      <c r="L170" s="512" t="s">
        <v>484</v>
      </c>
      <c r="M170" s="192" t="s">
        <v>485</v>
      </c>
      <c r="N170" s="76" t="s">
        <v>486</v>
      </c>
      <c r="O170" s="192" t="s">
        <v>485</v>
      </c>
      <c r="P170" s="76" t="s">
        <v>486</v>
      </c>
      <c r="Q170" s="99" t="s">
        <v>71</v>
      </c>
      <c r="R170" s="96">
        <v>4</v>
      </c>
      <c r="S170" s="613"/>
      <c r="T170" s="606"/>
      <c r="U170" s="606"/>
      <c r="V170" s="166"/>
      <c r="W170" s="166"/>
      <c r="X170" s="166"/>
      <c r="Y170" s="166"/>
      <c r="Z170" s="166"/>
      <c r="AA170" s="166"/>
      <c r="AB170" s="166"/>
      <c r="AC170" s="166"/>
      <c r="AD170" s="166"/>
      <c r="AE170" s="166"/>
      <c r="AF170" s="552">
        <v>123000000</v>
      </c>
      <c r="AG170" s="234"/>
      <c r="AH170" s="234"/>
      <c r="AI170" s="234">
        <f t="shared" si="72"/>
        <v>123000000</v>
      </c>
      <c r="AJ170" s="235" t="s">
        <v>482</v>
      </c>
      <c r="AK170" s="234" t="s">
        <v>483</v>
      </c>
    </row>
    <row r="171" spans="1:77" ht="78" customHeight="1" x14ac:dyDescent="0.2">
      <c r="A171" s="133"/>
      <c r="B171" s="67"/>
      <c r="C171" s="67"/>
      <c r="D171" s="67"/>
      <c r="E171" s="67"/>
      <c r="F171" s="71"/>
      <c r="G171" s="517"/>
      <c r="H171" s="512" t="s">
        <v>475</v>
      </c>
      <c r="I171" s="69">
        <v>1702009</v>
      </c>
      <c r="J171" s="512" t="s">
        <v>487</v>
      </c>
      <c r="K171" s="69">
        <v>1702009</v>
      </c>
      <c r="L171" s="512" t="s">
        <v>487</v>
      </c>
      <c r="M171" s="192" t="s">
        <v>488</v>
      </c>
      <c r="N171" s="76" t="s">
        <v>489</v>
      </c>
      <c r="O171" s="192" t="s">
        <v>488</v>
      </c>
      <c r="P171" s="76" t="s">
        <v>489</v>
      </c>
      <c r="Q171" s="212" t="s">
        <v>71</v>
      </c>
      <c r="R171" s="407">
        <v>168</v>
      </c>
      <c r="S171" s="613"/>
      <c r="T171" s="606"/>
      <c r="U171" s="606"/>
      <c r="V171" s="166"/>
      <c r="W171" s="166"/>
      <c r="X171" s="166"/>
      <c r="Y171" s="166"/>
      <c r="Z171" s="166"/>
      <c r="AA171" s="166"/>
      <c r="AB171" s="166"/>
      <c r="AC171" s="166"/>
      <c r="AD171" s="166"/>
      <c r="AE171" s="166"/>
      <c r="AF171" s="552">
        <v>90000000</v>
      </c>
      <c r="AG171" s="234"/>
      <c r="AH171" s="234"/>
      <c r="AI171" s="234">
        <f t="shared" si="72"/>
        <v>90000000</v>
      </c>
      <c r="AJ171" s="235" t="s">
        <v>482</v>
      </c>
      <c r="AK171" s="234" t="s">
        <v>483</v>
      </c>
    </row>
    <row r="172" spans="1:77" ht="102" customHeight="1" x14ac:dyDescent="0.2">
      <c r="A172" s="133"/>
      <c r="B172" s="67"/>
      <c r="C172" s="67"/>
      <c r="D172" s="67"/>
      <c r="E172" s="67"/>
      <c r="F172" s="71"/>
      <c r="G172" s="517"/>
      <c r="H172" s="512" t="s">
        <v>475</v>
      </c>
      <c r="I172" s="75">
        <v>1702017</v>
      </c>
      <c r="J172" s="512" t="s">
        <v>490</v>
      </c>
      <c r="K172" s="75">
        <v>1702017</v>
      </c>
      <c r="L172" s="512" t="s">
        <v>490</v>
      </c>
      <c r="M172" s="192" t="s">
        <v>491</v>
      </c>
      <c r="N172" s="76" t="s">
        <v>492</v>
      </c>
      <c r="O172" s="192" t="s">
        <v>491</v>
      </c>
      <c r="P172" s="76" t="s">
        <v>492</v>
      </c>
      <c r="Q172" s="237" t="s">
        <v>71</v>
      </c>
      <c r="R172" s="96">
        <v>750</v>
      </c>
      <c r="S172" s="612" t="s">
        <v>493</v>
      </c>
      <c r="T172" s="624" t="s">
        <v>494</v>
      </c>
      <c r="U172" s="624" t="s">
        <v>495</v>
      </c>
      <c r="V172" s="166"/>
      <c r="W172" s="166"/>
      <c r="X172" s="166"/>
      <c r="Y172" s="166"/>
      <c r="Z172" s="166"/>
      <c r="AA172" s="166"/>
      <c r="AB172" s="166"/>
      <c r="AC172" s="166"/>
      <c r="AD172" s="166"/>
      <c r="AE172" s="166"/>
      <c r="AF172" s="554">
        <v>130000000</v>
      </c>
      <c r="AG172" s="234"/>
      <c r="AH172" s="234"/>
      <c r="AI172" s="234">
        <f t="shared" si="72"/>
        <v>130000000</v>
      </c>
      <c r="AJ172" s="235" t="s">
        <v>482</v>
      </c>
      <c r="AK172" s="234" t="s">
        <v>483</v>
      </c>
    </row>
    <row r="173" spans="1:77" ht="96" customHeight="1" x14ac:dyDescent="0.2">
      <c r="A173" s="133"/>
      <c r="B173" s="67"/>
      <c r="C173" s="67"/>
      <c r="D173" s="67"/>
      <c r="E173" s="67"/>
      <c r="F173" s="71"/>
      <c r="G173" s="517"/>
      <c r="H173" s="512" t="s">
        <v>475</v>
      </c>
      <c r="I173" s="69">
        <v>1702014</v>
      </c>
      <c r="J173" s="512" t="s">
        <v>496</v>
      </c>
      <c r="K173" s="69">
        <v>1702014</v>
      </c>
      <c r="L173" s="512" t="s">
        <v>496</v>
      </c>
      <c r="M173" s="192" t="s">
        <v>497</v>
      </c>
      <c r="N173" s="76" t="s">
        <v>498</v>
      </c>
      <c r="O173" s="192" t="s">
        <v>497</v>
      </c>
      <c r="P173" s="76" t="s">
        <v>498</v>
      </c>
      <c r="Q173" s="88" t="s">
        <v>71</v>
      </c>
      <c r="R173" s="216">
        <v>25</v>
      </c>
      <c r="S173" s="612"/>
      <c r="T173" s="624"/>
      <c r="U173" s="624"/>
      <c r="V173" s="166"/>
      <c r="W173" s="166"/>
      <c r="X173" s="166"/>
      <c r="Y173" s="166"/>
      <c r="Z173" s="166"/>
      <c r="AA173" s="166"/>
      <c r="AB173" s="166"/>
      <c r="AC173" s="166"/>
      <c r="AD173" s="166"/>
      <c r="AE173" s="166"/>
      <c r="AF173" s="552">
        <v>45000000</v>
      </c>
      <c r="AG173" s="234"/>
      <c r="AH173" s="234"/>
      <c r="AI173" s="234">
        <f t="shared" si="72"/>
        <v>45000000</v>
      </c>
      <c r="AJ173" s="235" t="s">
        <v>482</v>
      </c>
      <c r="AK173" s="234" t="s">
        <v>483</v>
      </c>
    </row>
    <row r="174" spans="1:77" ht="85.5" customHeight="1" x14ac:dyDescent="0.2">
      <c r="A174" s="133"/>
      <c r="B174" s="67"/>
      <c r="C174" s="67"/>
      <c r="D174" s="67"/>
      <c r="E174" s="67"/>
      <c r="F174" s="71"/>
      <c r="G174" s="517"/>
      <c r="H174" s="512" t="s">
        <v>475</v>
      </c>
      <c r="I174" s="69">
        <v>1702021</v>
      </c>
      <c r="J174" s="512" t="s">
        <v>499</v>
      </c>
      <c r="K174" s="69">
        <v>1702021</v>
      </c>
      <c r="L174" s="512" t="s">
        <v>499</v>
      </c>
      <c r="M174" s="192" t="s">
        <v>500</v>
      </c>
      <c r="N174" s="76" t="s">
        <v>501</v>
      </c>
      <c r="O174" s="192" t="s">
        <v>500</v>
      </c>
      <c r="P174" s="76" t="s">
        <v>501</v>
      </c>
      <c r="Q174" s="88" t="s">
        <v>71</v>
      </c>
      <c r="R174" s="96">
        <v>150</v>
      </c>
      <c r="S174" s="612"/>
      <c r="T174" s="624"/>
      <c r="U174" s="624"/>
      <c r="V174" s="166"/>
      <c r="W174" s="166"/>
      <c r="X174" s="166"/>
      <c r="Y174" s="166"/>
      <c r="Z174" s="166"/>
      <c r="AA174" s="166"/>
      <c r="AB174" s="166"/>
      <c r="AC174" s="166"/>
      <c r="AD174" s="166"/>
      <c r="AE174" s="166"/>
      <c r="AF174" s="552">
        <v>20000000</v>
      </c>
      <c r="AG174" s="234"/>
      <c r="AH174" s="234"/>
      <c r="AI174" s="234">
        <f t="shared" si="72"/>
        <v>20000000</v>
      </c>
      <c r="AJ174" s="235" t="s">
        <v>482</v>
      </c>
      <c r="AK174" s="234" t="s">
        <v>483</v>
      </c>
    </row>
    <row r="175" spans="1:77" ht="65.25" customHeight="1" x14ac:dyDescent="0.2">
      <c r="A175" s="133"/>
      <c r="B175" s="67"/>
      <c r="C175" s="67"/>
      <c r="D175" s="67"/>
      <c r="E175" s="67"/>
      <c r="F175" s="71"/>
      <c r="G175" s="517"/>
      <c r="H175" s="512" t="s">
        <v>475</v>
      </c>
      <c r="I175" s="69">
        <v>1702038</v>
      </c>
      <c r="J175" s="512" t="s">
        <v>502</v>
      </c>
      <c r="K175" s="69">
        <v>1702038</v>
      </c>
      <c r="L175" s="512" t="s">
        <v>502</v>
      </c>
      <c r="M175" s="66" t="s">
        <v>503</v>
      </c>
      <c r="N175" s="510" t="s">
        <v>504</v>
      </c>
      <c r="O175" s="66" t="s">
        <v>503</v>
      </c>
      <c r="P175" s="510" t="s">
        <v>504</v>
      </c>
      <c r="Q175" s="88" t="s">
        <v>55</v>
      </c>
      <c r="R175" s="96">
        <v>30</v>
      </c>
      <c r="S175" s="613" t="s">
        <v>505</v>
      </c>
      <c r="T175" s="614" t="s">
        <v>506</v>
      </c>
      <c r="U175" s="607" t="s">
        <v>507</v>
      </c>
      <c r="V175" s="166"/>
      <c r="W175" s="166"/>
      <c r="X175" s="166"/>
      <c r="Y175" s="166"/>
      <c r="Z175" s="166"/>
      <c r="AA175" s="166"/>
      <c r="AB175" s="166"/>
      <c r="AC175" s="166"/>
      <c r="AD175" s="166"/>
      <c r="AE175" s="166"/>
      <c r="AF175" s="552">
        <v>65000000</v>
      </c>
      <c r="AG175" s="234"/>
      <c r="AH175" s="234"/>
      <c r="AI175" s="234">
        <f t="shared" si="72"/>
        <v>65000000</v>
      </c>
      <c r="AJ175" s="235" t="s">
        <v>482</v>
      </c>
      <c r="AK175" s="234" t="s">
        <v>483</v>
      </c>
    </row>
    <row r="176" spans="1:77" ht="129.75" customHeight="1" x14ac:dyDescent="0.2">
      <c r="A176" s="133"/>
      <c r="B176" s="67"/>
      <c r="C176" s="67"/>
      <c r="D176" s="67"/>
      <c r="E176" s="67"/>
      <c r="F176" s="71"/>
      <c r="G176" s="517"/>
      <c r="H176" s="512" t="s">
        <v>475</v>
      </c>
      <c r="I176" s="69">
        <v>1702038</v>
      </c>
      <c r="J176" s="512" t="s">
        <v>502</v>
      </c>
      <c r="K176" s="69">
        <v>1702038</v>
      </c>
      <c r="L176" s="512" t="s">
        <v>502</v>
      </c>
      <c r="M176" s="66" t="s">
        <v>508</v>
      </c>
      <c r="N176" s="510" t="s">
        <v>509</v>
      </c>
      <c r="O176" s="66" t="s">
        <v>508</v>
      </c>
      <c r="P176" s="510" t="s">
        <v>509</v>
      </c>
      <c r="Q176" s="88" t="s">
        <v>71</v>
      </c>
      <c r="R176" s="96">
        <v>80</v>
      </c>
      <c r="S176" s="613"/>
      <c r="T176" s="614"/>
      <c r="U176" s="608"/>
      <c r="V176" s="166"/>
      <c r="W176" s="166"/>
      <c r="X176" s="166"/>
      <c r="Y176" s="166"/>
      <c r="Z176" s="166"/>
      <c r="AA176" s="166"/>
      <c r="AB176" s="166"/>
      <c r="AC176" s="166"/>
      <c r="AD176" s="166"/>
      <c r="AE176" s="166"/>
      <c r="AF176" s="552">
        <v>18000000</v>
      </c>
      <c r="AG176" s="234"/>
      <c r="AH176" s="234"/>
      <c r="AI176" s="234">
        <f t="shared" si="72"/>
        <v>18000000</v>
      </c>
      <c r="AJ176" s="235" t="s">
        <v>482</v>
      </c>
      <c r="AK176" s="234" t="s">
        <v>483</v>
      </c>
    </row>
    <row r="177" spans="1:37" ht="74.25" customHeight="1" x14ac:dyDescent="0.2">
      <c r="A177" s="133"/>
      <c r="B177" s="67"/>
      <c r="C177" s="67"/>
      <c r="D177" s="67"/>
      <c r="E177" s="67"/>
      <c r="F177" s="71"/>
      <c r="G177" s="517"/>
      <c r="H177" s="512" t="s">
        <v>475</v>
      </c>
      <c r="I177" s="69">
        <v>1702023</v>
      </c>
      <c r="J177" s="512" t="s">
        <v>252</v>
      </c>
      <c r="K177" s="69">
        <v>1702023</v>
      </c>
      <c r="L177" s="512" t="s">
        <v>252</v>
      </c>
      <c r="M177" s="66" t="s">
        <v>510</v>
      </c>
      <c r="N177" s="510" t="s">
        <v>511</v>
      </c>
      <c r="O177" s="66" t="s">
        <v>510</v>
      </c>
      <c r="P177" s="510" t="s">
        <v>511</v>
      </c>
      <c r="Q177" s="212" t="s">
        <v>55</v>
      </c>
      <c r="R177" s="96">
        <v>1</v>
      </c>
      <c r="S177" s="612" t="s">
        <v>512</v>
      </c>
      <c r="T177" s="614" t="s">
        <v>513</v>
      </c>
      <c r="U177" s="606" t="s">
        <v>514</v>
      </c>
      <c r="V177" s="166"/>
      <c r="W177" s="166"/>
      <c r="X177" s="166"/>
      <c r="Y177" s="166"/>
      <c r="Z177" s="166"/>
      <c r="AA177" s="166"/>
      <c r="AB177" s="166"/>
      <c r="AC177" s="166"/>
      <c r="AD177" s="166"/>
      <c r="AE177" s="166"/>
      <c r="AF177" s="552">
        <v>45000000</v>
      </c>
      <c r="AG177" s="234"/>
      <c r="AH177" s="234"/>
      <c r="AI177" s="234">
        <f t="shared" si="72"/>
        <v>45000000</v>
      </c>
      <c r="AJ177" s="235" t="s">
        <v>482</v>
      </c>
      <c r="AK177" s="234" t="s">
        <v>483</v>
      </c>
    </row>
    <row r="178" spans="1:37" ht="108" customHeight="1" x14ac:dyDescent="0.2">
      <c r="A178" s="133"/>
      <c r="B178" s="67"/>
      <c r="C178" s="67"/>
      <c r="D178" s="67"/>
      <c r="E178" s="67"/>
      <c r="F178" s="71"/>
      <c r="G178" s="517"/>
      <c r="H178" s="512" t="s">
        <v>475</v>
      </c>
      <c r="I178" s="69">
        <v>1702024</v>
      </c>
      <c r="J178" s="512" t="s">
        <v>515</v>
      </c>
      <c r="K178" s="69">
        <v>1702024</v>
      </c>
      <c r="L178" s="512" t="s">
        <v>515</v>
      </c>
      <c r="M178" s="192" t="s">
        <v>516</v>
      </c>
      <c r="N178" s="76" t="s">
        <v>517</v>
      </c>
      <c r="O178" s="192" t="s">
        <v>516</v>
      </c>
      <c r="P178" s="76" t="s">
        <v>517</v>
      </c>
      <c r="Q178" s="212" t="s">
        <v>55</v>
      </c>
      <c r="R178" s="96">
        <v>12</v>
      </c>
      <c r="S178" s="612"/>
      <c r="T178" s="614"/>
      <c r="U178" s="606"/>
      <c r="V178" s="166"/>
      <c r="W178" s="166"/>
      <c r="X178" s="166"/>
      <c r="Y178" s="166"/>
      <c r="Z178" s="166"/>
      <c r="AA178" s="166"/>
      <c r="AB178" s="166"/>
      <c r="AC178" s="166"/>
      <c r="AD178" s="166"/>
      <c r="AE178" s="166"/>
      <c r="AF178" s="552">
        <v>45000000</v>
      </c>
      <c r="AG178" s="234"/>
      <c r="AH178" s="234"/>
      <c r="AI178" s="234">
        <f t="shared" si="72"/>
        <v>45000000</v>
      </c>
      <c r="AJ178" s="235" t="s">
        <v>482</v>
      </c>
      <c r="AK178" s="234" t="s">
        <v>483</v>
      </c>
    </row>
    <row r="179" spans="1:37" ht="171.75" customHeight="1" x14ac:dyDescent="0.2">
      <c r="A179" s="133"/>
      <c r="B179" s="67"/>
      <c r="C179" s="67"/>
      <c r="D179" s="67"/>
      <c r="E179" s="67"/>
      <c r="F179" s="71"/>
      <c r="G179" s="517"/>
      <c r="H179" s="512" t="s">
        <v>475</v>
      </c>
      <c r="I179" s="69">
        <v>1702025</v>
      </c>
      <c r="J179" s="512" t="s">
        <v>518</v>
      </c>
      <c r="K179" s="69">
        <v>1702025</v>
      </c>
      <c r="L179" s="512" t="s">
        <v>518</v>
      </c>
      <c r="M179" s="192" t="s">
        <v>519</v>
      </c>
      <c r="N179" s="76" t="s">
        <v>520</v>
      </c>
      <c r="O179" s="192" t="s">
        <v>519</v>
      </c>
      <c r="P179" s="76" t="s">
        <v>520</v>
      </c>
      <c r="Q179" s="212" t="s">
        <v>71</v>
      </c>
      <c r="R179" s="96">
        <v>25</v>
      </c>
      <c r="S179" s="517" t="s">
        <v>521</v>
      </c>
      <c r="T179" s="510" t="s">
        <v>522</v>
      </c>
      <c r="U179" s="512" t="s">
        <v>523</v>
      </c>
      <c r="V179" s="166"/>
      <c r="W179" s="166"/>
      <c r="X179" s="166"/>
      <c r="Y179" s="166"/>
      <c r="Z179" s="166"/>
      <c r="AA179" s="166"/>
      <c r="AB179" s="166"/>
      <c r="AC179" s="166"/>
      <c r="AD179" s="166"/>
      <c r="AE179" s="166"/>
      <c r="AF179" s="552">
        <v>27000000</v>
      </c>
      <c r="AG179" s="234"/>
      <c r="AH179" s="234"/>
      <c r="AI179" s="234">
        <f t="shared" si="72"/>
        <v>27000000</v>
      </c>
      <c r="AJ179" s="235" t="s">
        <v>482</v>
      </c>
      <c r="AK179" s="234" t="s">
        <v>483</v>
      </c>
    </row>
    <row r="180" spans="1:37" ht="23.25" customHeight="1" x14ac:dyDescent="0.2">
      <c r="A180" s="133"/>
      <c r="B180" s="67"/>
      <c r="C180" s="67"/>
      <c r="D180" s="67"/>
      <c r="E180" s="67"/>
      <c r="F180" s="141">
        <v>1703</v>
      </c>
      <c r="G180" s="65" t="s">
        <v>524</v>
      </c>
      <c r="H180" s="179"/>
      <c r="I180" s="179"/>
      <c r="J180" s="140"/>
      <c r="K180" s="139"/>
      <c r="L180" s="140"/>
      <c r="M180" s="140"/>
      <c r="N180" s="135"/>
      <c r="O180" s="141"/>
      <c r="P180" s="135"/>
      <c r="Q180" s="142"/>
      <c r="R180" s="141"/>
      <c r="S180" s="143"/>
      <c r="T180" s="135"/>
      <c r="U180" s="135"/>
      <c r="V180" s="136">
        <f>SUM(V181)</f>
        <v>0</v>
      </c>
      <c r="W180" s="136">
        <f t="shared" ref="W180:AI180" si="73">SUM(W181)</f>
        <v>0</v>
      </c>
      <c r="X180" s="136">
        <f t="shared" si="73"/>
        <v>0</v>
      </c>
      <c r="Y180" s="136">
        <f t="shared" si="73"/>
        <v>0</v>
      </c>
      <c r="Z180" s="136">
        <f t="shared" si="73"/>
        <v>0</v>
      </c>
      <c r="AA180" s="136">
        <f t="shared" si="73"/>
        <v>0</v>
      </c>
      <c r="AB180" s="136">
        <f t="shared" si="73"/>
        <v>0</v>
      </c>
      <c r="AC180" s="136">
        <f t="shared" si="73"/>
        <v>0</v>
      </c>
      <c r="AD180" s="136">
        <f t="shared" si="73"/>
        <v>0</v>
      </c>
      <c r="AE180" s="136">
        <f t="shared" si="73"/>
        <v>0</v>
      </c>
      <c r="AF180" s="543">
        <f t="shared" si="73"/>
        <v>75000000</v>
      </c>
      <c r="AG180" s="136">
        <f t="shared" si="73"/>
        <v>0</v>
      </c>
      <c r="AH180" s="136">
        <f t="shared" si="73"/>
        <v>0</v>
      </c>
      <c r="AI180" s="136">
        <f t="shared" si="73"/>
        <v>75000000</v>
      </c>
      <c r="AJ180" s="136" t="s">
        <v>0</v>
      </c>
      <c r="AK180" s="144"/>
    </row>
    <row r="181" spans="1:37" ht="187.5" customHeight="1" x14ac:dyDescent="0.2">
      <c r="A181" s="133"/>
      <c r="B181" s="67"/>
      <c r="C181" s="67"/>
      <c r="D181" s="67"/>
      <c r="E181" s="67"/>
      <c r="F181" s="71"/>
      <c r="G181" s="517"/>
      <c r="H181" s="512" t="s">
        <v>475</v>
      </c>
      <c r="I181" s="69">
        <v>1703013</v>
      </c>
      <c r="J181" s="512" t="s">
        <v>525</v>
      </c>
      <c r="K181" s="69">
        <v>1703013</v>
      </c>
      <c r="L181" s="512" t="s">
        <v>525</v>
      </c>
      <c r="M181" s="192" t="s">
        <v>526</v>
      </c>
      <c r="N181" s="76" t="s">
        <v>527</v>
      </c>
      <c r="O181" s="192" t="s">
        <v>526</v>
      </c>
      <c r="P181" s="76" t="s">
        <v>527</v>
      </c>
      <c r="Q181" s="212" t="s">
        <v>71</v>
      </c>
      <c r="R181" s="96">
        <v>100</v>
      </c>
      <c r="S181" s="517" t="s">
        <v>528</v>
      </c>
      <c r="T181" s="510" t="s">
        <v>529</v>
      </c>
      <c r="U181" s="512" t="s">
        <v>530</v>
      </c>
      <c r="V181" s="166"/>
      <c r="W181" s="166"/>
      <c r="X181" s="166"/>
      <c r="Y181" s="166"/>
      <c r="Z181" s="166"/>
      <c r="AA181" s="166"/>
      <c r="AB181" s="166"/>
      <c r="AC181" s="166"/>
      <c r="AD181" s="166"/>
      <c r="AE181" s="166"/>
      <c r="AF181" s="552">
        <v>75000000</v>
      </c>
      <c r="AG181" s="234"/>
      <c r="AH181" s="234"/>
      <c r="AI181" s="234">
        <f>SUM(V181:AH181)</f>
        <v>75000000</v>
      </c>
      <c r="AJ181" s="235" t="s">
        <v>482</v>
      </c>
      <c r="AK181" s="234" t="s">
        <v>483</v>
      </c>
    </row>
    <row r="182" spans="1:37" ht="23.25" customHeight="1" x14ac:dyDescent="0.2">
      <c r="A182" s="133"/>
      <c r="B182" s="67"/>
      <c r="C182" s="67"/>
      <c r="D182" s="67"/>
      <c r="E182" s="67"/>
      <c r="F182" s="141">
        <v>1704</v>
      </c>
      <c r="G182" s="65" t="s">
        <v>531</v>
      </c>
      <c r="H182" s="179"/>
      <c r="I182" s="179"/>
      <c r="J182" s="140"/>
      <c r="K182" s="158"/>
      <c r="L182" s="140"/>
      <c r="M182" s="140"/>
      <c r="N182" s="159"/>
      <c r="O182" s="158"/>
      <c r="P182" s="159"/>
      <c r="Q182" s="159"/>
      <c r="R182" s="159"/>
      <c r="S182" s="238"/>
      <c r="T182" s="239"/>
      <c r="U182" s="239"/>
      <c r="V182" s="240">
        <f>SUM(V183:V184)</f>
        <v>0</v>
      </c>
      <c r="W182" s="240">
        <f t="shared" ref="W182:AI182" si="74">SUM(W183:W184)</f>
        <v>0</v>
      </c>
      <c r="X182" s="240">
        <f t="shared" si="74"/>
        <v>0</v>
      </c>
      <c r="Y182" s="240">
        <f t="shared" si="74"/>
        <v>0</v>
      </c>
      <c r="Z182" s="240">
        <f t="shared" si="74"/>
        <v>0</v>
      </c>
      <c r="AA182" s="240">
        <f t="shared" si="74"/>
        <v>0</v>
      </c>
      <c r="AB182" s="240">
        <f t="shared" si="74"/>
        <v>0</v>
      </c>
      <c r="AC182" s="240">
        <f t="shared" si="74"/>
        <v>0</v>
      </c>
      <c r="AD182" s="240">
        <f t="shared" si="74"/>
        <v>0</v>
      </c>
      <c r="AE182" s="240">
        <f t="shared" si="74"/>
        <v>0</v>
      </c>
      <c r="AF182" s="555">
        <f>SUM(AF183:AF184)</f>
        <v>70000000</v>
      </c>
      <c r="AG182" s="241">
        <f t="shared" si="74"/>
        <v>0</v>
      </c>
      <c r="AH182" s="241">
        <f t="shared" si="74"/>
        <v>0</v>
      </c>
      <c r="AI182" s="241">
        <f t="shared" si="74"/>
        <v>70000000</v>
      </c>
      <c r="AJ182" s="241"/>
      <c r="AK182" s="242"/>
    </row>
    <row r="183" spans="1:37" ht="80.25" customHeight="1" x14ac:dyDescent="0.2">
      <c r="A183" s="133"/>
      <c r="B183" s="79"/>
      <c r="C183" s="79"/>
      <c r="D183" s="79"/>
      <c r="E183" s="79"/>
      <c r="F183" s="73"/>
      <c r="G183" s="243"/>
      <c r="H183" s="512" t="s">
        <v>475</v>
      </c>
      <c r="I183" s="69">
        <v>1704002</v>
      </c>
      <c r="J183" s="512" t="s">
        <v>99</v>
      </c>
      <c r="K183" s="69">
        <v>1704002</v>
      </c>
      <c r="L183" s="512" t="s">
        <v>99</v>
      </c>
      <c r="M183" s="66" t="s">
        <v>532</v>
      </c>
      <c r="N183" s="510" t="s">
        <v>533</v>
      </c>
      <c r="O183" s="66" t="s">
        <v>532</v>
      </c>
      <c r="P183" s="510" t="s">
        <v>533</v>
      </c>
      <c r="Q183" s="88" t="s">
        <v>55</v>
      </c>
      <c r="R183" s="96">
        <v>1</v>
      </c>
      <c r="S183" s="612" t="s">
        <v>534</v>
      </c>
      <c r="T183" s="614" t="s">
        <v>535</v>
      </c>
      <c r="U183" s="606" t="s">
        <v>536</v>
      </c>
      <c r="V183" s="133"/>
      <c r="W183" s="133"/>
      <c r="X183" s="133"/>
      <c r="Y183" s="133"/>
      <c r="Z183" s="133"/>
      <c r="AA183" s="133"/>
      <c r="AB183" s="133"/>
      <c r="AC183" s="133"/>
      <c r="AD183" s="133"/>
      <c r="AE183" s="133"/>
      <c r="AF183" s="541">
        <v>42000000</v>
      </c>
      <c r="AG183" s="234"/>
      <c r="AH183" s="234"/>
      <c r="AI183" s="234">
        <f>SUM(V183:AH183)</f>
        <v>42000000</v>
      </c>
      <c r="AJ183" s="235" t="s">
        <v>482</v>
      </c>
      <c r="AK183" s="234" t="s">
        <v>483</v>
      </c>
    </row>
    <row r="184" spans="1:37" ht="105" customHeight="1" x14ac:dyDescent="0.2">
      <c r="A184" s="133"/>
      <c r="B184" s="79"/>
      <c r="C184" s="79"/>
      <c r="D184" s="79"/>
      <c r="E184" s="79"/>
      <c r="F184" s="73"/>
      <c r="G184" s="243"/>
      <c r="H184" s="512" t="s">
        <v>475</v>
      </c>
      <c r="I184" s="69">
        <v>1704017</v>
      </c>
      <c r="J184" s="512" t="s">
        <v>537</v>
      </c>
      <c r="K184" s="69">
        <v>1704017</v>
      </c>
      <c r="L184" s="512" t="s">
        <v>537</v>
      </c>
      <c r="M184" s="66" t="s">
        <v>538</v>
      </c>
      <c r="N184" s="510" t="s">
        <v>539</v>
      </c>
      <c r="O184" s="66" t="s">
        <v>538</v>
      </c>
      <c r="P184" s="510" t="s">
        <v>539</v>
      </c>
      <c r="Q184" s="88" t="s">
        <v>71</v>
      </c>
      <c r="R184" s="96">
        <v>150</v>
      </c>
      <c r="S184" s="612"/>
      <c r="T184" s="614"/>
      <c r="U184" s="606"/>
      <c r="V184" s="133"/>
      <c r="W184" s="133"/>
      <c r="X184" s="133"/>
      <c r="Y184" s="133"/>
      <c r="Z184" s="133"/>
      <c r="AA184" s="133"/>
      <c r="AB184" s="133"/>
      <c r="AC184" s="133"/>
      <c r="AD184" s="133"/>
      <c r="AE184" s="133"/>
      <c r="AF184" s="541">
        <v>28000000</v>
      </c>
      <c r="AG184" s="234"/>
      <c r="AH184" s="234"/>
      <c r="AI184" s="234">
        <f>SUM(V184:AH184)</f>
        <v>28000000</v>
      </c>
      <c r="AJ184" s="235" t="s">
        <v>482</v>
      </c>
      <c r="AK184" s="234" t="s">
        <v>483</v>
      </c>
    </row>
    <row r="185" spans="1:37" ht="21.75" customHeight="1" x14ac:dyDescent="0.2">
      <c r="A185" s="133"/>
      <c r="B185" s="67"/>
      <c r="C185" s="67"/>
      <c r="D185" s="67"/>
      <c r="E185" s="67"/>
      <c r="F185" s="141">
        <v>1706</v>
      </c>
      <c r="G185" s="65" t="s">
        <v>540</v>
      </c>
      <c r="H185" s="179"/>
      <c r="I185" s="179"/>
      <c r="J185" s="140"/>
      <c r="K185" s="139"/>
      <c r="L185" s="140"/>
      <c r="M185" s="140"/>
      <c r="N185" s="135"/>
      <c r="O185" s="141"/>
      <c r="P185" s="135"/>
      <c r="Q185" s="142"/>
      <c r="R185" s="141"/>
      <c r="S185" s="143"/>
      <c r="T185" s="135"/>
      <c r="U185" s="135"/>
      <c r="V185" s="136">
        <f>SUM(V186)</f>
        <v>0</v>
      </c>
      <c r="W185" s="136">
        <f t="shared" ref="W185:AI185" si="75">SUM(W186)</f>
        <v>0</v>
      </c>
      <c r="X185" s="136">
        <f t="shared" si="75"/>
        <v>0</v>
      </c>
      <c r="Y185" s="136">
        <f t="shared" si="75"/>
        <v>0</v>
      </c>
      <c r="Z185" s="136">
        <f t="shared" si="75"/>
        <v>0</v>
      </c>
      <c r="AA185" s="136">
        <f t="shared" si="75"/>
        <v>0</v>
      </c>
      <c r="AB185" s="136">
        <f t="shared" si="75"/>
        <v>0</v>
      </c>
      <c r="AC185" s="136">
        <f t="shared" si="75"/>
        <v>0</v>
      </c>
      <c r="AD185" s="136">
        <f t="shared" si="75"/>
        <v>0</v>
      </c>
      <c r="AE185" s="136">
        <f t="shared" si="75"/>
        <v>0</v>
      </c>
      <c r="AF185" s="543">
        <f t="shared" si="75"/>
        <v>20000000</v>
      </c>
      <c r="AG185" s="136">
        <f t="shared" si="75"/>
        <v>0</v>
      </c>
      <c r="AH185" s="136">
        <f t="shared" si="75"/>
        <v>0</v>
      </c>
      <c r="AI185" s="136">
        <f t="shared" si="75"/>
        <v>20000000</v>
      </c>
      <c r="AJ185" s="136"/>
      <c r="AK185" s="144"/>
    </row>
    <row r="186" spans="1:37" ht="148.5" customHeight="1" x14ac:dyDescent="0.2">
      <c r="A186" s="133"/>
      <c r="B186" s="67"/>
      <c r="C186" s="67"/>
      <c r="D186" s="67"/>
      <c r="E186" s="67"/>
      <c r="F186" s="71"/>
      <c r="G186" s="212"/>
      <c r="H186" s="512" t="s">
        <v>475</v>
      </c>
      <c r="I186" s="69">
        <v>1706004</v>
      </c>
      <c r="J186" s="512" t="s">
        <v>541</v>
      </c>
      <c r="K186" s="69">
        <v>1706004</v>
      </c>
      <c r="L186" s="512" t="s">
        <v>541</v>
      </c>
      <c r="M186" s="66" t="s">
        <v>542</v>
      </c>
      <c r="N186" s="510" t="s">
        <v>543</v>
      </c>
      <c r="O186" s="66" t="s">
        <v>542</v>
      </c>
      <c r="P186" s="510" t="s">
        <v>543</v>
      </c>
      <c r="Q186" s="88" t="s">
        <v>55</v>
      </c>
      <c r="R186" s="96">
        <v>10</v>
      </c>
      <c r="S186" s="517" t="s">
        <v>544</v>
      </c>
      <c r="T186" s="510" t="s">
        <v>545</v>
      </c>
      <c r="U186" s="510" t="s">
        <v>546</v>
      </c>
      <c r="V186" s="137"/>
      <c r="W186" s="137"/>
      <c r="X186" s="137"/>
      <c r="Y186" s="137"/>
      <c r="Z186" s="137"/>
      <c r="AA186" s="137"/>
      <c r="AB186" s="137"/>
      <c r="AC186" s="137"/>
      <c r="AD186" s="137"/>
      <c r="AE186" s="137"/>
      <c r="AF186" s="541">
        <v>20000000</v>
      </c>
      <c r="AG186" s="234"/>
      <c r="AH186" s="234"/>
      <c r="AI186" s="234">
        <f>SUM(V186:AH186)</f>
        <v>20000000</v>
      </c>
      <c r="AJ186" s="235" t="s">
        <v>482</v>
      </c>
      <c r="AK186" s="234" t="s">
        <v>483</v>
      </c>
    </row>
    <row r="187" spans="1:37" ht="25.5" customHeight="1" x14ac:dyDescent="0.2">
      <c r="A187" s="133"/>
      <c r="B187" s="67"/>
      <c r="C187" s="67"/>
      <c r="D187" s="67"/>
      <c r="E187" s="67"/>
      <c r="F187" s="141">
        <v>1707</v>
      </c>
      <c r="G187" s="65" t="s">
        <v>547</v>
      </c>
      <c r="H187" s="179"/>
      <c r="I187" s="179"/>
      <c r="J187" s="140"/>
      <c r="K187" s="139"/>
      <c r="L187" s="140"/>
      <c r="M187" s="140"/>
      <c r="N187" s="135"/>
      <c r="O187" s="141"/>
      <c r="P187" s="135"/>
      <c r="Q187" s="142"/>
      <c r="R187" s="141"/>
      <c r="S187" s="143"/>
      <c r="T187" s="135"/>
      <c r="U187" s="135"/>
      <c r="V187" s="136">
        <f>SUM(V188)</f>
        <v>0</v>
      </c>
      <c r="W187" s="136">
        <f t="shared" ref="W187:AI187" si="76">SUM(W188)</f>
        <v>0</v>
      </c>
      <c r="X187" s="136">
        <f t="shared" si="76"/>
        <v>0</v>
      </c>
      <c r="Y187" s="136">
        <f t="shared" si="76"/>
        <v>0</v>
      </c>
      <c r="Z187" s="136">
        <f t="shared" si="76"/>
        <v>0</v>
      </c>
      <c r="AA187" s="136">
        <f t="shared" si="76"/>
        <v>0</v>
      </c>
      <c r="AB187" s="136">
        <f t="shared" si="76"/>
        <v>0</v>
      </c>
      <c r="AC187" s="136">
        <f t="shared" si="76"/>
        <v>0</v>
      </c>
      <c r="AD187" s="136">
        <f t="shared" si="76"/>
        <v>0</v>
      </c>
      <c r="AE187" s="136">
        <f t="shared" si="76"/>
        <v>0</v>
      </c>
      <c r="AF187" s="543">
        <f>SUM(AF188)</f>
        <v>43000000</v>
      </c>
      <c r="AG187" s="136">
        <f t="shared" si="76"/>
        <v>0</v>
      </c>
      <c r="AH187" s="136">
        <f t="shared" si="76"/>
        <v>0</v>
      </c>
      <c r="AI187" s="136">
        <f t="shared" si="76"/>
        <v>43000000</v>
      </c>
      <c r="AJ187" s="136"/>
      <c r="AK187" s="144"/>
    </row>
    <row r="188" spans="1:37" ht="156" customHeight="1" x14ac:dyDescent="0.2">
      <c r="A188" s="133"/>
      <c r="B188" s="67"/>
      <c r="C188" s="67"/>
      <c r="D188" s="67"/>
      <c r="E188" s="67"/>
      <c r="F188" s="71"/>
      <c r="G188" s="517"/>
      <c r="H188" s="512" t="s">
        <v>475</v>
      </c>
      <c r="I188" s="69">
        <v>1707069</v>
      </c>
      <c r="J188" s="512" t="s">
        <v>548</v>
      </c>
      <c r="K188" s="69">
        <v>1707069</v>
      </c>
      <c r="L188" s="512" t="s">
        <v>548</v>
      </c>
      <c r="M188" s="66" t="s">
        <v>549</v>
      </c>
      <c r="N188" s="510" t="s">
        <v>550</v>
      </c>
      <c r="O188" s="66" t="s">
        <v>549</v>
      </c>
      <c r="P188" s="510" t="s">
        <v>550</v>
      </c>
      <c r="Q188" s="88" t="s">
        <v>71</v>
      </c>
      <c r="R188" s="96">
        <v>5</v>
      </c>
      <c r="S188" s="517" t="s">
        <v>551</v>
      </c>
      <c r="T188" s="510" t="s">
        <v>552</v>
      </c>
      <c r="U188" s="512" t="s">
        <v>553</v>
      </c>
      <c r="V188" s="166"/>
      <c r="W188" s="166"/>
      <c r="X188" s="166"/>
      <c r="Y188" s="166"/>
      <c r="Z188" s="166"/>
      <c r="AA188" s="166"/>
      <c r="AB188" s="166"/>
      <c r="AC188" s="166"/>
      <c r="AD188" s="166"/>
      <c r="AE188" s="166"/>
      <c r="AF188" s="552">
        <v>43000000</v>
      </c>
      <c r="AG188" s="234"/>
      <c r="AH188" s="234"/>
      <c r="AI188" s="234">
        <f>SUM(V188:AH188)</f>
        <v>43000000</v>
      </c>
      <c r="AJ188" s="235" t="s">
        <v>482</v>
      </c>
      <c r="AK188" s="234" t="s">
        <v>483</v>
      </c>
    </row>
    <row r="189" spans="1:37" ht="29.25" customHeight="1" x14ac:dyDescent="0.2">
      <c r="A189" s="133"/>
      <c r="B189" s="67"/>
      <c r="C189" s="67"/>
      <c r="D189" s="67"/>
      <c r="E189" s="67"/>
      <c r="F189" s="141">
        <v>1708</v>
      </c>
      <c r="G189" s="65" t="s">
        <v>554</v>
      </c>
      <c r="H189" s="179"/>
      <c r="I189" s="179"/>
      <c r="J189" s="140"/>
      <c r="K189" s="139"/>
      <c r="L189" s="140"/>
      <c r="M189" s="140"/>
      <c r="N189" s="135"/>
      <c r="O189" s="141"/>
      <c r="P189" s="135"/>
      <c r="Q189" s="142"/>
      <c r="R189" s="141"/>
      <c r="S189" s="143"/>
      <c r="T189" s="135"/>
      <c r="U189" s="135"/>
      <c r="V189" s="136">
        <f>SUM(V190:V191)</f>
        <v>0</v>
      </c>
      <c r="W189" s="136">
        <f t="shared" ref="W189:AI189" si="77">SUM(W190:W191)</f>
        <v>0</v>
      </c>
      <c r="X189" s="136">
        <f t="shared" si="77"/>
        <v>0</v>
      </c>
      <c r="Y189" s="136">
        <f t="shared" si="77"/>
        <v>0</v>
      </c>
      <c r="Z189" s="136">
        <f t="shared" si="77"/>
        <v>0</v>
      </c>
      <c r="AA189" s="136">
        <f t="shared" si="77"/>
        <v>0</v>
      </c>
      <c r="AB189" s="136">
        <f t="shared" si="77"/>
        <v>0</v>
      </c>
      <c r="AC189" s="136">
        <f t="shared" si="77"/>
        <v>0</v>
      </c>
      <c r="AD189" s="136">
        <f t="shared" si="77"/>
        <v>0</v>
      </c>
      <c r="AE189" s="136">
        <f t="shared" si="77"/>
        <v>0</v>
      </c>
      <c r="AF189" s="543">
        <f t="shared" si="77"/>
        <v>40000000</v>
      </c>
      <c r="AG189" s="136">
        <f t="shared" si="77"/>
        <v>0</v>
      </c>
      <c r="AH189" s="136">
        <f t="shared" si="77"/>
        <v>0</v>
      </c>
      <c r="AI189" s="136">
        <f t="shared" si="77"/>
        <v>40000000</v>
      </c>
      <c r="AJ189" s="136"/>
      <c r="AK189" s="144"/>
    </row>
    <row r="190" spans="1:37" ht="88.5" customHeight="1" x14ac:dyDescent="0.2">
      <c r="A190" s="133"/>
      <c r="B190" s="67"/>
      <c r="C190" s="67"/>
      <c r="D190" s="67"/>
      <c r="E190" s="67"/>
      <c r="F190" s="71"/>
      <c r="G190" s="212"/>
      <c r="H190" s="512" t="s">
        <v>475</v>
      </c>
      <c r="I190" s="69">
        <v>1708016</v>
      </c>
      <c r="J190" s="512" t="s">
        <v>99</v>
      </c>
      <c r="K190" s="69">
        <v>1708016</v>
      </c>
      <c r="L190" s="512" t="s">
        <v>99</v>
      </c>
      <c r="M190" s="192" t="s">
        <v>555</v>
      </c>
      <c r="N190" s="76" t="s">
        <v>556</v>
      </c>
      <c r="O190" s="192" t="s">
        <v>555</v>
      </c>
      <c r="P190" s="76" t="s">
        <v>556</v>
      </c>
      <c r="Q190" s="88" t="s">
        <v>55</v>
      </c>
      <c r="R190" s="96">
        <v>2</v>
      </c>
      <c r="S190" s="612" t="s">
        <v>557</v>
      </c>
      <c r="T190" s="614" t="s">
        <v>558</v>
      </c>
      <c r="U190" s="607" t="s">
        <v>559</v>
      </c>
      <c r="V190" s="137"/>
      <c r="W190" s="137"/>
      <c r="X190" s="137"/>
      <c r="Y190" s="137"/>
      <c r="Z190" s="137"/>
      <c r="AA190" s="137"/>
      <c r="AB190" s="137"/>
      <c r="AC190" s="137"/>
      <c r="AD190" s="137"/>
      <c r="AE190" s="137"/>
      <c r="AF190" s="541">
        <v>20000000</v>
      </c>
      <c r="AG190" s="234"/>
      <c r="AH190" s="234"/>
      <c r="AI190" s="234">
        <f>SUM(V190:AH190)</f>
        <v>20000000</v>
      </c>
      <c r="AJ190" s="235" t="s">
        <v>482</v>
      </c>
      <c r="AK190" s="234" t="s">
        <v>483</v>
      </c>
    </row>
    <row r="191" spans="1:37" ht="187.5" customHeight="1" x14ac:dyDescent="0.2">
      <c r="A191" s="133"/>
      <c r="B191" s="67"/>
      <c r="C191" s="67"/>
      <c r="D191" s="67"/>
      <c r="E191" s="67"/>
      <c r="F191" s="71"/>
      <c r="G191" s="517"/>
      <c r="H191" s="512" t="s">
        <v>475</v>
      </c>
      <c r="I191" s="69">
        <v>1708051</v>
      </c>
      <c r="J191" s="512" t="s">
        <v>560</v>
      </c>
      <c r="K191" s="69">
        <v>1708051</v>
      </c>
      <c r="L191" s="512" t="s">
        <v>560</v>
      </c>
      <c r="M191" s="192" t="s">
        <v>561</v>
      </c>
      <c r="N191" s="76" t="s">
        <v>562</v>
      </c>
      <c r="O191" s="192" t="s">
        <v>561</v>
      </c>
      <c r="P191" s="76" t="s">
        <v>562</v>
      </c>
      <c r="Q191" s="517" t="s">
        <v>55</v>
      </c>
      <c r="R191" s="96">
        <v>1</v>
      </c>
      <c r="S191" s="612"/>
      <c r="T191" s="614"/>
      <c r="U191" s="608"/>
      <c r="V191" s="137"/>
      <c r="W191" s="137"/>
      <c r="X191" s="137"/>
      <c r="Y191" s="137"/>
      <c r="Z191" s="137"/>
      <c r="AA191" s="137"/>
      <c r="AB191" s="137"/>
      <c r="AC191" s="137"/>
      <c r="AD191" s="137"/>
      <c r="AE191" s="137"/>
      <c r="AF191" s="541">
        <v>20000000</v>
      </c>
      <c r="AG191" s="234"/>
      <c r="AH191" s="234"/>
      <c r="AI191" s="234">
        <f>SUM(V191:AH191)</f>
        <v>20000000</v>
      </c>
      <c r="AJ191" s="235" t="s">
        <v>482</v>
      </c>
      <c r="AK191" s="234" t="s">
        <v>483</v>
      </c>
    </row>
    <row r="192" spans="1:37" ht="27.75" customHeight="1" x14ac:dyDescent="0.2">
      <c r="A192" s="133"/>
      <c r="B192" s="67"/>
      <c r="C192" s="67"/>
      <c r="D192" s="67"/>
      <c r="E192" s="67"/>
      <c r="F192" s="141">
        <v>1709</v>
      </c>
      <c r="G192" s="65" t="s">
        <v>563</v>
      </c>
      <c r="H192" s="179"/>
      <c r="I192" s="179"/>
      <c r="J192" s="140"/>
      <c r="K192" s="158"/>
      <c r="L192" s="140"/>
      <c r="M192" s="140"/>
      <c r="N192" s="159"/>
      <c r="O192" s="158"/>
      <c r="P192" s="159"/>
      <c r="Q192" s="159"/>
      <c r="R192" s="159"/>
      <c r="S192" s="159"/>
      <c r="T192" s="239"/>
      <c r="U192" s="239"/>
      <c r="V192" s="240">
        <f>SUM(V193:V195)</f>
        <v>0</v>
      </c>
      <c r="W192" s="240">
        <f t="shared" ref="W192:AI192" si="78">SUM(W193:W195)</f>
        <v>0</v>
      </c>
      <c r="X192" s="240">
        <f t="shared" si="78"/>
        <v>0</v>
      </c>
      <c r="Y192" s="240">
        <f t="shared" si="78"/>
        <v>0</v>
      </c>
      <c r="Z192" s="240">
        <f t="shared" si="78"/>
        <v>0</v>
      </c>
      <c r="AA192" s="240">
        <f t="shared" si="78"/>
        <v>0</v>
      </c>
      <c r="AB192" s="240">
        <f t="shared" si="78"/>
        <v>0</v>
      </c>
      <c r="AC192" s="240">
        <f t="shared" si="78"/>
        <v>0</v>
      </c>
      <c r="AD192" s="240">
        <f t="shared" si="78"/>
        <v>0</v>
      </c>
      <c r="AE192" s="240">
        <f t="shared" si="78"/>
        <v>0</v>
      </c>
      <c r="AF192" s="555">
        <f>SUM(AF193:AF195)</f>
        <v>108000000</v>
      </c>
      <c r="AG192" s="241">
        <f t="shared" si="78"/>
        <v>0</v>
      </c>
      <c r="AH192" s="241">
        <f t="shared" si="78"/>
        <v>0</v>
      </c>
      <c r="AI192" s="241">
        <f t="shared" si="78"/>
        <v>108000000</v>
      </c>
      <c r="AJ192" s="241"/>
      <c r="AK192" s="242"/>
    </row>
    <row r="193" spans="1:77" ht="75" customHeight="1" x14ac:dyDescent="0.2">
      <c r="A193" s="133"/>
      <c r="B193" s="79"/>
      <c r="C193" s="79"/>
      <c r="D193" s="79"/>
      <c r="E193" s="79"/>
      <c r="F193" s="73"/>
      <c r="G193" s="243"/>
      <c r="H193" s="512" t="s">
        <v>475</v>
      </c>
      <c r="I193" s="69">
        <v>1709019</v>
      </c>
      <c r="J193" s="512" t="s">
        <v>564</v>
      </c>
      <c r="K193" s="69">
        <v>1709019</v>
      </c>
      <c r="L193" s="512" t="s">
        <v>564</v>
      </c>
      <c r="M193" s="192">
        <v>170901900</v>
      </c>
      <c r="N193" s="76" t="s">
        <v>564</v>
      </c>
      <c r="O193" s="192">
        <v>170901900</v>
      </c>
      <c r="P193" s="76" t="s">
        <v>564</v>
      </c>
      <c r="Q193" s="88" t="s">
        <v>71</v>
      </c>
      <c r="R193" s="96">
        <v>4</v>
      </c>
      <c r="S193" s="632" t="s">
        <v>565</v>
      </c>
      <c r="T193" s="614" t="s">
        <v>566</v>
      </c>
      <c r="U193" s="606" t="s">
        <v>567</v>
      </c>
      <c r="V193" s="133"/>
      <c r="W193" s="133"/>
      <c r="X193" s="133"/>
      <c r="Y193" s="133"/>
      <c r="Z193" s="133"/>
      <c r="AA193" s="133"/>
      <c r="AB193" s="133"/>
      <c r="AC193" s="133"/>
      <c r="AD193" s="133"/>
      <c r="AE193" s="133"/>
      <c r="AF193" s="541">
        <v>43000000</v>
      </c>
      <c r="AG193" s="234"/>
      <c r="AH193" s="234"/>
      <c r="AI193" s="234">
        <f>SUM(V193:AH193)</f>
        <v>43000000</v>
      </c>
      <c r="AJ193" s="235" t="s">
        <v>482</v>
      </c>
      <c r="AK193" s="234" t="s">
        <v>483</v>
      </c>
    </row>
    <row r="194" spans="1:77" ht="48.75" customHeight="1" x14ac:dyDescent="0.2">
      <c r="A194" s="133"/>
      <c r="B194" s="79"/>
      <c r="C194" s="79"/>
      <c r="D194" s="79"/>
      <c r="E194" s="79"/>
      <c r="F194" s="73"/>
      <c r="G194" s="243"/>
      <c r="H194" s="512" t="s">
        <v>475</v>
      </c>
      <c r="I194" s="69">
        <v>1709034</v>
      </c>
      <c r="J194" s="512" t="s">
        <v>568</v>
      </c>
      <c r="K194" s="69">
        <v>1709034</v>
      </c>
      <c r="L194" s="512" t="s">
        <v>568</v>
      </c>
      <c r="M194" s="192" t="s">
        <v>569</v>
      </c>
      <c r="N194" s="76" t="s">
        <v>568</v>
      </c>
      <c r="O194" s="192" t="s">
        <v>569</v>
      </c>
      <c r="P194" s="76" t="s">
        <v>568</v>
      </c>
      <c r="Q194" s="88" t="s">
        <v>71</v>
      </c>
      <c r="R194" s="96">
        <v>3</v>
      </c>
      <c r="S194" s="632"/>
      <c r="T194" s="614"/>
      <c r="U194" s="606"/>
      <c r="V194" s="133"/>
      <c r="W194" s="133"/>
      <c r="X194" s="133"/>
      <c r="Y194" s="133"/>
      <c r="Z194" s="133"/>
      <c r="AA194" s="133"/>
      <c r="AB194" s="133"/>
      <c r="AC194" s="133"/>
      <c r="AD194" s="133"/>
      <c r="AE194" s="133"/>
      <c r="AF194" s="541">
        <v>43000000</v>
      </c>
      <c r="AG194" s="234"/>
      <c r="AH194" s="234"/>
      <c r="AI194" s="234">
        <f>SUM(V194:AH194)</f>
        <v>43000000</v>
      </c>
      <c r="AJ194" s="235" t="s">
        <v>482</v>
      </c>
      <c r="AK194" s="234" t="s">
        <v>483</v>
      </c>
    </row>
    <row r="195" spans="1:77" ht="77.25" customHeight="1" x14ac:dyDescent="0.2">
      <c r="A195" s="133"/>
      <c r="B195" s="79"/>
      <c r="C195" s="79"/>
      <c r="D195" s="79"/>
      <c r="E195" s="79"/>
      <c r="F195" s="73"/>
      <c r="G195" s="243"/>
      <c r="H195" s="512" t="s">
        <v>475</v>
      </c>
      <c r="I195" s="69">
        <v>1709093</v>
      </c>
      <c r="J195" s="512" t="s">
        <v>570</v>
      </c>
      <c r="K195" s="69">
        <v>1709093</v>
      </c>
      <c r="L195" s="512" t="s">
        <v>570</v>
      </c>
      <c r="M195" s="66" t="s">
        <v>571</v>
      </c>
      <c r="N195" s="510" t="s">
        <v>572</v>
      </c>
      <c r="O195" s="66" t="s">
        <v>571</v>
      </c>
      <c r="P195" s="510" t="s">
        <v>572</v>
      </c>
      <c r="Q195" s="88" t="s">
        <v>71</v>
      </c>
      <c r="R195" s="96">
        <v>2</v>
      </c>
      <c r="S195" s="632"/>
      <c r="T195" s="614"/>
      <c r="U195" s="606"/>
      <c r="V195" s="133"/>
      <c r="W195" s="133"/>
      <c r="X195" s="133"/>
      <c r="Y195" s="133"/>
      <c r="Z195" s="133"/>
      <c r="AA195" s="133"/>
      <c r="AB195" s="133"/>
      <c r="AC195" s="133"/>
      <c r="AD195" s="133"/>
      <c r="AE195" s="133"/>
      <c r="AF195" s="541">
        <v>22000000</v>
      </c>
      <c r="AG195" s="234"/>
      <c r="AH195" s="234"/>
      <c r="AI195" s="234">
        <f>SUM(V195:AH195)</f>
        <v>22000000</v>
      </c>
      <c r="AJ195" s="235" t="s">
        <v>482</v>
      </c>
      <c r="AK195" s="234" t="s">
        <v>483</v>
      </c>
    </row>
    <row r="196" spans="1:77" s="9" customFormat="1" ht="27.75" customHeight="1" x14ac:dyDescent="0.25">
      <c r="A196" s="115"/>
      <c r="B196" s="67"/>
      <c r="C196" s="67"/>
      <c r="D196" s="64">
        <v>35</v>
      </c>
      <c r="E196" s="62" t="s">
        <v>422</v>
      </c>
      <c r="F196" s="62"/>
      <c r="G196" s="123"/>
      <c r="H196" s="124"/>
      <c r="I196" s="124"/>
      <c r="J196" s="126"/>
      <c r="K196" s="125"/>
      <c r="L196" s="126"/>
      <c r="M196" s="126"/>
      <c r="N196" s="128"/>
      <c r="O196" s="127"/>
      <c r="P196" s="128"/>
      <c r="Q196" s="129"/>
      <c r="R196" s="127"/>
      <c r="S196" s="199"/>
      <c r="T196" s="131"/>
      <c r="U196" s="131"/>
      <c r="V196" s="132">
        <f>V197</f>
        <v>0</v>
      </c>
      <c r="W196" s="132">
        <f t="shared" ref="W196:AI196" si="79">W197</f>
        <v>0</v>
      </c>
      <c r="X196" s="132">
        <f t="shared" si="79"/>
        <v>0</v>
      </c>
      <c r="Y196" s="132">
        <f t="shared" si="79"/>
        <v>0</v>
      </c>
      <c r="Z196" s="132">
        <f t="shared" si="79"/>
        <v>0</v>
      </c>
      <c r="AA196" s="132">
        <f t="shared" si="79"/>
        <v>0</v>
      </c>
      <c r="AB196" s="132">
        <f t="shared" si="79"/>
        <v>0</v>
      </c>
      <c r="AC196" s="132">
        <f t="shared" si="79"/>
        <v>0</v>
      </c>
      <c r="AD196" s="132">
        <f t="shared" si="79"/>
        <v>0</v>
      </c>
      <c r="AE196" s="132">
        <f t="shared" si="79"/>
        <v>0</v>
      </c>
      <c r="AF196" s="547">
        <f t="shared" si="79"/>
        <v>36000000</v>
      </c>
      <c r="AG196" s="132">
        <f t="shared" si="79"/>
        <v>0</v>
      </c>
      <c r="AH196" s="132">
        <f t="shared" si="79"/>
        <v>0</v>
      </c>
      <c r="AI196" s="132">
        <f t="shared" si="79"/>
        <v>36000000</v>
      </c>
      <c r="AJ196" s="132"/>
      <c r="AK196" s="157"/>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row>
    <row r="197" spans="1:77" ht="28.5" customHeight="1" x14ac:dyDescent="0.2">
      <c r="A197" s="133"/>
      <c r="B197" s="67"/>
      <c r="C197" s="67"/>
      <c r="D197" s="67"/>
      <c r="E197" s="67"/>
      <c r="F197" s="141">
        <v>3502</v>
      </c>
      <c r="G197" s="65" t="s">
        <v>423</v>
      </c>
      <c r="H197" s="179"/>
      <c r="I197" s="179"/>
      <c r="J197" s="140"/>
      <c r="K197" s="139"/>
      <c r="L197" s="140"/>
      <c r="M197" s="140"/>
      <c r="N197" s="135"/>
      <c r="O197" s="141"/>
      <c r="P197" s="135"/>
      <c r="Q197" s="142"/>
      <c r="R197" s="141"/>
      <c r="S197" s="143"/>
      <c r="T197" s="135"/>
      <c r="U197" s="135"/>
      <c r="V197" s="136">
        <f>SUM(V198:V199)</f>
        <v>0</v>
      </c>
      <c r="W197" s="136">
        <f t="shared" ref="W197:AI197" si="80">SUM(W198:W199)</f>
        <v>0</v>
      </c>
      <c r="X197" s="136">
        <f t="shared" si="80"/>
        <v>0</v>
      </c>
      <c r="Y197" s="136">
        <f t="shared" si="80"/>
        <v>0</v>
      </c>
      <c r="Z197" s="136">
        <f t="shared" si="80"/>
        <v>0</v>
      </c>
      <c r="AA197" s="136">
        <f t="shared" si="80"/>
        <v>0</v>
      </c>
      <c r="AB197" s="136">
        <f t="shared" si="80"/>
        <v>0</v>
      </c>
      <c r="AC197" s="136">
        <f t="shared" si="80"/>
        <v>0</v>
      </c>
      <c r="AD197" s="136">
        <f t="shared" si="80"/>
        <v>0</v>
      </c>
      <c r="AE197" s="136">
        <f t="shared" si="80"/>
        <v>0</v>
      </c>
      <c r="AF197" s="543">
        <f t="shared" si="80"/>
        <v>36000000</v>
      </c>
      <c r="AG197" s="136">
        <f t="shared" si="80"/>
        <v>0</v>
      </c>
      <c r="AH197" s="136">
        <f t="shared" si="80"/>
        <v>0</v>
      </c>
      <c r="AI197" s="136">
        <f t="shared" si="80"/>
        <v>36000000</v>
      </c>
      <c r="AJ197" s="136"/>
      <c r="AK197" s="144"/>
    </row>
    <row r="198" spans="1:77" ht="90.75" customHeight="1" x14ac:dyDescent="0.2">
      <c r="A198" s="133"/>
      <c r="B198" s="67"/>
      <c r="C198" s="67"/>
      <c r="D198" s="67"/>
      <c r="E198" s="67"/>
      <c r="F198" s="66"/>
      <c r="G198" s="517"/>
      <c r="H198" s="512" t="s">
        <v>573</v>
      </c>
      <c r="I198" s="69">
        <v>3502017</v>
      </c>
      <c r="J198" s="512" t="s">
        <v>574</v>
      </c>
      <c r="K198" s="69">
        <v>3502017</v>
      </c>
      <c r="L198" s="512" t="s">
        <v>574</v>
      </c>
      <c r="M198" s="192" t="s">
        <v>575</v>
      </c>
      <c r="N198" s="76" t="s">
        <v>576</v>
      </c>
      <c r="O198" s="192" t="s">
        <v>575</v>
      </c>
      <c r="P198" s="76" t="s">
        <v>576</v>
      </c>
      <c r="Q198" s="96" t="s">
        <v>55</v>
      </c>
      <c r="R198" s="96">
        <v>6</v>
      </c>
      <c r="S198" s="613" t="s">
        <v>577</v>
      </c>
      <c r="T198" s="614" t="s">
        <v>578</v>
      </c>
      <c r="U198" s="606" t="s">
        <v>579</v>
      </c>
      <c r="V198" s="137"/>
      <c r="W198" s="137"/>
      <c r="X198" s="137"/>
      <c r="Y198" s="137"/>
      <c r="Z198" s="137"/>
      <c r="AA198" s="137"/>
      <c r="AB198" s="137"/>
      <c r="AC198" s="137"/>
      <c r="AD198" s="137"/>
      <c r="AE198" s="137"/>
      <c r="AF198" s="541">
        <v>18000000</v>
      </c>
      <c r="AG198" s="234"/>
      <c r="AH198" s="234"/>
      <c r="AI198" s="234">
        <f>SUM(V198:AH198)</f>
        <v>18000000</v>
      </c>
      <c r="AJ198" s="235" t="s">
        <v>482</v>
      </c>
      <c r="AK198" s="234" t="s">
        <v>483</v>
      </c>
    </row>
    <row r="199" spans="1:77" s="9" customFormat="1" ht="130.5" customHeight="1" x14ac:dyDescent="0.25">
      <c r="A199" s="115"/>
      <c r="B199" s="83"/>
      <c r="C199" s="83"/>
      <c r="D199" s="83"/>
      <c r="E199" s="83"/>
      <c r="F199" s="66"/>
      <c r="G199" s="517"/>
      <c r="H199" s="512" t="s">
        <v>573</v>
      </c>
      <c r="I199" s="69">
        <v>3502007</v>
      </c>
      <c r="J199" s="512" t="s">
        <v>580</v>
      </c>
      <c r="K199" s="69">
        <v>3502007</v>
      </c>
      <c r="L199" s="512" t="s">
        <v>580</v>
      </c>
      <c r="M199" s="66" t="s">
        <v>433</v>
      </c>
      <c r="N199" s="510" t="s">
        <v>434</v>
      </c>
      <c r="O199" s="66" t="s">
        <v>433</v>
      </c>
      <c r="P199" s="510" t="s">
        <v>434</v>
      </c>
      <c r="Q199" s="91" t="s">
        <v>55</v>
      </c>
      <c r="R199" s="68">
        <v>5</v>
      </c>
      <c r="S199" s="613"/>
      <c r="T199" s="614"/>
      <c r="U199" s="606"/>
      <c r="V199" s="137"/>
      <c r="W199" s="137"/>
      <c r="X199" s="137"/>
      <c r="Y199" s="137"/>
      <c r="Z199" s="137"/>
      <c r="AA199" s="137"/>
      <c r="AB199" s="137"/>
      <c r="AC199" s="137"/>
      <c r="AD199" s="137"/>
      <c r="AE199" s="137"/>
      <c r="AF199" s="541">
        <v>18000000</v>
      </c>
      <c r="AG199" s="234"/>
      <c r="AH199" s="234"/>
      <c r="AI199" s="234">
        <f>SUM(V199:AH199)</f>
        <v>18000000</v>
      </c>
      <c r="AJ199" s="235" t="s">
        <v>482</v>
      </c>
      <c r="AK199" s="234" t="s">
        <v>483</v>
      </c>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row>
    <row r="200" spans="1:77" ht="24.75" customHeight="1" x14ac:dyDescent="0.2">
      <c r="A200" s="133"/>
      <c r="B200" s="116">
        <v>3</v>
      </c>
      <c r="C200" s="116"/>
      <c r="D200" s="63" t="s">
        <v>203</v>
      </c>
      <c r="E200" s="163"/>
      <c r="F200" s="61"/>
      <c r="G200" s="61"/>
      <c r="H200" s="61"/>
      <c r="I200" s="61"/>
      <c r="J200" s="118"/>
      <c r="K200" s="117"/>
      <c r="L200" s="118"/>
      <c r="M200" s="118"/>
      <c r="N200" s="119"/>
      <c r="O200" s="116"/>
      <c r="P200" s="119"/>
      <c r="Q200" s="120"/>
      <c r="R200" s="116"/>
      <c r="S200" s="121"/>
      <c r="T200" s="119"/>
      <c r="U200" s="119"/>
      <c r="V200" s="122">
        <f>V201</f>
        <v>0</v>
      </c>
      <c r="W200" s="122">
        <f t="shared" ref="W200:AH200" si="81">W201</f>
        <v>0</v>
      </c>
      <c r="X200" s="122">
        <f t="shared" si="81"/>
        <v>0</v>
      </c>
      <c r="Y200" s="122">
        <f t="shared" si="81"/>
        <v>0</v>
      </c>
      <c r="Z200" s="122">
        <f t="shared" si="81"/>
        <v>0</v>
      </c>
      <c r="AA200" s="122">
        <f t="shared" si="81"/>
        <v>0</v>
      </c>
      <c r="AB200" s="122">
        <f t="shared" si="81"/>
        <v>0</v>
      </c>
      <c r="AC200" s="122">
        <f t="shared" si="81"/>
        <v>0</v>
      </c>
      <c r="AD200" s="122">
        <f t="shared" si="81"/>
        <v>0</v>
      </c>
      <c r="AE200" s="122">
        <f t="shared" si="81"/>
        <v>0</v>
      </c>
      <c r="AF200" s="551">
        <f t="shared" si="81"/>
        <v>1347248186</v>
      </c>
      <c r="AG200" s="122">
        <f t="shared" si="81"/>
        <v>0</v>
      </c>
      <c r="AH200" s="122">
        <f t="shared" si="81"/>
        <v>0</v>
      </c>
      <c r="AI200" s="122">
        <f>AI201</f>
        <v>1347248186</v>
      </c>
      <c r="AJ200" s="122"/>
      <c r="AK200" s="156"/>
    </row>
    <row r="201" spans="1:77" s="9" customFormat="1" ht="27.75" customHeight="1" x14ac:dyDescent="0.25">
      <c r="A201" s="115"/>
      <c r="B201" s="67"/>
      <c r="C201" s="67"/>
      <c r="D201" s="64">
        <v>32</v>
      </c>
      <c r="E201" s="62" t="s">
        <v>225</v>
      </c>
      <c r="F201" s="62"/>
      <c r="G201" s="123"/>
      <c r="H201" s="124"/>
      <c r="I201" s="124"/>
      <c r="J201" s="126"/>
      <c r="K201" s="125"/>
      <c r="L201" s="126"/>
      <c r="M201" s="126"/>
      <c r="N201" s="128"/>
      <c r="O201" s="127"/>
      <c r="P201" s="128"/>
      <c r="Q201" s="129"/>
      <c r="R201" s="127"/>
      <c r="S201" s="199"/>
      <c r="T201" s="131"/>
      <c r="U201" s="131"/>
      <c r="V201" s="132">
        <f>V202+V205+V212+V218+V214</f>
        <v>0</v>
      </c>
      <c r="W201" s="132">
        <f t="shared" ref="W201:AI201" si="82">W202+W205+W212+W218+W214</f>
        <v>0</v>
      </c>
      <c r="X201" s="132">
        <f t="shared" si="82"/>
        <v>0</v>
      </c>
      <c r="Y201" s="132">
        <f t="shared" si="82"/>
        <v>0</v>
      </c>
      <c r="Z201" s="132">
        <f t="shared" si="82"/>
        <v>0</v>
      </c>
      <c r="AA201" s="132">
        <f t="shared" si="82"/>
        <v>0</v>
      </c>
      <c r="AB201" s="132">
        <f t="shared" si="82"/>
        <v>0</v>
      </c>
      <c r="AC201" s="132">
        <f t="shared" si="82"/>
        <v>0</v>
      </c>
      <c r="AD201" s="132">
        <f t="shared" si="82"/>
        <v>0</v>
      </c>
      <c r="AE201" s="132">
        <f t="shared" si="82"/>
        <v>0</v>
      </c>
      <c r="AF201" s="547">
        <f t="shared" si="82"/>
        <v>1347248186</v>
      </c>
      <c r="AG201" s="132">
        <f t="shared" si="82"/>
        <v>0</v>
      </c>
      <c r="AH201" s="132">
        <f t="shared" si="82"/>
        <v>0</v>
      </c>
      <c r="AI201" s="132">
        <f t="shared" si="82"/>
        <v>1347248186</v>
      </c>
      <c r="AJ201" s="132"/>
      <c r="AK201" s="157"/>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row>
    <row r="202" spans="1:77" ht="29.25" customHeight="1" x14ac:dyDescent="0.2">
      <c r="A202" s="133"/>
      <c r="B202" s="67"/>
      <c r="C202" s="67"/>
      <c r="D202" s="67"/>
      <c r="E202" s="67"/>
      <c r="F202" s="141" t="s">
        <v>581</v>
      </c>
      <c r="G202" s="65" t="s">
        <v>582</v>
      </c>
      <c r="H202" s="179"/>
      <c r="I202" s="179"/>
      <c r="J202" s="140"/>
      <c r="K202" s="139"/>
      <c r="L202" s="140"/>
      <c r="M202" s="140"/>
      <c r="N202" s="135"/>
      <c r="O202" s="141"/>
      <c r="P202" s="135"/>
      <c r="Q202" s="142"/>
      <c r="R202" s="141"/>
      <c r="S202" s="143"/>
      <c r="T202" s="135"/>
      <c r="U202" s="135"/>
      <c r="V202" s="136">
        <f>SUM(V203:V204)</f>
        <v>0</v>
      </c>
      <c r="W202" s="136">
        <f t="shared" ref="W202:AI202" si="83">SUM(W203:W204)</f>
        <v>0</v>
      </c>
      <c r="X202" s="136">
        <f t="shared" si="83"/>
        <v>0</v>
      </c>
      <c r="Y202" s="136">
        <f t="shared" si="83"/>
        <v>0</v>
      </c>
      <c r="Z202" s="136">
        <f t="shared" si="83"/>
        <v>0</v>
      </c>
      <c r="AA202" s="136">
        <f t="shared" si="83"/>
        <v>0</v>
      </c>
      <c r="AB202" s="136">
        <f t="shared" si="83"/>
        <v>0</v>
      </c>
      <c r="AC202" s="136">
        <f t="shared" si="83"/>
        <v>0</v>
      </c>
      <c r="AD202" s="136">
        <f t="shared" si="83"/>
        <v>0</v>
      </c>
      <c r="AE202" s="136">
        <f t="shared" si="83"/>
        <v>0</v>
      </c>
      <c r="AF202" s="543">
        <f t="shared" si="83"/>
        <v>82000000</v>
      </c>
      <c r="AG202" s="136">
        <f t="shared" si="83"/>
        <v>0</v>
      </c>
      <c r="AH202" s="136">
        <f t="shared" si="83"/>
        <v>0</v>
      </c>
      <c r="AI202" s="136">
        <f t="shared" si="83"/>
        <v>82000000</v>
      </c>
      <c r="AJ202" s="136"/>
      <c r="AK202" s="144"/>
    </row>
    <row r="203" spans="1:77" ht="131.25" customHeight="1" x14ac:dyDescent="0.2">
      <c r="A203" s="133"/>
      <c r="B203" s="67"/>
      <c r="C203" s="67"/>
      <c r="D203" s="67"/>
      <c r="E203" s="67"/>
      <c r="F203" s="244"/>
      <c r="G203" s="245"/>
      <c r="H203" s="512" t="s">
        <v>227</v>
      </c>
      <c r="I203" s="69">
        <v>3201013</v>
      </c>
      <c r="J203" s="512" t="s">
        <v>583</v>
      </c>
      <c r="K203" s="69">
        <v>3201013</v>
      </c>
      <c r="L203" s="512" t="s">
        <v>583</v>
      </c>
      <c r="M203" s="192" t="s">
        <v>584</v>
      </c>
      <c r="N203" s="76" t="s">
        <v>585</v>
      </c>
      <c r="O203" s="192" t="s">
        <v>584</v>
      </c>
      <c r="P203" s="76" t="s">
        <v>585</v>
      </c>
      <c r="Q203" s="88" t="s">
        <v>71</v>
      </c>
      <c r="R203" s="96">
        <v>1</v>
      </c>
      <c r="S203" s="632" t="s">
        <v>586</v>
      </c>
      <c r="T203" s="625" t="s">
        <v>587</v>
      </c>
      <c r="U203" s="615" t="s">
        <v>588</v>
      </c>
      <c r="V203" s="246"/>
      <c r="W203" s="246"/>
      <c r="X203" s="246"/>
      <c r="Y203" s="246"/>
      <c r="Z203" s="246"/>
      <c r="AA203" s="246"/>
      <c r="AB203" s="246"/>
      <c r="AC203" s="246"/>
      <c r="AD203" s="246"/>
      <c r="AE203" s="246"/>
      <c r="AF203" s="541">
        <v>32000000</v>
      </c>
      <c r="AG203" s="234"/>
      <c r="AH203" s="234"/>
      <c r="AI203" s="234">
        <f>SUM(V203:AH203)</f>
        <v>32000000</v>
      </c>
      <c r="AJ203" s="235" t="s">
        <v>482</v>
      </c>
      <c r="AK203" s="234" t="s">
        <v>483</v>
      </c>
    </row>
    <row r="204" spans="1:77" ht="86.25" customHeight="1" x14ac:dyDescent="0.2">
      <c r="A204" s="133"/>
      <c r="B204" s="67"/>
      <c r="C204" s="67"/>
      <c r="D204" s="67"/>
      <c r="E204" s="67"/>
      <c r="F204" s="244"/>
      <c r="G204" s="245"/>
      <c r="H204" s="512" t="s">
        <v>227</v>
      </c>
      <c r="I204" s="69">
        <v>3201008</v>
      </c>
      <c r="J204" s="512" t="s">
        <v>589</v>
      </c>
      <c r="K204" s="69">
        <v>3201008</v>
      </c>
      <c r="L204" s="512" t="s">
        <v>589</v>
      </c>
      <c r="M204" s="192" t="s">
        <v>590</v>
      </c>
      <c r="N204" s="76" t="s">
        <v>591</v>
      </c>
      <c r="O204" s="192" t="s">
        <v>590</v>
      </c>
      <c r="P204" s="76" t="s">
        <v>591</v>
      </c>
      <c r="Q204" s="88" t="s">
        <v>71</v>
      </c>
      <c r="R204" s="96">
        <v>2</v>
      </c>
      <c r="S204" s="632"/>
      <c r="T204" s="625"/>
      <c r="U204" s="615"/>
      <c r="V204" s="246"/>
      <c r="W204" s="246"/>
      <c r="X204" s="246"/>
      <c r="Y204" s="246"/>
      <c r="Z204" s="246"/>
      <c r="AA204" s="246"/>
      <c r="AB204" s="246"/>
      <c r="AC204" s="246"/>
      <c r="AD204" s="246"/>
      <c r="AE204" s="246"/>
      <c r="AF204" s="541">
        <v>50000000</v>
      </c>
      <c r="AG204" s="234"/>
      <c r="AH204" s="234"/>
      <c r="AI204" s="234">
        <f>SUM(V204:AH204)</f>
        <v>50000000</v>
      </c>
      <c r="AJ204" s="235" t="s">
        <v>482</v>
      </c>
      <c r="AK204" s="234" t="s">
        <v>483</v>
      </c>
    </row>
    <row r="205" spans="1:77" ht="33" customHeight="1" x14ac:dyDescent="0.2">
      <c r="A205" s="133"/>
      <c r="B205" s="67"/>
      <c r="C205" s="67"/>
      <c r="D205" s="67"/>
      <c r="E205" s="67"/>
      <c r="F205" s="141">
        <v>3202</v>
      </c>
      <c r="G205" s="65" t="s">
        <v>592</v>
      </c>
      <c r="H205" s="179"/>
      <c r="I205" s="179"/>
      <c r="J205" s="140"/>
      <c r="K205" s="139"/>
      <c r="L205" s="140"/>
      <c r="M205" s="140"/>
      <c r="N205" s="135"/>
      <c r="O205" s="141"/>
      <c r="P205" s="135"/>
      <c r="Q205" s="142"/>
      <c r="R205" s="141"/>
      <c r="S205" s="143"/>
      <c r="T205" s="135"/>
      <c r="U205" s="135"/>
      <c r="V205" s="136">
        <f>SUM(V206:V211)</f>
        <v>0</v>
      </c>
      <c r="W205" s="136">
        <f t="shared" ref="W205:AH205" si="84">SUM(W206:W211)</f>
        <v>0</v>
      </c>
      <c r="X205" s="136">
        <f t="shared" si="84"/>
        <v>0</v>
      </c>
      <c r="Y205" s="136">
        <f t="shared" si="84"/>
        <v>0</v>
      </c>
      <c r="Z205" s="136">
        <f t="shared" si="84"/>
        <v>0</v>
      </c>
      <c r="AA205" s="136">
        <f t="shared" si="84"/>
        <v>0</v>
      </c>
      <c r="AB205" s="136">
        <f t="shared" si="84"/>
        <v>0</v>
      </c>
      <c r="AC205" s="136">
        <f t="shared" si="84"/>
        <v>0</v>
      </c>
      <c r="AD205" s="136">
        <f t="shared" si="84"/>
        <v>0</v>
      </c>
      <c r="AE205" s="136">
        <f t="shared" si="84"/>
        <v>0</v>
      </c>
      <c r="AF205" s="543">
        <f t="shared" si="84"/>
        <v>945248186</v>
      </c>
      <c r="AG205" s="136">
        <f t="shared" si="84"/>
        <v>0</v>
      </c>
      <c r="AH205" s="136">
        <f t="shared" si="84"/>
        <v>0</v>
      </c>
      <c r="AI205" s="136">
        <f>SUM(AI206:AI211)</f>
        <v>945248186</v>
      </c>
      <c r="AJ205" s="136">
        <f>SUM(AJ206:AJ211)</f>
        <v>0</v>
      </c>
      <c r="AK205" s="144">
        <f>SUM(AK206:AK211)</f>
        <v>0</v>
      </c>
    </row>
    <row r="206" spans="1:77" ht="48.75" customHeight="1" x14ac:dyDescent="0.2">
      <c r="A206" s="133"/>
      <c r="B206" s="67"/>
      <c r="C206" s="67"/>
      <c r="D206" s="67"/>
      <c r="E206" s="67"/>
      <c r="F206" s="71"/>
      <c r="G206" s="517"/>
      <c r="H206" s="512" t="s">
        <v>227</v>
      </c>
      <c r="I206" s="69" t="s">
        <v>593</v>
      </c>
      <c r="J206" s="512" t="s">
        <v>594</v>
      </c>
      <c r="K206" s="69" t="s">
        <v>593</v>
      </c>
      <c r="L206" s="512" t="s">
        <v>594</v>
      </c>
      <c r="M206" s="192" t="s">
        <v>595</v>
      </c>
      <c r="N206" s="76" t="s">
        <v>596</v>
      </c>
      <c r="O206" s="192" t="s">
        <v>595</v>
      </c>
      <c r="P206" s="76" t="s">
        <v>596</v>
      </c>
      <c r="Q206" s="88" t="s">
        <v>71</v>
      </c>
      <c r="R206" s="96">
        <v>600</v>
      </c>
      <c r="S206" s="613" t="s">
        <v>597</v>
      </c>
      <c r="T206" s="606" t="s">
        <v>598</v>
      </c>
      <c r="U206" s="606" t="s">
        <v>599</v>
      </c>
      <c r="V206" s="137"/>
      <c r="W206" s="137"/>
      <c r="X206" s="137"/>
      <c r="Y206" s="137"/>
      <c r="Z206" s="137"/>
      <c r="AA206" s="137"/>
      <c r="AB206" s="137"/>
      <c r="AC206" s="137"/>
      <c r="AD206" s="137"/>
      <c r="AE206" s="137"/>
      <c r="AF206" s="556">
        <f>200000000+20000000</f>
        <v>220000000</v>
      </c>
      <c r="AG206" s="234"/>
      <c r="AH206" s="234"/>
      <c r="AI206" s="234">
        <f t="shared" ref="AI206:AI211" si="85">SUM(V206:AH206)</f>
        <v>220000000</v>
      </c>
      <c r="AJ206" s="235" t="s">
        <v>482</v>
      </c>
      <c r="AK206" s="234" t="s">
        <v>483</v>
      </c>
    </row>
    <row r="207" spans="1:77" ht="53.25" customHeight="1" x14ac:dyDescent="0.2">
      <c r="A207" s="133"/>
      <c r="B207" s="67"/>
      <c r="C207" s="67"/>
      <c r="D207" s="67"/>
      <c r="E207" s="67"/>
      <c r="F207" s="71"/>
      <c r="G207" s="517"/>
      <c r="H207" s="512" t="s">
        <v>227</v>
      </c>
      <c r="I207" s="69">
        <v>3202037</v>
      </c>
      <c r="J207" s="512" t="s">
        <v>600</v>
      </c>
      <c r="K207" s="69">
        <v>3202037</v>
      </c>
      <c r="L207" s="512" t="s">
        <v>600</v>
      </c>
      <c r="M207" s="192" t="s">
        <v>601</v>
      </c>
      <c r="N207" s="76" t="s">
        <v>602</v>
      </c>
      <c r="O207" s="192" t="s">
        <v>601</v>
      </c>
      <c r="P207" s="76" t="s">
        <v>602</v>
      </c>
      <c r="Q207" s="88" t="s">
        <v>71</v>
      </c>
      <c r="R207" s="96">
        <v>40</v>
      </c>
      <c r="S207" s="613"/>
      <c r="T207" s="606"/>
      <c r="U207" s="606"/>
      <c r="V207" s="137"/>
      <c r="W207" s="137"/>
      <c r="X207" s="137"/>
      <c r="Y207" s="137"/>
      <c r="Z207" s="137"/>
      <c r="AA207" s="137"/>
      <c r="AB207" s="137"/>
      <c r="AC207" s="137"/>
      <c r="AD207" s="137"/>
      <c r="AE207" s="137"/>
      <c r="AF207" s="556">
        <f>82575952+12672234</f>
        <v>95248186</v>
      </c>
      <c r="AG207" s="234"/>
      <c r="AH207" s="234"/>
      <c r="AI207" s="234">
        <f t="shared" si="85"/>
        <v>95248186</v>
      </c>
      <c r="AJ207" s="235" t="s">
        <v>482</v>
      </c>
      <c r="AK207" s="234" t="s">
        <v>483</v>
      </c>
    </row>
    <row r="208" spans="1:77" ht="99" customHeight="1" x14ac:dyDescent="0.2">
      <c r="A208" s="133"/>
      <c r="B208" s="67"/>
      <c r="C208" s="67"/>
      <c r="D208" s="67"/>
      <c r="E208" s="67"/>
      <c r="F208" s="71"/>
      <c r="G208" s="517"/>
      <c r="H208" s="512" t="s">
        <v>227</v>
      </c>
      <c r="I208" s="449" t="s">
        <v>50</v>
      </c>
      <c r="J208" s="512" t="s">
        <v>603</v>
      </c>
      <c r="K208" s="73">
        <v>3202037</v>
      </c>
      <c r="L208" s="512" t="s">
        <v>600</v>
      </c>
      <c r="M208" s="449" t="s">
        <v>50</v>
      </c>
      <c r="N208" s="76" t="s">
        <v>604</v>
      </c>
      <c r="O208" s="73">
        <v>320203700</v>
      </c>
      <c r="P208" s="76" t="s">
        <v>605</v>
      </c>
      <c r="Q208" s="88" t="s">
        <v>71</v>
      </c>
      <c r="R208" s="88">
        <v>60</v>
      </c>
      <c r="S208" s="613"/>
      <c r="T208" s="606"/>
      <c r="U208" s="606"/>
      <c r="V208" s="137"/>
      <c r="W208" s="137"/>
      <c r="X208" s="137"/>
      <c r="Y208" s="137"/>
      <c r="Z208" s="137"/>
      <c r="AA208" s="137"/>
      <c r="AB208" s="137"/>
      <c r="AC208" s="137"/>
      <c r="AD208" s="137"/>
      <c r="AE208" s="137"/>
      <c r="AF208" s="541">
        <f>400000000+20000000</f>
        <v>420000000</v>
      </c>
      <c r="AG208" s="234"/>
      <c r="AH208" s="234"/>
      <c r="AI208" s="234">
        <f t="shared" si="85"/>
        <v>420000000</v>
      </c>
      <c r="AJ208" s="235" t="s">
        <v>482</v>
      </c>
      <c r="AK208" s="234" t="s">
        <v>483</v>
      </c>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row>
    <row r="209" spans="1:77" ht="85.5" customHeight="1" x14ac:dyDescent="0.2">
      <c r="A209" s="133"/>
      <c r="B209" s="67"/>
      <c r="C209" s="67"/>
      <c r="D209" s="67"/>
      <c r="E209" s="67"/>
      <c r="F209" s="71"/>
      <c r="G209" s="517"/>
      <c r="H209" s="512" t="s">
        <v>227</v>
      </c>
      <c r="I209" s="66">
        <v>3202017</v>
      </c>
      <c r="J209" s="512" t="s">
        <v>606</v>
      </c>
      <c r="K209" s="69">
        <v>3202043</v>
      </c>
      <c r="L209" s="512" t="s">
        <v>607</v>
      </c>
      <c r="M209" s="66" t="s">
        <v>608</v>
      </c>
      <c r="N209" s="76" t="s">
        <v>609</v>
      </c>
      <c r="O209" s="192">
        <v>320204300</v>
      </c>
      <c r="P209" s="76" t="s">
        <v>610</v>
      </c>
      <c r="Q209" s="88" t="s">
        <v>55</v>
      </c>
      <c r="R209" s="251">
        <v>1</v>
      </c>
      <c r="S209" s="613"/>
      <c r="T209" s="606"/>
      <c r="U209" s="606"/>
      <c r="V209" s="137"/>
      <c r="W209" s="137"/>
      <c r="X209" s="137"/>
      <c r="Y209" s="137"/>
      <c r="Z209" s="137"/>
      <c r="AA209" s="137"/>
      <c r="AB209" s="137"/>
      <c r="AC209" s="137"/>
      <c r="AD209" s="137"/>
      <c r="AE209" s="137"/>
      <c r="AF209" s="541">
        <f>100000000+20000000</f>
        <v>120000000</v>
      </c>
      <c r="AG209" s="234"/>
      <c r="AH209" s="234"/>
      <c r="AI209" s="234">
        <f t="shared" si="85"/>
        <v>120000000</v>
      </c>
      <c r="AJ209" s="235" t="s">
        <v>482</v>
      </c>
      <c r="AK209" s="234" t="s">
        <v>483</v>
      </c>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row>
    <row r="210" spans="1:77" ht="216.75" customHeight="1" x14ac:dyDescent="0.2">
      <c r="A210" s="133"/>
      <c r="B210" s="67"/>
      <c r="C210" s="67"/>
      <c r="D210" s="67"/>
      <c r="E210" s="67"/>
      <c r="F210" s="71"/>
      <c r="G210" s="517"/>
      <c r="H210" s="512" t="s">
        <v>227</v>
      </c>
      <c r="I210" s="16" t="s">
        <v>50</v>
      </c>
      <c r="J210" s="512" t="s">
        <v>611</v>
      </c>
      <c r="K210" s="69">
        <v>3202014</v>
      </c>
      <c r="L210" s="512" t="s">
        <v>1411</v>
      </c>
      <c r="M210" s="451" t="s">
        <v>50</v>
      </c>
      <c r="N210" s="76" t="s">
        <v>612</v>
      </c>
      <c r="O210" s="192">
        <v>320201402</v>
      </c>
      <c r="P210" s="76" t="s">
        <v>613</v>
      </c>
      <c r="Q210" s="88" t="s">
        <v>55</v>
      </c>
      <c r="R210" s="251">
        <v>1</v>
      </c>
      <c r="S210" s="517" t="s">
        <v>614</v>
      </c>
      <c r="T210" s="510" t="s">
        <v>615</v>
      </c>
      <c r="U210" s="512" t="s">
        <v>616</v>
      </c>
      <c r="V210" s="137"/>
      <c r="W210" s="137"/>
      <c r="X210" s="137"/>
      <c r="Y210" s="137"/>
      <c r="Z210" s="137"/>
      <c r="AA210" s="137"/>
      <c r="AB210" s="137"/>
      <c r="AC210" s="137"/>
      <c r="AD210" s="137"/>
      <c r="AE210" s="137"/>
      <c r="AF210" s="541">
        <v>36000000</v>
      </c>
      <c r="AG210" s="234"/>
      <c r="AH210" s="234"/>
      <c r="AI210" s="234">
        <f t="shared" si="85"/>
        <v>36000000</v>
      </c>
      <c r="AJ210" s="235" t="s">
        <v>482</v>
      </c>
      <c r="AK210" s="234" t="s">
        <v>483</v>
      </c>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row>
    <row r="211" spans="1:77" ht="204" customHeight="1" x14ac:dyDescent="0.2">
      <c r="A211" s="133"/>
      <c r="B211" s="67"/>
      <c r="C211" s="67"/>
      <c r="D211" s="67"/>
      <c r="E211" s="67"/>
      <c r="F211" s="71"/>
      <c r="G211" s="517"/>
      <c r="H211" s="512" t="s">
        <v>227</v>
      </c>
      <c r="I211" s="449" t="s">
        <v>50</v>
      </c>
      <c r="J211" s="512" t="s">
        <v>617</v>
      </c>
      <c r="K211" s="66">
        <v>3202014</v>
      </c>
      <c r="L211" s="512" t="s">
        <v>1411</v>
      </c>
      <c r="M211" s="449" t="s">
        <v>50</v>
      </c>
      <c r="N211" s="76" t="s">
        <v>618</v>
      </c>
      <c r="O211" s="66">
        <v>320201402</v>
      </c>
      <c r="P211" s="76" t="s">
        <v>613</v>
      </c>
      <c r="Q211" s="88" t="s">
        <v>71</v>
      </c>
      <c r="R211" s="251">
        <v>1</v>
      </c>
      <c r="S211" s="517" t="s">
        <v>619</v>
      </c>
      <c r="T211" s="510" t="s">
        <v>620</v>
      </c>
      <c r="U211" s="512" t="s">
        <v>621</v>
      </c>
      <c r="V211" s="137"/>
      <c r="W211" s="137"/>
      <c r="X211" s="137"/>
      <c r="Y211" s="137"/>
      <c r="Z211" s="137"/>
      <c r="AA211" s="137"/>
      <c r="AB211" s="137"/>
      <c r="AC211" s="137"/>
      <c r="AD211" s="137"/>
      <c r="AE211" s="137"/>
      <c r="AF211" s="541">
        <v>54000000</v>
      </c>
      <c r="AG211" s="234"/>
      <c r="AH211" s="234"/>
      <c r="AI211" s="234">
        <f t="shared" si="85"/>
        <v>54000000</v>
      </c>
      <c r="AJ211" s="235" t="s">
        <v>482</v>
      </c>
      <c r="AK211" s="234" t="s">
        <v>483</v>
      </c>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row>
    <row r="212" spans="1:77" ht="21.75" customHeight="1" x14ac:dyDescent="0.2">
      <c r="A212" s="133"/>
      <c r="B212" s="67"/>
      <c r="C212" s="67"/>
      <c r="D212" s="67"/>
      <c r="E212" s="67"/>
      <c r="F212" s="141" t="s">
        <v>622</v>
      </c>
      <c r="G212" s="65" t="s">
        <v>623</v>
      </c>
      <c r="H212" s="179"/>
      <c r="I212" s="450"/>
      <c r="J212" s="140"/>
      <c r="K212" s="139"/>
      <c r="L212" s="140"/>
      <c r="M212" s="452"/>
      <c r="N212" s="135"/>
      <c r="O212" s="141"/>
      <c r="P212" s="135"/>
      <c r="Q212" s="142"/>
      <c r="R212" s="141"/>
      <c r="S212" s="143"/>
      <c r="T212" s="135"/>
      <c r="U212" s="135"/>
      <c r="V212" s="136">
        <f t="shared" ref="V212:AH212" si="86">SUM(V213:V213)</f>
        <v>0</v>
      </c>
      <c r="W212" s="136">
        <f t="shared" si="86"/>
        <v>0</v>
      </c>
      <c r="X212" s="136">
        <f t="shared" si="86"/>
        <v>0</v>
      </c>
      <c r="Y212" s="136">
        <f t="shared" si="86"/>
        <v>0</v>
      </c>
      <c r="Z212" s="136">
        <f t="shared" si="86"/>
        <v>0</v>
      </c>
      <c r="AA212" s="136">
        <f t="shared" si="86"/>
        <v>0</v>
      </c>
      <c r="AB212" s="136">
        <f t="shared" si="86"/>
        <v>0</v>
      </c>
      <c r="AC212" s="136">
        <f t="shared" si="86"/>
        <v>0</v>
      </c>
      <c r="AD212" s="136">
        <f t="shared" si="86"/>
        <v>0</v>
      </c>
      <c r="AE212" s="136">
        <f t="shared" si="86"/>
        <v>0</v>
      </c>
      <c r="AF212" s="543">
        <f>SUM(AF213:AF213)</f>
        <v>120000000</v>
      </c>
      <c r="AG212" s="136">
        <f t="shared" si="86"/>
        <v>0</v>
      </c>
      <c r="AH212" s="136">
        <f t="shared" si="86"/>
        <v>0</v>
      </c>
      <c r="AI212" s="136">
        <f>SUM(AI213:AI213)</f>
        <v>120000000</v>
      </c>
      <c r="AJ212" s="136"/>
      <c r="AK212" s="144"/>
    </row>
    <row r="213" spans="1:77" ht="206.25" customHeight="1" x14ac:dyDescent="0.2">
      <c r="A213" s="133"/>
      <c r="B213" s="67"/>
      <c r="C213" s="67"/>
      <c r="D213" s="67"/>
      <c r="E213" s="67"/>
      <c r="F213" s="71"/>
      <c r="G213" s="517"/>
      <c r="H213" s="512" t="s">
        <v>227</v>
      </c>
      <c r="I213" s="69">
        <v>3204012</v>
      </c>
      <c r="J213" s="512" t="s">
        <v>624</v>
      </c>
      <c r="K213" s="69">
        <v>3204012</v>
      </c>
      <c r="L213" s="512" t="s">
        <v>624</v>
      </c>
      <c r="M213" s="192" t="s">
        <v>625</v>
      </c>
      <c r="N213" s="76" t="s">
        <v>626</v>
      </c>
      <c r="O213" s="192" t="s">
        <v>625</v>
      </c>
      <c r="P213" s="76" t="s">
        <v>626</v>
      </c>
      <c r="Q213" s="88" t="s">
        <v>71</v>
      </c>
      <c r="R213" s="96">
        <v>2</v>
      </c>
      <c r="S213" s="519" t="s">
        <v>627</v>
      </c>
      <c r="T213" s="510" t="s">
        <v>628</v>
      </c>
      <c r="U213" s="512" t="s">
        <v>629</v>
      </c>
      <c r="V213" s="137"/>
      <c r="W213" s="137"/>
      <c r="X213" s="137"/>
      <c r="Y213" s="137"/>
      <c r="Z213" s="137"/>
      <c r="AA213" s="137"/>
      <c r="AB213" s="137"/>
      <c r="AC213" s="137"/>
      <c r="AD213" s="137"/>
      <c r="AE213" s="137"/>
      <c r="AF213" s="541">
        <v>120000000</v>
      </c>
      <c r="AG213" s="234"/>
      <c r="AH213" s="234"/>
      <c r="AI213" s="234">
        <f>SUM(V213:AH213)</f>
        <v>120000000</v>
      </c>
      <c r="AJ213" s="235" t="s">
        <v>482</v>
      </c>
      <c r="AK213" s="234" t="s">
        <v>483</v>
      </c>
    </row>
    <row r="214" spans="1:77" ht="32.25" customHeight="1" x14ac:dyDescent="0.2">
      <c r="A214" s="133"/>
      <c r="B214" s="67"/>
      <c r="C214" s="67"/>
      <c r="D214" s="67"/>
      <c r="E214" s="67"/>
      <c r="F214" s="141">
        <v>3205</v>
      </c>
      <c r="G214" s="65" t="s">
        <v>226</v>
      </c>
      <c r="H214" s="179"/>
      <c r="I214" s="179"/>
      <c r="J214" s="140"/>
      <c r="K214" s="139"/>
      <c r="L214" s="140"/>
      <c r="M214" s="140"/>
      <c r="N214" s="135"/>
      <c r="O214" s="141"/>
      <c r="P214" s="135"/>
      <c r="Q214" s="142"/>
      <c r="R214" s="141"/>
      <c r="S214" s="143"/>
      <c r="T214" s="135"/>
      <c r="U214" s="135"/>
      <c r="V214" s="136">
        <f>SUM(V215:V217)</f>
        <v>0</v>
      </c>
      <c r="W214" s="136">
        <f t="shared" ref="W214:AH214" si="87">SUM(W217:W217)</f>
        <v>0</v>
      </c>
      <c r="X214" s="136">
        <f t="shared" si="87"/>
        <v>0</v>
      </c>
      <c r="Y214" s="136">
        <f t="shared" si="87"/>
        <v>0</v>
      </c>
      <c r="Z214" s="136">
        <f t="shared" si="87"/>
        <v>0</v>
      </c>
      <c r="AA214" s="136">
        <f t="shared" si="87"/>
        <v>0</v>
      </c>
      <c r="AB214" s="136">
        <f t="shared" si="87"/>
        <v>0</v>
      </c>
      <c r="AC214" s="136">
        <f t="shared" si="87"/>
        <v>0</v>
      </c>
      <c r="AD214" s="136">
        <f t="shared" si="87"/>
        <v>0</v>
      </c>
      <c r="AE214" s="136">
        <f t="shared" si="87"/>
        <v>0</v>
      </c>
      <c r="AF214" s="543">
        <f>SUM(AF215:AF217)</f>
        <v>82000000</v>
      </c>
      <c r="AG214" s="136">
        <f t="shared" si="87"/>
        <v>0</v>
      </c>
      <c r="AH214" s="136">
        <f t="shared" si="87"/>
        <v>0</v>
      </c>
      <c r="AI214" s="136">
        <f>SUM(AI215:AI217)</f>
        <v>82000000</v>
      </c>
      <c r="AJ214" s="136"/>
      <c r="AK214" s="144"/>
    </row>
    <row r="215" spans="1:77" ht="63" customHeight="1" x14ac:dyDescent="0.2">
      <c r="A215" s="133"/>
      <c r="B215" s="67"/>
      <c r="C215" s="67"/>
      <c r="D215" s="67"/>
      <c r="E215" s="67"/>
      <c r="F215" s="71"/>
      <c r="G215" s="517"/>
      <c r="H215" s="512" t="s">
        <v>227</v>
      </c>
      <c r="I215" s="69" t="s">
        <v>630</v>
      </c>
      <c r="J215" s="512" t="s">
        <v>631</v>
      </c>
      <c r="K215" s="69" t="s">
        <v>630</v>
      </c>
      <c r="L215" s="512" t="s">
        <v>631</v>
      </c>
      <c r="M215" s="66" t="s">
        <v>632</v>
      </c>
      <c r="N215" s="510" t="s">
        <v>633</v>
      </c>
      <c r="O215" s="66" t="s">
        <v>632</v>
      </c>
      <c r="P215" s="510" t="s">
        <v>633</v>
      </c>
      <c r="Q215" s="66" t="s">
        <v>71</v>
      </c>
      <c r="R215" s="96">
        <v>200</v>
      </c>
      <c r="S215" s="612" t="s">
        <v>634</v>
      </c>
      <c r="T215" s="614" t="s">
        <v>635</v>
      </c>
      <c r="U215" s="606" t="s">
        <v>636</v>
      </c>
      <c r="V215" s="78"/>
      <c r="W215" s="137"/>
      <c r="X215" s="137"/>
      <c r="Y215" s="137"/>
      <c r="Z215" s="137"/>
      <c r="AA215" s="137"/>
      <c r="AB215" s="137"/>
      <c r="AC215" s="137"/>
      <c r="AD215" s="137"/>
      <c r="AE215" s="137"/>
      <c r="AF215" s="541">
        <v>20000000</v>
      </c>
      <c r="AG215" s="234"/>
      <c r="AH215" s="234"/>
      <c r="AI215" s="234">
        <f>SUM(V215:AH215)</f>
        <v>20000000</v>
      </c>
      <c r="AJ215" s="235" t="s">
        <v>482</v>
      </c>
      <c r="AK215" s="234" t="s">
        <v>483</v>
      </c>
    </row>
    <row r="216" spans="1:77" ht="63" customHeight="1" x14ac:dyDescent="0.2">
      <c r="A216" s="133"/>
      <c r="B216" s="67"/>
      <c r="C216" s="67"/>
      <c r="D216" s="67"/>
      <c r="E216" s="67"/>
      <c r="F216" s="71"/>
      <c r="G216" s="517"/>
      <c r="H216" s="512" t="s">
        <v>227</v>
      </c>
      <c r="I216" s="69" t="s">
        <v>637</v>
      </c>
      <c r="J216" s="512" t="s">
        <v>638</v>
      </c>
      <c r="K216" s="69" t="s">
        <v>637</v>
      </c>
      <c r="L216" s="512" t="s">
        <v>638</v>
      </c>
      <c r="M216" s="66" t="s">
        <v>639</v>
      </c>
      <c r="N216" s="510" t="s">
        <v>640</v>
      </c>
      <c r="O216" s="66" t="s">
        <v>639</v>
      </c>
      <c r="P216" s="510" t="s">
        <v>640</v>
      </c>
      <c r="Q216" s="66" t="s">
        <v>71</v>
      </c>
      <c r="R216" s="96">
        <v>10</v>
      </c>
      <c r="S216" s="612"/>
      <c r="T216" s="614"/>
      <c r="U216" s="606"/>
      <c r="V216" s="78"/>
      <c r="W216" s="137"/>
      <c r="X216" s="137"/>
      <c r="Y216" s="137"/>
      <c r="Z216" s="137"/>
      <c r="AA216" s="137"/>
      <c r="AB216" s="137"/>
      <c r="AC216" s="137"/>
      <c r="AD216" s="137"/>
      <c r="AE216" s="137"/>
      <c r="AF216" s="541">
        <v>20000000</v>
      </c>
      <c r="AG216" s="234"/>
      <c r="AH216" s="234"/>
      <c r="AI216" s="234">
        <f>SUM(V216:AH216)</f>
        <v>20000000</v>
      </c>
      <c r="AJ216" s="235" t="s">
        <v>482</v>
      </c>
      <c r="AK216" s="234" t="s">
        <v>483</v>
      </c>
    </row>
    <row r="217" spans="1:77" ht="79.5" customHeight="1" x14ac:dyDescent="0.2">
      <c r="A217" s="133"/>
      <c r="B217" s="67"/>
      <c r="C217" s="67"/>
      <c r="D217" s="67"/>
      <c r="E217" s="67"/>
      <c r="F217" s="71"/>
      <c r="G217" s="517"/>
      <c r="H217" s="512" t="s">
        <v>227</v>
      </c>
      <c r="I217" s="69">
        <v>3205010</v>
      </c>
      <c r="J217" s="512" t="s">
        <v>228</v>
      </c>
      <c r="K217" s="69">
        <v>3205010</v>
      </c>
      <c r="L217" s="512" t="s">
        <v>228</v>
      </c>
      <c r="M217" s="66" t="s">
        <v>229</v>
      </c>
      <c r="N217" s="510" t="s">
        <v>230</v>
      </c>
      <c r="O217" s="66" t="s">
        <v>229</v>
      </c>
      <c r="P217" s="510" t="s">
        <v>230</v>
      </c>
      <c r="Q217" s="66" t="s">
        <v>71</v>
      </c>
      <c r="R217" s="96">
        <v>1</v>
      </c>
      <c r="S217" s="612"/>
      <c r="T217" s="614"/>
      <c r="U217" s="606"/>
      <c r="V217" s="78"/>
      <c r="W217" s="137"/>
      <c r="X217" s="137"/>
      <c r="Y217" s="137"/>
      <c r="Z217" s="137"/>
      <c r="AA217" s="137"/>
      <c r="AB217" s="137"/>
      <c r="AC217" s="137"/>
      <c r="AD217" s="137"/>
      <c r="AE217" s="137"/>
      <c r="AF217" s="541">
        <v>42000000</v>
      </c>
      <c r="AG217" s="234"/>
      <c r="AH217" s="234"/>
      <c r="AI217" s="234">
        <f>SUM(V217:AH217)</f>
        <v>42000000</v>
      </c>
      <c r="AJ217" s="235" t="s">
        <v>482</v>
      </c>
      <c r="AK217" s="234" t="s">
        <v>483</v>
      </c>
    </row>
    <row r="218" spans="1:77" ht="27.75" customHeight="1" x14ac:dyDescent="0.2">
      <c r="A218" s="133"/>
      <c r="B218" s="67"/>
      <c r="C218" s="67"/>
      <c r="D218" s="67"/>
      <c r="E218" s="67"/>
      <c r="F218" s="141" t="s">
        <v>641</v>
      </c>
      <c r="G218" s="65" t="s">
        <v>642</v>
      </c>
      <c r="H218" s="179"/>
      <c r="I218" s="179"/>
      <c r="J218" s="140"/>
      <c r="K218" s="139"/>
      <c r="L218" s="140"/>
      <c r="M218" s="140"/>
      <c r="N218" s="135"/>
      <c r="O218" s="141"/>
      <c r="P218" s="135"/>
      <c r="Q218" s="142"/>
      <c r="R218" s="141"/>
      <c r="S218" s="143"/>
      <c r="T218" s="135"/>
      <c r="U218" s="135"/>
      <c r="V218" s="136">
        <f>SUM(V219:V221)</f>
        <v>0</v>
      </c>
      <c r="W218" s="136">
        <f t="shared" ref="W218:AI218" si="88">SUM(W219:W221)</f>
        <v>0</v>
      </c>
      <c r="X218" s="136">
        <f t="shared" si="88"/>
        <v>0</v>
      </c>
      <c r="Y218" s="136">
        <f t="shared" si="88"/>
        <v>0</v>
      </c>
      <c r="Z218" s="136">
        <f t="shared" si="88"/>
        <v>0</v>
      </c>
      <c r="AA218" s="136">
        <f t="shared" si="88"/>
        <v>0</v>
      </c>
      <c r="AB218" s="136">
        <f t="shared" si="88"/>
        <v>0</v>
      </c>
      <c r="AC218" s="136">
        <f t="shared" si="88"/>
        <v>0</v>
      </c>
      <c r="AD218" s="136">
        <f t="shared" si="88"/>
        <v>0</v>
      </c>
      <c r="AE218" s="136">
        <f t="shared" si="88"/>
        <v>0</v>
      </c>
      <c r="AF218" s="543">
        <f t="shared" si="88"/>
        <v>118000000</v>
      </c>
      <c r="AG218" s="136">
        <f t="shared" si="88"/>
        <v>0</v>
      </c>
      <c r="AH218" s="136">
        <f t="shared" si="88"/>
        <v>0</v>
      </c>
      <c r="AI218" s="136">
        <f t="shared" si="88"/>
        <v>118000000</v>
      </c>
      <c r="AJ218" s="136"/>
      <c r="AK218" s="144"/>
    </row>
    <row r="219" spans="1:77" ht="78" customHeight="1" x14ac:dyDescent="0.2">
      <c r="A219" s="133"/>
      <c r="B219" s="67"/>
      <c r="C219" s="67"/>
      <c r="D219" s="67"/>
      <c r="E219" s="67"/>
      <c r="F219" s="71"/>
      <c r="G219" s="517"/>
      <c r="H219" s="512" t="s">
        <v>227</v>
      </c>
      <c r="I219" s="69" t="s">
        <v>643</v>
      </c>
      <c r="J219" s="512" t="s">
        <v>644</v>
      </c>
      <c r="K219" s="69" t="s">
        <v>643</v>
      </c>
      <c r="L219" s="512" t="s">
        <v>644</v>
      </c>
      <c r="M219" s="192" t="s">
        <v>645</v>
      </c>
      <c r="N219" s="76" t="s">
        <v>646</v>
      </c>
      <c r="O219" s="192" t="s">
        <v>645</v>
      </c>
      <c r="P219" s="76" t="s">
        <v>646</v>
      </c>
      <c r="Q219" s="88" t="s">
        <v>71</v>
      </c>
      <c r="R219" s="96">
        <v>6</v>
      </c>
      <c r="S219" s="613" t="s">
        <v>647</v>
      </c>
      <c r="T219" s="614" t="s">
        <v>648</v>
      </c>
      <c r="U219" s="606" t="s">
        <v>649</v>
      </c>
      <c r="V219" s="137"/>
      <c r="W219" s="137"/>
      <c r="X219" s="137"/>
      <c r="Y219" s="137"/>
      <c r="Z219" s="137"/>
      <c r="AA219" s="137"/>
      <c r="AB219" s="137"/>
      <c r="AC219" s="137"/>
      <c r="AD219" s="137"/>
      <c r="AE219" s="137"/>
      <c r="AF219" s="541">
        <v>25000000</v>
      </c>
      <c r="AG219" s="234"/>
      <c r="AH219" s="234"/>
      <c r="AI219" s="234">
        <f>SUM(V219:AH219)</f>
        <v>25000000</v>
      </c>
      <c r="AJ219" s="235" t="s">
        <v>482</v>
      </c>
      <c r="AK219" s="234" t="s">
        <v>483</v>
      </c>
    </row>
    <row r="220" spans="1:77" ht="78" customHeight="1" x14ac:dyDescent="0.2">
      <c r="A220" s="133"/>
      <c r="B220" s="67"/>
      <c r="C220" s="67"/>
      <c r="D220" s="67"/>
      <c r="E220" s="67"/>
      <c r="F220" s="71"/>
      <c r="G220" s="517"/>
      <c r="H220" s="512" t="s">
        <v>227</v>
      </c>
      <c r="I220" s="69">
        <v>3206014</v>
      </c>
      <c r="J220" s="512" t="s">
        <v>650</v>
      </c>
      <c r="K220" s="69">
        <v>3206014</v>
      </c>
      <c r="L220" s="512" t="s">
        <v>650</v>
      </c>
      <c r="M220" s="192" t="s">
        <v>651</v>
      </c>
      <c r="N220" s="76" t="s">
        <v>652</v>
      </c>
      <c r="O220" s="192" t="s">
        <v>651</v>
      </c>
      <c r="P220" s="76" t="s">
        <v>652</v>
      </c>
      <c r="Q220" s="88" t="s">
        <v>71</v>
      </c>
      <c r="R220" s="96">
        <v>1950</v>
      </c>
      <c r="S220" s="613"/>
      <c r="T220" s="614"/>
      <c r="U220" s="606"/>
      <c r="V220" s="137"/>
      <c r="W220" s="137"/>
      <c r="X220" s="137"/>
      <c r="Y220" s="137"/>
      <c r="Z220" s="137"/>
      <c r="AA220" s="137"/>
      <c r="AB220" s="137"/>
      <c r="AC220" s="137"/>
      <c r="AD220" s="137"/>
      <c r="AE220" s="137"/>
      <c r="AF220" s="541">
        <v>18000000</v>
      </c>
      <c r="AG220" s="234"/>
      <c r="AH220" s="234"/>
      <c r="AI220" s="234">
        <f>SUM(V220:AH220)</f>
        <v>18000000</v>
      </c>
      <c r="AJ220" s="235" t="s">
        <v>482</v>
      </c>
      <c r="AK220" s="234" t="s">
        <v>483</v>
      </c>
    </row>
    <row r="221" spans="1:77" ht="78" customHeight="1" x14ac:dyDescent="0.2">
      <c r="A221" s="133"/>
      <c r="B221" s="67"/>
      <c r="C221" s="67"/>
      <c r="D221" s="67"/>
      <c r="E221" s="67"/>
      <c r="F221" s="71"/>
      <c r="G221" s="517"/>
      <c r="H221" s="512" t="s">
        <v>227</v>
      </c>
      <c r="I221" s="69" t="s">
        <v>653</v>
      </c>
      <c r="J221" s="512" t="s">
        <v>654</v>
      </c>
      <c r="K221" s="69" t="s">
        <v>653</v>
      </c>
      <c r="L221" s="512" t="s">
        <v>654</v>
      </c>
      <c r="M221" s="192" t="s">
        <v>655</v>
      </c>
      <c r="N221" s="76" t="s">
        <v>656</v>
      </c>
      <c r="O221" s="192" t="s">
        <v>655</v>
      </c>
      <c r="P221" s="76" t="s">
        <v>656</v>
      </c>
      <c r="Q221" s="88" t="s">
        <v>71</v>
      </c>
      <c r="R221" s="96">
        <v>20</v>
      </c>
      <c r="S221" s="613"/>
      <c r="T221" s="614"/>
      <c r="U221" s="606"/>
      <c r="V221" s="137"/>
      <c r="W221" s="137"/>
      <c r="X221" s="137"/>
      <c r="Y221" s="137"/>
      <c r="Z221" s="137"/>
      <c r="AA221" s="137"/>
      <c r="AB221" s="137"/>
      <c r="AC221" s="137"/>
      <c r="AD221" s="137"/>
      <c r="AE221" s="137"/>
      <c r="AF221" s="541">
        <v>75000000</v>
      </c>
      <c r="AG221" s="234"/>
      <c r="AH221" s="234"/>
      <c r="AI221" s="234">
        <f>SUM(V221:AH221)</f>
        <v>75000000</v>
      </c>
      <c r="AJ221" s="235" t="s">
        <v>482</v>
      </c>
      <c r="AK221" s="234" t="s">
        <v>483</v>
      </c>
    </row>
    <row r="222" spans="1:77" s="7" customFormat="1" ht="16.5" customHeight="1" x14ac:dyDescent="0.25">
      <c r="A222" s="457"/>
      <c r="B222" s="457"/>
      <c r="C222" s="457"/>
      <c r="D222" s="457"/>
      <c r="E222" s="457"/>
      <c r="F222" s="457"/>
      <c r="G222" s="457"/>
      <c r="H222" s="458"/>
      <c r="I222" s="457"/>
      <c r="J222" s="457"/>
      <c r="K222" s="457"/>
      <c r="L222" s="457"/>
      <c r="M222" s="457"/>
      <c r="N222" s="457"/>
      <c r="O222" s="457"/>
      <c r="P222" s="457"/>
      <c r="Q222" s="459"/>
      <c r="R222" s="457"/>
      <c r="S222" s="459"/>
      <c r="T222" s="459"/>
      <c r="U222" s="459"/>
      <c r="V222" s="460"/>
      <c r="W222" s="460"/>
      <c r="X222" s="460"/>
      <c r="Y222" s="460"/>
      <c r="Z222" s="460"/>
      <c r="AA222" s="460"/>
      <c r="AB222" s="460"/>
      <c r="AC222" s="460"/>
      <c r="AD222" s="460"/>
      <c r="AE222" s="460"/>
      <c r="AF222" s="460"/>
      <c r="AG222" s="460"/>
      <c r="AH222" s="460"/>
      <c r="AI222" s="460"/>
      <c r="AJ222" s="460"/>
      <c r="AK222" s="460"/>
    </row>
    <row r="223" spans="1:77" s="391" customFormat="1" ht="25.5" customHeight="1" x14ac:dyDescent="0.2">
      <c r="A223" s="41" t="s">
        <v>657</v>
      </c>
      <c r="B223" s="41"/>
      <c r="C223" s="41"/>
      <c r="D223" s="41"/>
      <c r="E223" s="41"/>
      <c r="F223" s="42"/>
      <c r="G223" s="43"/>
      <c r="H223" s="383"/>
      <c r="I223" s="383"/>
      <c r="J223" s="383"/>
      <c r="K223" s="386"/>
      <c r="L223" s="383"/>
      <c r="M223" s="383"/>
      <c r="N223" s="388"/>
      <c r="O223" s="387"/>
      <c r="P223" s="388"/>
      <c r="Q223" s="389"/>
      <c r="R223" s="387"/>
      <c r="S223" s="43"/>
      <c r="T223" s="388"/>
      <c r="U223" s="388"/>
      <c r="V223" s="384">
        <f>V224</f>
        <v>0</v>
      </c>
      <c r="W223" s="384">
        <f t="shared" ref="W223:AI224" si="89">W224</f>
        <v>0</v>
      </c>
      <c r="X223" s="384">
        <f t="shared" si="89"/>
        <v>0</v>
      </c>
      <c r="Y223" s="384">
        <f t="shared" si="89"/>
        <v>0</v>
      </c>
      <c r="Z223" s="384">
        <f t="shared" si="89"/>
        <v>0</v>
      </c>
      <c r="AA223" s="384">
        <f t="shared" si="89"/>
        <v>0</v>
      </c>
      <c r="AB223" s="384">
        <f t="shared" si="89"/>
        <v>0</v>
      </c>
      <c r="AC223" s="384">
        <f t="shared" si="89"/>
        <v>0</v>
      </c>
      <c r="AD223" s="384">
        <f t="shared" si="89"/>
        <v>0</v>
      </c>
      <c r="AE223" s="384">
        <f t="shared" si="89"/>
        <v>0</v>
      </c>
      <c r="AF223" s="384">
        <f t="shared" si="89"/>
        <v>695000000</v>
      </c>
      <c r="AG223" s="384">
        <f t="shared" si="89"/>
        <v>0</v>
      </c>
      <c r="AH223" s="384">
        <f t="shared" si="89"/>
        <v>0</v>
      </c>
      <c r="AI223" s="384">
        <f t="shared" si="89"/>
        <v>695000000</v>
      </c>
      <c r="AJ223" s="384"/>
      <c r="AK223" s="385"/>
      <c r="AL223" s="390"/>
      <c r="AM223" s="390"/>
      <c r="AN223" s="390"/>
      <c r="AO223" s="390"/>
      <c r="AP223" s="390"/>
      <c r="AQ223" s="390"/>
      <c r="AR223" s="390"/>
      <c r="AS223" s="390"/>
      <c r="AT223" s="390"/>
      <c r="AU223" s="390"/>
      <c r="AV223" s="390"/>
      <c r="AW223" s="390"/>
      <c r="AX223" s="390"/>
      <c r="AY223" s="390"/>
      <c r="AZ223" s="390"/>
      <c r="BA223" s="390"/>
      <c r="BB223" s="390"/>
      <c r="BC223" s="390"/>
      <c r="BD223" s="390"/>
      <c r="BE223" s="390"/>
      <c r="BF223" s="390"/>
      <c r="BG223" s="390"/>
      <c r="BH223" s="390"/>
      <c r="BI223" s="390"/>
      <c r="BJ223" s="390"/>
      <c r="BK223" s="390"/>
      <c r="BL223" s="390"/>
      <c r="BM223" s="390"/>
      <c r="BN223" s="390"/>
      <c r="BO223" s="390"/>
      <c r="BP223" s="390"/>
      <c r="BQ223" s="390"/>
      <c r="BR223" s="390"/>
      <c r="BS223" s="390"/>
      <c r="BT223" s="390"/>
      <c r="BU223" s="390"/>
      <c r="BV223" s="390"/>
      <c r="BW223" s="390"/>
      <c r="BX223" s="390"/>
      <c r="BY223" s="390"/>
    </row>
    <row r="224" spans="1:77" ht="24" customHeight="1" x14ac:dyDescent="0.2">
      <c r="A224" s="133"/>
      <c r="B224" s="116">
        <v>4</v>
      </c>
      <c r="C224" s="116"/>
      <c r="D224" s="61" t="s">
        <v>46</v>
      </c>
      <c r="E224" s="163"/>
      <c r="F224" s="61"/>
      <c r="G224" s="61"/>
      <c r="H224" s="61"/>
      <c r="I224" s="61"/>
      <c r="J224" s="118"/>
      <c r="K224" s="117"/>
      <c r="L224" s="118"/>
      <c r="M224" s="118"/>
      <c r="N224" s="119"/>
      <c r="O224" s="116"/>
      <c r="P224" s="119"/>
      <c r="Q224" s="120"/>
      <c r="R224" s="116"/>
      <c r="S224" s="121"/>
      <c r="T224" s="119"/>
      <c r="U224" s="119"/>
      <c r="V224" s="122">
        <f>V225</f>
        <v>0</v>
      </c>
      <c r="W224" s="122">
        <f t="shared" si="89"/>
        <v>0</v>
      </c>
      <c r="X224" s="122">
        <f t="shared" si="89"/>
        <v>0</v>
      </c>
      <c r="Y224" s="122">
        <f t="shared" si="89"/>
        <v>0</v>
      </c>
      <c r="Z224" s="122">
        <f t="shared" si="89"/>
        <v>0</v>
      </c>
      <c r="AA224" s="122">
        <f t="shared" si="89"/>
        <v>0</v>
      </c>
      <c r="AB224" s="122">
        <f t="shared" si="89"/>
        <v>0</v>
      </c>
      <c r="AC224" s="122">
        <f t="shared" si="89"/>
        <v>0</v>
      </c>
      <c r="AD224" s="122">
        <f t="shared" si="89"/>
        <v>0</v>
      </c>
      <c r="AE224" s="122">
        <f t="shared" si="89"/>
        <v>0</v>
      </c>
      <c r="AF224" s="122">
        <f t="shared" si="89"/>
        <v>695000000</v>
      </c>
      <c r="AG224" s="122">
        <f t="shared" si="89"/>
        <v>0</v>
      </c>
      <c r="AH224" s="122">
        <f t="shared" si="89"/>
        <v>0</v>
      </c>
      <c r="AI224" s="122">
        <f t="shared" si="89"/>
        <v>695000000</v>
      </c>
      <c r="AJ224" s="122"/>
      <c r="AK224" s="156"/>
    </row>
    <row r="225" spans="1:77" s="9" customFormat="1" ht="27.75" customHeight="1" x14ac:dyDescent="0.25">
      <c r="A225" s="115"/>
      <c r="B225" s="67"/>
      <c r="C225" s="67"/>
      <c r="D225" s="64">
        <v>45</v>
      </c>
      <c r="E225" s="62" t="s">
        <v>47</v>
      </c>
      <c r="F225" s="62"/>
      <c r="G225" s="123"/>
      <c r="H225" s="124"/>
      <c r="I225" s="124"/>
      <c r="J225" s="126"/>
      <c r="K225" s="125"/>
      <c r="L225" s="126"/>
      <c r="M225" s="126"/>
      <c r="N225" s="128"/>
      <c r="O225" s="127"/>
      <c r="P225" s="128"/>
      <c r="Q225" s="129"/>
      <c r="R225" s="127"/>
      <c r="S225" s="199"/>
      <c r="T225" s="131"/>
      <c r="U225" s="131"/>
      <c r="V225" s="132">
        <f>V226+V229</f>
        <v>0</v>
      </c>
      <c r="W225" s="132">
        <f t="shared" ref="W225:AH225" si="90">W226+W229</f>
        <v>0</v>
      </c>
      <c r="X225" s="132">
        <f t="shared" si="90"/>
        <v>0</v>
      </c>
      <c r="Y225" s="132">
        <f t="shared" si="90"/>
        <v>0</v>
      </c>
      <c r="Z225" s="132">
        <f t="shared" si="90"/>
        <v>0</v>
      </c>
      <c r="AA225" s="132">
        <f t="shared" si="90"/>
        <v>0</v>
      </c>
      <c r="AB225" s="132">
        <f t="shared" si="90"/>
        <v>0</v>
      </c>
      <c r="AC225" s="132">
        <f t="shared" si="90"/>
        <v>0</v>
      </c>
      <c r="AD225" s="132">
        <f t="shared" si="90"/>
        <v>0</v>
      </c>
      <c r="AE225" s="132">
        <f t="shared" si="90"/>
        <v>0</v>
      </c>
      <c r="AF225" s="132">
        <f t="shared" si="90"/>
        <v>695000000</v>
      </c>
      <c r="AG225" s="132">
        <f t="shared" si="90"/>
        <v>0</v>
      </c>
      <c r="AH225" s="132">
        <f t="shared" si="90"/>
        <v>0</v>
      </c>
      <c r="AI225" s="132">
        <f>AI226+AI229</f>
        <v>695000000</v>
      </c>
      <c r="AJ225" s="132"/>
      <c r="AK225" s="157"/>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row>
    <row r="226" spans="1:77" s="9" customFormat="1" ht="28.5" customHeight="1" x14ac:dyDescent="0.25">
      <c r="A226" s="115"/>
      <c r="B226" s="67"/>
      <c r="C226" s="67"/>
      <c r="D226" s="67"/>
      <c r="E226" s="67"/>
      <c r="F226" s="141">
        <v>4599</v>
      </c>
      <c r="G226" s="65" t="s">
        <v>658</v>
      </c>
      <c r="H226" s="179"/>
      <c r="I226" s="179"/>
      <c r="J226" s="249"/>
      <c r="K226" s="248"/>
      <c r="L226" s="249"/>
      <c r="M226" s="249"/>
      <c r="N226" s="250"/>
      <c r="O226" s="134"/>
      <c r="P226" s="250"/>
      <c r="Q226" s="142"/>
      <c r="R226" s="134"/>
      <c r="S226" s="143"/>
      <c r="T226" s="135"/>
      <c r="U226" s="135"/>
      <c r="V226" s="136">
        <f>SUM(V227:V228)</f>
        <v>0</v>
      </c>
      <c r="W226" s="136">
        <f t="shared" ref="W226:AI226" si="91">SUM(W227:W228)</f>
        <v>0</v>
      </c>
      <c r="X226" s="136">
        <f t="shared" si="91"/>
        <v>0</v>
      </c>
      <c r="Y226" s="136">
        <f t="shared" si="91"/>
        <v>0</v>
      </c>
      <c r="Z226" s="136">
        <f t="shared" si="91"/>
        <v>0</v>
      </c>
      <c r="AA226" s="136">
        <f t="shared" si="91"/>
        <v>0</v>
      </c>
      <c r="AB226" s="136">
        <f t="shared" si="91"/>
        <v>0</v>
      </c>
      <c r="AC226" s="136">
        <f t="shared" si="91"/>
        <v>0</v>
      </c>
      <c r="AD226" s="136">
        <f t="shared" si="91"/>
        <v>0</v>
      </c>
      <c r="AE226" s="136">
        <f t="shared" si="91"/>
        <v>0</v>
      </c>
      <c r="AF226" s="136">
        <f t="shared" si="91"/>
        <v>550000000</v>
      </c>
      <c r="AG226" s="136">
        <f t="shared" si="91"/>
        <v>0</v>
      </c>
      <c r="AH226" s="136">
        <f t="shared" si="91"/>
        <v>0</v>
      </c>
      <c r="AI226" s="136">
        <f t="shared" si="91"/>
        <v>550000000</v>
      </c>
      <c r="AJ226" s="136"/>
      <c r="AK226" s="144"/>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row>
    <row r="227" spans="1:77" ht="222" customHeight="1" x14ac:dyDescent="0.2">
      <c r="A227" s="133"/>
      <c r="B227" s="67"/>
      <c r="C227" s="67"/>
      <c r="D227" s="67"/>
      <c r="E227" s="67"/>
      <c r="F227" s="71"/>
      <c r="G227" s="517"/>
      <c r="H227" s="512" t="s">
        <v>49</v>
      </c>
      <c r="I227" s="66" t="s">
        <v>50</v>
      </c>
      <c r="J227" s="518" t="s">
        <v>659</v>
      </c>
      <c r="K227" s="68">
        <v>4599023</v>
      </c>
      <c r="L227" s="518" t="s">
        <v>131</v>
      </c>
      <c r="M227" s="66" t="s">
        <v>50</v>
      </c>
      <c r="N227" s="145" t="s">
        <v>660</v>
      </c>
      <c r="O227" s="68">
        <v>459902304</v>
      </c>
      <c r="P227" s="145" t="s">
        <v>661</v>
      </c>
      <c r="Q227" s="251" t="s">
        <v>55</v>
      </c>
      <c r="R227" s="251">
        <v>1</v>
      </c>
      <c r="S227" s="517" t="s">
        <v>662</v>
      </c>
      <c r="T227" s="81" t="s">
        <v>663</v>
      </c>
      <c r="U227" s="81" t="s">
        <v>664</v>
      </c>
      <c r="V227" s="137"/>
      <c r="W227" s="137"/>
      <c r="X227" s="137"/>
      <c r="Y227" s="137"/>
      <c r="Z227" s="137"/>
      <c r="AA227" s="137"/>
      <c r="AB227" s="137"/>
      <c r="AC227" s="137"/>
      <c r="AD227" s="137"/>
      <c r="AE227" s="137"/>
      <c r="AF227" s="162">
        <v>250000000</v>
      </c>
      <c r="AG227" s="137"/>
      <c r="AH227" s="137"/>
      <c r="AI227" s="138">
        <f>+V227+W227+X227+Y227+Z227+AA227+AB227+AC227+AD227+AE227+AF227+AG227+AH227</f>
        <v>250000000</v>
      </c>
      <c r="AJ227" s="138" t="s">
        <v>665</v>
      </c>
      <c r="AK227" s="212" t="s">
        <v>1431</v>
      </c>
    </row>
    <row r="228" spans="1:77" ht="193.5" customHeight="1" x14ac:dyDescent="0.2">
      <c r="A228" s="133"/>
      <c r="B228" s="67"/>
      <c r="C228" s="67"/>
      <c r="D228" s="67"/>
      <c r="E228" s="67"/>
      <c r="F228" s="71"/>
      <c r="G228" s="212"/>
      <c r="H228" s="512" t="s">
        <v>49</v>
      </c>
      <c r="I228" s="66" t="s">
        <v>50</v>
      </c>
      <c r="J228" s="518" t="s">
        <v>666</v>
      </c>
      <c r="K228" s="68">
        <v>4599029</v>
      </c>
      <c r="L228" s="518" t="s">
        <v>77</v>
      </c>
      <c r="M228" s="66" t="s">
        <v>50</v>
      </c>
      <c r="N228" s="145" t="s">
        <v>667</v>
      </c>
      <c r="O228" s="98">
        <v>459902900</v>
      </c>
      <c r="P228" s="145" t="s">
        <v>79</v>
      </c>
      <c r="Q228" s="251" t="s">
        <v>55</v>
      </c>
      <c r="R228" s="251">
        <v>1</v>
      </c>
      <c r="S228" s="517" t="s">
        <v>668</v>
      </c>
      <c r="T228" s="510" t="s">
        <v>669</v>
      </c>
      <c r="U228" s="512" t="s">
        <v>670</v>
      </c>
      <c r="V228" s="137"/>
      <c r="W228" s="137"/>
      <c r="X228" s="137"/>
      <c r="Y228" s="137"/>
      <c r="Z228" s="137"/>
      <c r="AA228" s="137"/>
      <c r="AB228" s="137"/>
      <c r="AC228" s="137"/>
      <c r="AD228" s="137"/>
      <c r="AE228" s="137"/>
      <c r="AF228" s="162">
        <v>300000000</v>
      </c>
      <c r="AG228" s="137"/>
      <c r="AH228" s="137"/>
      <c r="AI228" s="138">
        <f>+V228+W228+X228+Y228+Z228+AA228+AB228+AC228+AD228+AE228+AF228+AG228+AH228</f>
        <v>300000000</v>
      </c>
      <c r="AJ228" s="138" t="s">
        <v>665</v>
      </c>
      <c r="AK228" s="212" t="s">
        <v>1431</v>
      </c>
    </row>
    <row r="229" spans="1:77" ht="28.5" customHeight="1" x14ac:dyDescent="0.2">
      <c r="A229" s="133"/>
      <c r="B229" s="67"/>
      <c r="C229" s="67"/>
      <c r="D229" s="67"/>
      <c r="E229" s="67"/>
      <c r="F229" s="141">
        <v>4502</v>
      </c>
      <c r="G229" s="65" t="s">
        <v>74</v>
      </c>
      <c r="H229" s="179"/>
      <c r="I229" s="179"/>
      <c r="J229" s="140"/>
      <c r="K229" s="139"/>
      <c r="L229" s="140"/>
      <c r="M229" s="140"/>
      <c r="N229" s="135"/>
      <c r="O229" s="141"/>
      <c r="P229" s="135"/>
      <c r="Q229" s="142"/>
      <c r="R229" s="141"/>
      <c r="S229" s="143"/>
      <c r="T229" s="135"/>
      <c r="U229" s="135"/>
      <c r="V229" s="136">
        <f>SUM(V230)</f>
        <v>0</v>
      </c>
      <c r="W229" s="136">
        <f t="shared" ref="W229:AI229" si="92">SUM(W230)</f>
        <v>0</v>
      </c>
      <c r="X229" s="136">
        <f t="shared" si="92"/>
        <v>0</v>
      </c>
      <c r="Y229" s="136">
        <f t="shared" si="92"/>
        <v>0</v>
      </c>
      <c r="Z229" s="136">
        <f t="shared" si="92"/>
        <v>0</v>
      </c>
      <c r="AA229" s="136">
        <f t="shared" si="92"/>
        <v>0</v>
      </c>
      <c r="AB229" s="136">
        <f t="shared" si="92"/>
        <v>0</v>
      </c>
      <c r="AC229" s="136">
        <f t="shared" si="92"/>
        <v>0</v>
      </c>
      <c r="AD229" s="136">
        <f t="shared" si="92"/>
        <v>0</v>
      </c>
      <c r="AE229" s="136">
        <f t="shared" si="92"/>
        <v>0</v>
      </c>
      <c r="AF229" s="136">
        <f t="shared" si="92"/>
        <v>145000000</v>
      </c>
      <c r="AG229" s="136">
        <f t="shared" si="92"/>
        <v>0</v>
      </c>
      <c r="AH229" s="136">
        <f t="shared" si="92"/>
        <v>0</v>
      </c>
      <c r="AI229" s="136">
        <f t="shared" si="92"/>
        <v>145000000</v>
      </c>
      <c r="AJ229" s="136"/>
      <c r="AK229" s="144"/>
    </row>
    <row r="230" spans="1:77" ht="191.25" customHeight="1" x14ac:dyDescent="0.2">
      <c r="A230" s="133"/>
      <c r="B230" s="67"/>
      <c r="C230" s="67"/>
      <c r="D230" s="67"/>
      <c r="E230" s="67"/>
      <c r="F230" s="71"/>
      <c r="G230" s="252"/>
      <c r="H230" s="512" t="s">
        <v>75</v>
      </c>
      <c r="I230" s="66" t="s">
        <v>50</v>
      </c>
      <c r="J230" s="512" t="s">
        <v>671</v>
      </c>
      <c r="K230" s="68">
        <v>4502001</v>
      </c>
      <c r="L230" s="512" t="s">
        <v>86</v>
      </c>
      <c r="M230" s="449" t="s">
        <v>50</v>
      </c>
      <c r="N230" s="145" t="s">
        <v>672</v>
      </c>
      <c r="O230" s="68">
        <v>450200100</v>
      </c>
      <c r="P230" s="145" t="s">
        <v>88</v>
      </c>
      <c r="Q230" s="251" t="s">
        <v>55</v>
      </c>
      <c r="R230" s="96">
        <v>30</v>
      </c>
      <c r="S230" s="513" t="s">
        <v>673</v>
      </c>
      <c r="T230" s="510" t="s">
        <v>674</v>
      </c>
      <c r="U230" s="512" t="s">
        <v>675</v>
      </c>
      <c r="V230" s="246"/>
      <c r="W230" s="246"/>
      <c r="X230" s="246"/>
      <c r="Y230" s="246"/>
      <c r="Z230" s="246"/>
      <c r="AA230" s="246"/>
      <c r="AB230" s="246"/>
      <c r="AC230" s="246"/>
      <c r="AD230" s="246"/>
      <c r="AE230" s="246"/>
      <c r="AF230" s="253">
        <v>145000000</v>
      </c>
      <c r="AG230" s="246"/>
      <c r="AH230" s="246"/>
      <c r="AI230" s="138">
        <f>+V230+W230+X230+Y230+Z230+AA230+AB230+AC230+AD230+AE230+AF230+AG230+AH230</f>
        <v>145000000</v>
      </c>
      <c r="AJ230" s="138" t="s">
        <v>665</v>
      </c>
      <c r="AK230" s="212" t="s">
        <v>1431</v>
      </c>
    </row>
    <row r="231" spans="1:77" s="7" customFormat="1" ht="16.5" customHeight="1" x14ac:dyDescent="0.25">
      <c r="A231" s="457"/>
      <c r="B231" s="457"/>
      <c r="C231" s="457"/>
      <c r="D231" s="457"/>
      <c r="E231" s="457"/>
      <c r="F231" s="457"/>
      <c r="G231" s="457"/>
      <c r="H231" s="458"/>
      <c r="I231" s="457"/>
      <c r="J231" s="457"/>
      <c r="K231" s="457"/>
      <c r="L231" s="457"/>
      <c r="M231" s="457"/>
      <c r="N231" s="457"/>
      <c r="O231" s="457"/>
      <c r="P231" s="457"/>
      <c r="Q231" s="459"/>
      <c r="R231" s="457"/>
      <c r="S231" s="459"/>
      <c r="T231" s="459"/>
      <c r="U231" s="459"/>
      <c r="V231" s="460"/>
      <c r="W231" s="460"/>
      <c r="X231" s="460"/>
      <c r="Y231" s="460"/>
      <c r="Z231" s="460"/>
      <c r="AA231" s="460"/>
      <c r="AB231" s="460"/>
      <c r="AC231" s="460"/>
      <c r="AD231" s="460"/>
      <c r="AE231" s="460"/>
      <c r="AF231" s="460"/>
      <c r="AG231" s="460"/>
      <c r="AH231" s="460"/>
      <c r="AI231" s="460"/>
      <c r="AJ231" s="460"/>
      <c r="AK231" s="460"/>
    </row>
    <row r="232" spans="1:77" s="391" customFormat="1" ht="30.75" customHeight="1" x14ac:dyDescent="0.2">
      <c r="A232" s="41" t="s">
        <v>676</v>
      </c>
      <c r="B232" s="41"/>
      <c r="C232" s="41"/>
      <c r="D232" s="41"/>
      <c r="E232" s="41"/>
      <c r="F232" s="42"/>
      <c r="G232" s="43"/>
      <c r="H232" s="383"/>
      <c r="I232" s="383"/>
      <c r="J232" s="383"/>
      <c r="K232" s="386"/>
      <c r="L232" s="383"/>
      <c r="M232" s="453"/>
      <c r="N232" s="388"/>
      <c r="O232" s="387"/>
      <c r="P232" s="388"/>
      <c r="Q232" s="389"/>
      <c r="R232" s="387"/>
      <c r="S232" s="43"/>
      <c r="T232" s="388"/>
      <c r="U232" s="388"/>
      <c r="V232" s="384">
        <f t="shared" ref="V232:AI232" si="93">V233+V272</f>
        <v>0</v>
      </c>
      <c r="W232" s="384">
        <f t="shared" si="93"/>
        <v>0</v>
      </c>
      <c r="X232" s="384">
        <f t="shared" si="93"/>
        <v>0</v>
      </c>
      <c r="Y232" s="384">
        <f t="shared" si="93"/>
        <v>1385755472.78</v>
      </c>
      <c r="Z232" s="384">
        <f t="shared" si="93"/>
        <v>0</v>
      </c>
      <c r="AA232" s="384">
        <f t="shared" si="93"/>
        <v>0</v>
      </c>
      <c r="AB232" s="384">
        <f t="shared" si="93"/>
        <v>143579499577.42001</v>
      </c>
      <c r="AC232" s="384">
        <f t="shared" si="93"/>
        <v>25145000000</v>
      </c>
      <c r="AD232" s="384">
        <f t="shared" si="93"/>
        <v>11590214233.049999</v>
      </c>
      <c r="AE232" s="384">
        <f t="shared" si="93"/>
        <v>0</v>
      </c>
      <c r="AF232" s="384">
        <f t="shared" si="93"/>
        <v>5218073241.2200003</v>
      </c>
      <c r="AG232" s="384">
        <f t="shared" si="93"/>
        <v>0</v>
      </c>
      <c r="AH232" s="384">
        <f t="shared" si="93"/>
        <v>1792032472.8499999</v>
      </c>
      <c r="AI232" s="384">
        <f t="shared" si="93"/>
        <v>188710574997.32007</v>
      </c>
      <c r="AJ232" s="384"/>
      <c r="AK232" s="385"/>
      <c r="AL232" s="390"/>
      <c r="AM232" s="390"/>
      <c r="AN232" s="390"/>
      <c r="AO232" s="390"/>
      <c r="AP232" s="390"/>
      <c r="AQ232" s="390"/>
      <c r="AR232" s="390"/>
      <c r="AS232" s="390"/>
      <c r="AT232" s="390"/>
      <c r="AU232" s="390"/>
      <c r="AV232" s="390"/>
      <c r="AW232" s="390"/>
      <c r="AX232" s="390"/>
      <c r="AY232" s="390"/>
      <c r="AZ232" s="390"/>
      <c r="BA232" s="390"/>
      <c r="BB232" s="390"/>
      <c r="BC232" s="390"/>
      <c r="BD232" s="390"/>
      <c r="BE232" s="390"/>
      <c r="BF232" s="390"/>
      <c r="BG232" s="390"/>
      <c r="BH232" s="390"/>
      <c r="BI232" s="390"/>
      <c r="BJ232" s="390"/>
      <c r="BK232" s="390"/>
      <c r="BL232" s="390"/>
      <c r="BM232" s="390"/>
      <c r="BN232" s="390"/>
      <c r="BO232" s="390"/>
      <c r="BP232" s="390"/>
      <c r="BQ232" s="390"/>
      <c r="BR232" s="390"/>
      <c r="BS232" s="390"/>
      <c r="BT232" s="390"/>
      <c r="BU232" s="390"/>
      <c r="BV232" s="390"/>
      <c r="BW232" s="390"/>
      <c r="BX232" s="390"/>
      <c r="BY232" s="390"/>
    </row>
    <row r="233" spans="1:77" ht="27.75" customHeight="1" x14ac:dyDescent="0.2">
      <c r="A233" s="133"/>
      <c r="B233" s="116">
        <v>1</v>
      </c>
      <c r="C233" s="116"/>
      <c r="D233" s="61" t="s">
        <v>152</v>
      </c>
      <c r="E233" s="163"/>
      <c r="F233" s="61"/>
      <c r="G233" s="61"/>
      <c r="H233" s="61"/>
      <c r="I233" s="61"/>
      <c r="J233" s="118"/>
      <c r="K233" s="117"/>
      <c r="L233" s="118"/>
      <c r="M233" s="118"/>
      <c r="N233" s="119"/>
      <c r="O233" s="116"/>
      <c r="P233" s="119"/>
      <c r="Q233" s="120"/>
      <c r="R233" s="116"/>
      <c r="S233" s="121"/>
      <c r="T233" s="119"/>
      <c r="U233" s="119"/>
      <c r="V233" s="122">
        <f>V234</f>
        <v>0</v>
      </c>
      <c r="W233" s="122">
        <f t="shared" ref="W233:AH233" si="94">W234</f>
        <v>0</v>
      </c>
      <c r="X233" s="122">
        <f t="shared" si="94"/>
        <v>0</v>
      </c>
      <c r="Y233" s="122">
        <f t="shared" si="94"/>
        <v>1385755472.78</v>
      </c>
      <c r="Z233" s="122">
        <f t="shared" si="94"/>
        <v>0</v>
      </c>
      <c r="AA233" s="122">
        <f t="shared" si="94"/>
        <v>0</v>
      </c>
      <c r="AB233" s="122">
        <f t="shared" si="94"/>
        <v>143579499577.42001</v>
      </c>
      <c r="AC233" s="122">
        <f t="shared" si="94"/>
        <v>25145000000</v>
      </c>
      <c r="AD233" s="122">
        <f t="shared" si="94"/>
        <v>11590214233.049999</v>
      </c>
      <c r="AE233" s="122">
        <f t="shared" si="94"/>
        <v>0</v>
      </c>
      <c r="AF233" s="122">
        <f t="shared" si="94"/>
        <v>5210573241.2200003</v>
      </c>
      <c r="AG233" s="122">
        <f t="shared" si="94"/>
        <v>0</v>
      </c>
      <c r="AH233" s="122">
        <f t="shared" si="94"/>
        <v>1792032472.8499999</v>
      </c>
      <c r="AI233" s="122">
        <f>AI234</f>
        <v>188703074997.32007</v>
      </c>
      <c r="AJ233" s="122">
        <f>AJ235+AJ270</f>
        <v>0</v>
      </c>
      <c r="AK233" s="156"/>
    </row>
    <row r="234" spans="1:77" s="9" customFormat="1" ht="27.75" customHeight="1" x14ac:dyDescent="0.25">
      <c r="A234" s="115"/>
      <c r="B234" s="67"/>
      <c r="C234" s="67"/>
      <c r="D234" s="64">
        <v>22</v>
      </c>
      <c r="E234" s="62" t="s">
        <v>173</v>
      </c>
      <c r="F234" s="62"/>
      <c r="G234" s="123"/>
      <c r="H234" s="124"/>
      <c r="I234" s="124"/>
      <c r="J234" s="126"/>
      <c r="K234" s="125"/>
      <c r="L234" s="126"/>
      <c r="M234" s="126"/>
      <c r="N234" s="128"/>
      <c r="O234" s="127"/>
      <c r="P234" s="128"/>
      <c r="Q234" s="129"/>
      <c r="R234" s="127"/>
      <c r="S234" s="199"/>
      <c r="T234" s="131"/>
      <c r="U234" s="131"/>
      <c r="V234" s="132">
        <f t="shared" ref="V234:AI234" si="95">V235+V270</f>
        <v>0</v>
      </c>
      <c r="W234" s="132">
        <f t="shared" si="95"/>
        <v>0</v>
      </c>
      <c r="X234" s="132">
        <f t="shared" si="95"/>
        <v>0</v>
      </c>
      <c r="Y234" s="132">
        <f t="shared" si="95"/>
        <v>1385755472.78</v>
      </c>
      <c r="Z234" s="132">
        <f t="shared" si="95"/>
        <v>0</v>
      </c>
      <c r="AA234" s="132">
        <f t="shared" si="95"/>
        <v>0</v>
      </c>
      <c r="AB234" s="132">
        <f t="shared" si="95"/>
        <v>143579499577.42001</v>
      </c>
      <c r="AC234" s="132">
        <f t="shared" si="95"/>
        <v>25145000000</v>
      </c>
      <c r="AD234" s="132">
        <f t="shared" si="95"/>
        <v>11590214233.049999</v>
      </c>
      <c r="AE234" s="132">
        <f t="shared" si="95"/>
        <v>0</v>
      </c>
      <c r="AF234" s="132">
        <f t="shared" si="95"/>
        <v>5210573241.2200003</v>
      </c>
      <c r="AG234" s="132">
        <f t="shared" si="95"/>
        <v>0</v>
      </c>
      <c r="AH234" s="132">
        <f t="shared" si="95"/>
        <v>1792032472.8499999</v>
      </c>
      <c r="AI234" s="132">
        <f t="shared" si="95"/>
        <v>188703074997.32007</v>
      </c>
      <c r="AJ234" s="132"/>
      <c r="AK234" s="157"/>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row>
    <row r="235" spans="1:77" ht="30.75" customHeight="1" x14ac:dyDescent="0.2">
      <c r="A235" s="133"/>
      <c r="B235" s="67"/>
      <c r="C235" s="67"/>
      <c r="D235" s="67"/>
      <c r="E235" s="67"/>
      <c r="F235" s="134">
        <v>2201</v>
      </c>
      <c r="G235" s="65" t="s">
        <v>297</v>
      </c>
      <c r="H235" s="179"/>
      <c r="I235" s="179"/>
      <c r="J235" s="140"/>
      <c r="K235" s="139"/>
      <c r="L235" s="140"/>
      <c r="M235" s="140"/>
      <c r="N235" s="135"/>
      <c r="O235" s="141"/>
      <c r="P235" s="135"/>
      <c r="Q235" s="142"/>
      <c r="R235" s="141"/>
      <c r="S235" s="143"/>
      <c r="T235" s="135"/>
      <c r="U235" s="135"/>
      <c r="V235" s="136">
        <f t="shared" ref="V235:AJ235" si="96">SUM(V236:V269)</f>
        <v>0</v>
      </c>
      <c r="W235" s="136">
        <f t="shared" si="96"/>
        <v>0</v>
      </c>
      <c r="X235" s="136">
        <f t="shared" si="96"/>
        <v>0</v>
      </c>
      <c r="Y235" s="136">
        <f t="shared" si="96"/>
        <v>1385755472.78</v>
      </c>
      <c r="Z235" s="136">
        <f t="shared" si="96"/>
        <v>0</v>
      </c>
      <c r="AA235" s="136">
        <f t="shared" si="96"/>
        <v>0</v>
      </c>
      <c r="AB235" s="136">
        <f t="shared" si="96"/>
        <v>143579499577.42001</v>
      </c>
      <c r="AC235" s="136">
        <f t="shared" si="96"/>
        <v>25145000000</v>
      </c>
      <c r="AD235" s="136">
        <f t="shared" si="96"/>
        <v>11590214233.049999</v>
      </c>
      <c r="AE235" s="136">
        <f t="shared" si="96"/>
        <v>0</v>
      </c>
      <c r="AF235" s="136">
        <f t="shared" si="96"/>
        <v>5110573241.2200003</v>
      </c>
      <c r="AG235" s="136">
        <f t="shared" si="96"/>
        <v>0</v>
      </c>
      <c r="AH235" s="136">
        <f t="shared" si="96"/>
        <v>1792032472.8499999</v>
      </c>
      <c r="AI235" s="136">
        <f t="shared" si="96"/>
        <v>188603074997.32007</v>
      </c>
      <c r="AJ235" s="136">
        <f t="shared" si="96"/>
        <v>0</v>
      </c>
      <c r="AK235" s="144"/>
    </row>
    <row r="236" spans="1:77" s="4" customFormat="1" ht="130.5" customHeight="1" x14ac:dyDescent="0.2">
      <c r="A236" s="55"/>
      <c r="B236" s="92"/>
      <c r="C236" s="92"/>
      <c r="D236" s="92"/>
      <c r="E236" s="92"/>
      <c r="F236" s="95"/>
      <c r="G236" s="91"/>
      <c r="H236" s="518" t="s">
        <v>677</v>
      </c>
      <c r="I236" s="68">
        <v>2201030</v>
      </c>
      <c r="J236" s="518" t="s">
        <v>678</v>
      </c>
      <c r="K236" s="68">
        <v>2201030</v>
      </c>
      <c r="L236" s="518" t="s">
        <v>678</v>
      </c>
      <c r="M236" s="254">
        <v>220103000</v>
      </c>
      <c r="N236" s="217" t="s">
        <v>679</v>
      </c>
      <c r="O236" s="254">
        <v>220103000</v>
      </c>
      <c r="P236" s="217" t="s">
        <v>679</v>
      </c>
      <c r="Q236" s="96" t="s">
        <v>55</v>
      </c>
      <c r="R236" s="96">
        <v>2500</v>
      </c>
      <c r="S236" s="613" t="s">
        <v>680</v>
      </c>
      <c r="T236" s="625" t="s">
        <v>681</v>
      </c>
      <c r="U236" s="615" t="s">
        <v>682</v>
      </c>
      <c r="V236" s="137"/>
      <c r="W236" s="137"/>
      <c r="X236" s="137"/>
      <c r="Y236" s="137"/>
      <c r="Z236" s="137"/>
      <c r="AA236" s="257"/>
      <c r="AB236" s="137">
        <f>1726000000-55000000-327296271</f>
        <v>1343703729</v>
      </c>
      <c r="AC236" s="137"/>
      <c r="AD236" s="258"/>
      <c r="AE236" s="137"/>
      <c r="AF236" s="150"/>
      <c r="AG236" s="137"/>
      <c r="AH236" s="137"/>
      <c r="AI236" s="138">
        <f t="shared" ref="AI236" si="97">+V236+W236+X236+Y236+Z236+AA236+AB236+AC236+AD236+AE236+AF236+AG236+AH236</f>
        <v>1343703729</v>
      </c>
      <c r="AJ236" s="138" t="s">
        <v>683</v>
      </c>
      <c r="AK236" s="219" t="s">
        <v>684</v>
      </c>
    </row>
    <row r="237" spans="1:77" ht="91.5" customHeight="1" x14ac:dyDescent="0.2">
      <c r="A237" s="133"/>
      <c r="B237" s="67"/>
      <c r="C237" s="67"/>
      <c r="D237" s="67"/>
      <c r="E237" s="67"/>
      <c r="F237" s="71"/>
      <c r="G237" s="517"/>
      <c r="H237" s="512" t="s">
        <v>685</v>
      </c>
      <c r="I237" s="68">
        <v>2201033</v>
      </c>
      <c r="J237" s="518" t="s">
        <v>686</v>
      </c>
      <c r="K237" s="68">
        <v>2201033</v>
      </c>
      <c r="L237" s="518" t="s">
        <v>686</v>
      </c>
      <c r="M237" s="254">
        <v>220103300</v>
      </c>
      <c r="N237" s="217" t="s">
        <v>687</v>
      </c>
      <c r="O237" s="254">
        <v>220103300</v>
      </c>
      <c r="P237" s="217" t="s">
        <v>687</v>
      </c>
      <c r="Q237" s="88" t="s">
        <v>71</v>
      </c>
      <c r="R237" s="88">
        <v>9000</v>
      </c>
      <c r="S237" s="613"/>
      <c r="T237" s="625"/>
      <c r="U237" s="615"/>
      <c r="V237" s="137"/>
      <c r="W237" s="137"/>
      <c r="X237" s="137"/>
      <c r="Y237" s="137"/>
      <c r="Z237" s="137"/>
      <c r="AA237" s="257"/>
      <c r="AB237" s="137"/>
      <c r="AC237" s="137"/>
      <c r="AD237" s="258"/>
      <c r="AE237" s="137"/>
      <c r="AF237" s="530">
        <f>18000000</f>
        <v>18000000</v>
      </c>
      <c r="AG237" s="137"/>
      <c r="AH237" s="137"/>
      <c r="AI237" s="138">
        <f t="shared" ref="AI237" si="98">+V237+W237+X237+Y237+Z237+AA237+AB237+AC237+AD237+AE237+AF237+AG237+AH237</f>
        <v>18000000</v>
      </c>
      <c r="AJ237" s="138" t="s">
        <v>683</v>
      </c>
      <c r="AK237" s="59" t="s">
        <v>684</v>
      </c>
    </row>
    <row r="238" spans="1:77" s="4" customFormat="1" ht="66" customHeight="1" x14ac:dyDescent="0.2">
      <c r="A238" s="55"/>
      <c r="B238" s="92"/>
      <c r="C238" s="92"/>
      <c r="D238" s="92"/>
      <c r="E238" s="92"/>
      <c r="F238" s="95"/>
      <c r="G238" s="99"/>
      <c r="H238" s="518" t="s">
        <v>688</v>
      </c>
      <c r="I238" s="68">
        <v>2201032</v>
      </c>
      <c r="J238" s="518" t="s">
        <v>689</v>
      </c>
      <c r="K238" s="68">
        <v>2201032</v>
      </c>
      <c r="L238" s="518" t="s">
        <v>689</v>
      </c>
      <c r="M238" s="74">
        <v>220103200</v>
      </c>
      <c r="N238" s="516" t="s">
        <v>690</v>
      </c>
      <c r="O238" s="74">
        <v>220103200</v>
      </c>
      <c r="P238" s="516" t="s">
        <v>690</v>
      </c>
      <c r="Q238" s="96" t="s">
        <v>71</v>
      </c>
      <c r="R238" s="96">
        <v>200</v>
      </c>
      <c r="S238" s="613"/>
      <c r="T238" s="625"/>
      <c r="U238" s="615"/>
      <c r="V238" s="137"/>
      <c r="W238" s="137"/>
      <c r="X238" s="137"/>
      <c r="Y238" s="137"/>
      <c r="Z238" s="137"/>
      <c r="AA238" s="257"/>
      <c r="AB238" s="137"/>
      <c r="AC238" s="137"/>
      <c r="AD238" s="258"/>
      <c r="AE238" s="137"/>
      <c r="AF238" s="209">
        <v>10000000.01</v>
      </c>
      <c r="AG238" s="137"/>
      <c r="AH238" s="137"/>
      <c r="AI238" s="138">
        <f t="shared" ref="AI238" si="99">+V238+W238+X238+Y238+Z238+AA238+AB238+AC238+AD238+AE238+AF238+AG238+AH238</f>
        <v>10000000.01</v>
      </c>
      <c r="AJ238" s="138" t="s">
        <v>683</v>
      </c>
      <c r="AK238" s="219" t="s">
        <v>684</v>
      </c>
    </row>
    <row r="239" spans="1:77" s="4" customFormat="1" ht="175.5" customHeight="1" x14ac:dyDescent="0.2">
      <c r="A239" s="55"/>
      <c r="B239" s="92"/>
      <c r="C239" s="92"/>
      <c r="D239" s="92"/>
      <c r="E239" s="92"/>
      <c r="F239" s="95"/>
      <c r="G239" s="91"/>
      <c r="H239" s="518" t="s">
        <v>691</v>
      </c>
      <c r="I239" s="68">
        <v>2201055</v>
      </c>
      <c r="J239" s="518" t="s">
        <v>692</v>
      </c>
      <c r="K239" s="68">
        <v>2201055</v>
      </c>
      <c r="L239" s="518" t="s">
        <v>692</v>
      </c>
      <c r="M239" s="254">
        <v>220105500</v>
      </c>
      <c r="N239" s="217" t="s">
        <v>693</v>
      </c>
      <c r="O239" s="254">
        <v>220105500</v>
      </c>
      <c r="P239" s="217" t="s">
        <v>693</v>
      </c>
      <c r="Q239" s="96" t="s">
        <v>55</v>
      </c>
      <c r="R239" s="96">
        <v>1</v>
      </c>
      <c r="S239" s="613"/>
      <c r="T239" s="625"/>
      <c r="U239" s="615"/>
      <c r="V239" s="137"/>
      <c r="W239" s="137"/>
      <c r="X239" s="137"/>
      <c r="Y239" s="137"/>
      <c r="Z239" s="137"/>
      <c r="AA239" s="257"/>
      <c r="AB239" s="137">
        <f>20000000+7500000+42500000-21720771</f>
        <v>48279229</v>
      </c>
      <c r="AC239" s="137"/>
      <c r="AD239" s="258"/>
      <c r="AE239" s="137"/>
      <c r="AF239" s="150">
        <v>0</v>
      </c>
      <c r="AG239" s="137"/>
      <c r="AH239" s="137"/>
      <c r="AI239" s="138">
        <f t="shared" ref="AI239" si="100">+V239+W239+X239+Y239+Z239+AA239+AB239+AC239+AD239+AE239+AF239+AG239+AH239</f>
        <v>48279229</v>
      </c>
      <c r="AJ239" s="138" t="s">
        <v>683</v>
      </c>
      <c r="AK239" s="219" t="s">
        <v>684</v>
      </c>
    </row>
    <row r="240" spans="1:77" s="4" customFormat="1" ht="144.75" customHeight="1" x14ac:dyDescent="0.2">
      <c r="A240" s="55"/>
      <c r="B240" s="92"/>
      <c r="C240" s="92"/>
      <c r="D240" s="92"/>
      <c r="E240" s="92"/>
      <c r="F240" s="95"/>
      <c r="G240" s="99"/>
      <c r="H240" s="518" t="s">
        <v>694</v>
      </c>
      <c r="I240" s="68">
        <v>2201067</v>
      </c>
      <c r="J240" s="518" t="s">
        <v>695</v>
      </c>
      <c r="K240" s="68">
        <v>2201067</v>
      </c>
      <c r="L240" s="518" t="s">
        <v>695</v>
      </c>
      <c r="M240" s="74">
        <v>220106700</v>
      </c>
      <c r="N240" s="516" t="s">
        <v>696</v>
      </c>
      <c r="O240" s="74">
        <v>220106700</v>
      </c>
      <c r="P240" s="516" t="s">
        <v>696</v>
      </c>
      <c r="Q240" s="96" t="s">
        <v>55</v>
      </c>
      <c r="R240" s="236">
        <v>54</v>
      </c>
      <c r="S240" s="613"/>
      <c r="T240" s="625"/>
      <c r="U240" s="615"/>
      <c r="V240" s="137"/>
      <c r="W240" s="137"/>
      <c r="X240" s="137"/>
      <c r="Y240" s="137"/>
      <c r="Z240" s="137"/>
      <c r="AA240" s="257"/>
      <c r="AB240" s="137"/>
      <c r="AC240" s="137"/>
      <c r="AD240" s="258"/>
      <c r="AE240" s="137"/>
      <c r="AF240" s="209">
        <v>10000000.01</v>
      </c>
      <c r="AG240" s="137"/>
      <c r="AH240" s="137"/>
      <c r="AI240" s="138">
        <f t="shared" ref="AI240" si="101">+V240+W240+X240+Y240+Z240+AA240+AB240+AC240+AD240+AE240+AF240+AG240+AH240</f>
        <v>10000000.01</v>
      </c>
      <c r="AJ240" s="138" t="s">
        <v>683</v>
      </c>
      <c r="AK240" s="219" t="s">
        <v>684</v>
      </c>
    </row>
    <row r="241" spans="1:37" ht="112.5" customHeight="1" x14ac:dyDescent="0.2">
      <c r="A241" s="133"/>
      <c r="B241" s="67"/>
      <c r="C241" s="67"/>
      <c r="D241" s="67"/>
      <c r="E241" s="67"/>
      <c r="F241" s="71"/>
      <c r="G241" s="517"/>
      <c r="H241" s="512" t="s">
        <v>694</v>
      </c>
      <c r="I241" s="68">
        <v>2201028</v>
      </c>
      <c r="J241" s="518" t="s">
        <v>697</v>
      </c>
      <c r="K241" s="68">
        <v>2201028</v>
      </c>
      <c r="L241" s="518" t="s">
        <v>697</v>
      </c>
      <c r="M241" s="254">
        <v>220102801</v>
      </c>
      <c r="N241" s="516" t="s">
        <v>698</v>
      </c>
      <c r="O241" s="254">
        <v>220102801</v>
      </c>
      <c r="P241" s="516" t="s">
        <v>698</v>
      </c>
      <c r="Q241" s="88" t="s">
        <v>55</v>
      </c>
      <c r="R241" s="88">
        <v>36000</v>
      </c>
      <c r="S241" s="613"/>
      <c r="T241" s="625"/>
      <c r="U241" s="615"/>
      <c r="V241" s="137"/>
      <c r="W241" s="137"/>
      <c r="X241" s="137"/>
      <c r="Y241" s="137"/>
      <c r="Z241" s="137"/>
      <c r="AA241" s="257"/>
      <c r="AB241" s="137"/>
      <c r="AC241" s="347"/>
      <c r="AD241" s="348">
        <f>12990000000-2811152214+1411366447.05</f>
        <v>11590214233.049999</v>
      </c>
      <c r="AE241" s="137"/>
      <c r="AF241" s="209">
        <v>250000000</v>
      </c>
      <c r="AG241" s="209"/>
      <c r="AH241" s="137"/>
      <c r="AI241" s="138">
        <f t="shared" ref="AI241:AI257" si="102">+V241+W241+X241+Y241+Z241+AA241+AB241+AC241+AD241+AE241+AF241+AG241+AH241</f>
        <v>11840214233.049999</v>
      </c>
      <c r="AJ241" s="138" t="s">
        <v>683</v>
      </c>
      <c r="AK241" s="59" t="s">
        <v>684</v>
      </c>
    </row>
    <row r="242" spans="1:37" ht="165" customHeight="1" x14ac:dyDescent="0.2">
      <c r="A242" s="133"/>
      <c r="B242" s="67"/>
      <c r="C242" s="67"/>
      <c r="D242" s="67"/>
      <c r="E242" s="67"/>
      <c r="F242" s="71"/>
      <c r="G242" s="517"/>
      <c r="H242" s="512" t="s">
        <v>694</v>
      </c>
      <c r="I242" s="68">
        <v>2201029</v>
      </c>
      <c r="J242" s="518" t="s">
        <v>699</v>
      </c>
      <c r="K242" s="68">
        <v>2201029</v>
      </c>
      <c r="L242" s="518" t="s">
        <v>699</v>
      </c>
      <c r="M242" s="254">
        <v>220102900</v>
      </c>
      <c r="N242" s="516" t="s">
        <v>700</v>
      </c>
      <c r="O242" s="254">
        <v>220102900</v>
      </c>
      <c r="P242" s="516" t="s">
        <v>700</v>
      </c>
      <c r="Q242" s="88" t="s">
        <v>71</v>
      </c>
      <c r="R242" s="88">
        <v>1000</v>
      </c>
      <c r="S242" s="613"/>
      <c r="T242" s="625"/>
      <c r="U242" s="615"/>
      <c r="V242" s="137"/>
      <c r="W242" s="137"/>
      <c r="X242" s="137"/>
      <c r="Y242" s="137"/>
      <c r="Z242" s="137"/>
      <c r="AA242" s="257"/>
      <c r="AB242" s="137"/>
      <c r="AC242" s="137"/>
      <c r="AD242" s="258"/>
      <c r="AE242" s="137"/>
      <c r="AF242" s="209">
        <v>380000000</v>
      </c>
      <c r="AG242" s="137"/>
      <c r="AH242" s="137"/>
      <c r="AI242" s="138">
        <f t="shared" si="102"/>
        <v>380000000</v>
      </c>
      <c r="AJ242" s="138" t="s">
        <v>683</v>
      </c>
      <c r="AK242" s="59" t="s">
        <v>684</v>
      </c>
    </row>
    <row r="243" spans="1:37" ht="138.75" customHeight="1" x14ac:dyDescent="0.2">
      <c r="A243" s="133"/>
      <c r="B243" s="67"/>
      <c r="C243" s="67"/>
      <c r="D243" s="67"/>
      <c r="E243" s="67"/>
      <c r="F243" s="71"/>
      <c r="G243" s="517"/>
      <c r="H243" s="512" t="s">
        <v>175</v>
      </c>
      <c r="I243" s="66" t="s">
        <v>50</v>
      </c>
      <c r="J243" s="518" t="s">
        <v>701</v>
      </c>
      <c r="K243" s="68">
        <v>2201062</v>
      </c>
      <c r="L243" s="518" t="s">
        <v>177</v>
      </c>
      <c r="M243" s="66" t="s">
        <v>50</v>
      </c>
      <c r="N243" s="516" t="s">
        <v>178</v>
      </c>
      <c r="O243" s="68">
        <v>220106200</v>
      </c>
      <c r="P243" s="516" t="s">
        <v>702</v>
      </c>
      <c r="Q243" s="517" t="s">
        <v>71</v>
      </c>
      <c r="R243" s="68">
        <v>15</v>
      </c>
      <c r="S243" s="613"/>
      <c r="T243" s="625"/>
      <c r="U243" s="615"/>
      <c r="V243" s="137"/>
      <c r="W243" s="137"/>
      <c r="X243" s="137"/>
      <c r="Y243" s="137"/>
      <c r="Z243" s="137"/>
      <c r="AA243" s="257"/>
      <c r="AB243" s="137"/>
      <c r="AC243" s="137"/>
      <c r="AD243" s="258"/>
      <c r="AE243" s="137"/>
      <c r="AF243" s="150">
        <v>30000000</v>
      </c>
      <c r="AG243" s="137"/>
      <c r="AH243" s="137"/>
      <c r="AI243" s="138">
        <f t="shared" ref="AI243:AI252" si="103">+V243+W243+X243+Y243+Z243+AA243+AB243+AC243+AD243+AE243+AF243+AG243+AH243</f>
        <v>30000000</v>
      </c>
      <c r="AJ243" s="138" t="s">
        <v>683</v>
      </c>
      <c r="AK243" s="59" t="s">
        <v>684</v>
      </c>
    </row>
    <row r="244" spans="1:37" ht="102.6" customHeight="1" x14ac:dyDescent="0.2">
      <c r="A244" s="133"/>
      <c r="B244" s="67"/>
      <c r="C244" s="67"/>
      <c r="D244" s="67"/>
      <c r="E244" s="67"/>
      <c r="F244" s="71"/>
      <c r="G244" s="212"/>
      <c r="H244" s="512" t="s">
        <v>703</v>
      </c>
      <c r="I244" s="68">
        <v>2201063</v>
      </c>
      <c r="J244" s="518" t="s">
        <v>704</v>
      </c>
      <c r="K244" s="68">
        <v>2201063</v>
      </c>
      <c r="L244" s="518" t="s">
        <v>704</v>
      </c>
      <c r="M244" s="74">
        <v>220106300</v>
      </c>
      <c r="N244" s="516" t="s">
        <v>705</v>
      </c>
      <c r="O244" s="74">
        <v>220106300</v>
      </c>
      <c r="P244" s="516" t="s">
        <v>705</v>
      </c>
      <c r="Q244" s="88" t="s">
        <v>71</v>
      </c>
      <c r="R244" s="96">
        <v>2</v>
      </c>
      <c r="S244" s="613"/>
      <c r="T244" s="625"/>
      <c r="U244" s="615"/>
      <c r="V244" s="137"/>
      <c r="W244" s="137"/>
      <c r="X244" s="137"/>
      <c r="Y244" s="137"/>
      <c r="Z244" s="137"/>
      <c r="AA244" s="257"/>
      <c r="AB244" s="137"/>
      <c r="AC244" s="137"/>
      <c r="AD244" s="258"/>
      <c r="AE244" s="137"/>
      <c r="AF244" s="209">
        <v>30000000</v>
      </c>
      <c r="AG244" s="137"/>
      <c r="AH244" s="137"/>
      <c r="AI244" s="138">
        <f t="shared" si="103"/>
        <v>30000000</v>
      </c>
      <c r="AJ244" s="138" t="s">
        <v>683</v>
      </c>
      <c r="AK244" s="59" t="s">
        <v>684</v>
      </c>
    </row>
    <row r="245" spans="1:37" ht="102.6" customHeight="1" x14ac:dyDescent="0.2">
      <c r="A245" s="133"/>
      <c r="B245" s="67"/>
      <c r="C245" s="67"/>
      <c r="D245" s="67"/>
      <c r="E245" s="67"/>
      <c r="F245" s="71"/>
      <c r="G245" s="212"/>
      <c r="H245" s="512" t="s">
        <v>703</v>
      </c>
      <c r="I245" s="68">
        <v>2201069</v>
      </c>
      <c r="J245" s="518" t="s">
        <v>706</v>
      </c>
      <c r="K245" s="68">
        <v>2201069</v>
      </c>
      <c r="L245" s="518" t="s">
        <v>706</v>
      </c>
      <c r="M245" s="74">
        <v>220106900</v>
      </c>
      <c r="N245" s="516" t="s">
        <v>707</v>
      </c>
      <c r="O245" s="74">
        <v>220106900</v>
      </c>
      <c r="P245" s="516" t="s">
        <v>707</v>
      </c>
      <c r="Q245" s="88" t="s">
        <v>71</v>
      </c>
      <c r="R245" s="96">
        <v>3</v>
      </c>
      <c r="S245" s="613"/>
      <c r="T245" s="625"/>
      <c r="U245" s="615"/>
      <c r="V245" s="137"/>
      <c r="W245" s="137"/>
      <c r="X245" s="137"/>
      <c r="Y245" s="137"/>
      <c r="Z245" s="137"/>
      <c r="AA245" s="257"/>
      <c r="AB245" s="137">
        <f>37500000+12500000</f>
        <v>50000000</v>
      </c>
      <c r="AC245" s="137"/>
      <c r="AD245" s="258"/>
      <c r="AE245" s="137"/>
      <c r="AF245" s="209">
        <v>20000000</v>
      </c>
      <c r="AG245" s="137"/>
      <c r="AH245" s="137"/>
      <c r="AI245" s="138">
        <f t="shared" si="103"/>
        <v>70000000</v>
      </c>
      <c r="AJ245" s="138" t="s">
        <v>683</v>
      </c>
      <c r="AK245" s="59" t="s">
        <v>684</v>
      </c>
    </row>
    <row r="246" spans="1:37" ht="138" customHeight="1" x14ac:dyDescent="0.2">
      <c r="A246" s="133"/>
      <c r="B246" s="67"/>
      <c r="C246" s="67"/>
      <c r="D246" s="67"/>
      <c r="E246" s="67"/>
      <c r="F246" s="71"/>
      <c r="G246" s="212"/>
      <c r="H246" s="512" t="s">
        <v>708</v>
      </c>
      <c r="I246" s="68">
        <v>2201018</v>
      </c>
      <c r="J246" s="518" t="s">
        <v>709</v>
      </c>
      <c r="K246" s="68">
        <v>2201018</v>
      </c>
      <c r="L246" s="518" t="s">
        <v>709</v>
      </c>
      <c r="M246" s="74">
        <v>220101802</v>
      </c>
      <c r="N246" s="516" t="s">
        <v>710</v>
      </c>
      <c r="O246" s="74">
        <v>220101802</v>
      </c>
      <c r="P246" s="516" t="s">
        <v>710</v>
      </c>
      <c r="Q246" s="88" t="s">
        <v>55</v>
      </c>
      <c r="R246" s="96">
        <v>1</v>
      </c>
      <c r="S246" s="613" t="s">
        <v>711</v>
      </c>
      <c r="T246" s="625" t="s">
        <v>712</v>
      </c>
      <c r="U246" s="615" t="s">
        <v>713</v>
      </c>
      <c r="V246" s="137"/>
      <c r="W246" s="137"/>
      <c r="X246" s="137"/>
      <c r="Y246" s="137"/>
      <c r="Z246" s="137"/>
      <c r="AA246" s="257"/>
      <c r="AB246" s="137"/>
      <c r="AC246" s="137"/>
      <c r="AD246" s="258"/>
      <c r="AE246" s="137"/>
      <c r="AF246" s="209">
        <v>6000000</v>
      </c>
      <c r="AG246" s="137"/>
      <c r="AH246" s="137"/>
      <c r="AI246" s="138">
        <f t="shared" si="103"/>
        <v>6000000</v>
      </c>
      <c r="AJ246" s="138" t="s">
        <v>683</v>
      </c>
      <c r="AK246" s="59" t="s">
        <v>684</v>
      </c>
    </row>
    <row r="247" spans="1:37" ht="85.5" customHeight="1" x14ac:dyDescent="0.2">
      <c r="A247" s="133"/>
      <c r="B247" s="67"/>
      <c r="C247" s="67"/>
      <c r="D247" s="67"/>
      <c r="E247" s="67"/>
      <c r="F247" s="71"/>
      <c r="G247" s="212"/>
      <c r="H247" s="512" t="s">
        <v>714</v>
      </c>
      <c r="I247" s="68">
        <v>2201037</v>
      </c>
      <c r="J247" s="518" t="s">
        <v>715</v>
      </c>
      <c r="K247" s="68">
        <v>2201037</v>
      </c>
      <c r="L247" s="518" t="s">
        <v>715</v>
      </c>
      <c r="M247" s="254">
        <v>220103700</v>
      </c>
      <c r="N247" s="217" t="s">
        <v>716</v>
      </c>
      <c r="O247" s="254">
        <v>220103700</v>
      </c>
      <c r="P247" s="217" t="s">
        <v>716</v>
      </c>
      <c r="Q247" s="88" t="s">
        <v>55</v>
      </c>
      <c r="R247" s="96">
        <v>54</v>
      </c>
      <c r="S247" s="613"/>
      <c r="T247" s="625"/>
      <c r="U247" s="615"/>
      <c r="V247" s="137"/>
      <c r="W247" s="137"/>
      <c r="X247" s="137"/>
      <c r="Y247" s="137"/>
      <c r="Z247" s="137"/>
      <c r="AA247" s="257"/>
      <c r="AB247" s="137"/>
      <c r="AC247" s="137"/>
      <c r="AD247" s="258"/>
      <c r="AE247" s="137"/>
      <c r="AF247" s="209">
        <v>10000000</v>
      </c>
      <c r="AG247" s="137"/>
      <c r="AH247" s="137"/>
      <c r="AI247" s="138">
        <f t="shared" si="103"/>
        <v>10000000</v>
      </c>
      <c r="AJ247" s="138" t="s">
        <v>683</v>
      </c>
      <c r="AK247" s="59" t="s">
        <v>684</v>
      </c>
    </row>
    <row r="248" spans="1:37" ht="218.25" customHeight="1" x14ac:dyDescent="0.2">
      <c r="A248" s="133"/>
      <c r="B248" s="67"/>
      <c r="C248" s="67"/>
      <c r="D248" s="67"/>
      <c r="E248" s="67"/>
      <c r="F248" s="71"/>
      <c r="G248" s="212"/>
      <c r="H248" s="512" t="s">
        <v>717</v>
      </c>
      <c r="I248" s="66">
        <v>2201007</v>
      </c>
      <c r="J248" s="518" t="s">
        <v>718</v>
      </c>
      <c r="K248" s="68">
        <v>2201073</v>
      </c>
      <c r="L248" s="518" t="s">
        <v>718</v>
      </c>
      <c r="M248" s="66">
        <v>220100700</v>
      </c>
      <c r="N248" s="510" t="s">
        <v>719</v>
      </c>
      <c r="O248" s="74">
        <v>220107300</v>
      </c>
      <c r="P248" s="510" t="s">
        <v>719</v>
      </c>
      <c r="Q248" s="88" t="s">
        <v>71</v>
      </c>
      <c r="R248" s="96">
        <v>7774</v>
      </c>
      <c r="S248" s="613" t="s">
        <v>720</v>
      </c>
      <c r="T248" s="626" t="s">
        <v>721</v>
      </c>
      <c r="U248" s="626" t="s">
        <v>722</v>
      </c>
      <c r="V248" s="137"/>
      <c r="W248" s="137"/>
      <c r="X248" s="137"/>
      <c r="Y248" s="137"/>
      <c r="Z248" s="137"/>
      <c r="AA248" s="257"/>
      <c r="AB248" s="137">
        <v>13838656.48</v>
      </c>
      <c r="AC248" s="137"/>
      <c r="AD248" s="258"/>
      <c r="AE248" s="137"/>
      <c r="AF248" s="209">
        <v>19999999.989999998</v>
      </c>
      <c r="AG248" s="137"/>
      <c r="AH248" s="137"/>
      <c r="AI248" s="138">
        <f t="shared" si="103"/>
        <v>33838656.469999999</v>
      </c>
      <c r="AJ248" s="138" t="s">
        <v>683</v>
      </c>
      <c r="AK248" s="59" t="s">
        <v>684</v>
      </c>
    </row>
    <row r="249" spans="1:37" s="4" customFormat="1" ht="138.75" customHeight="1" x14ac:dyDescent="0.2">
      <c r="A249" s="55"/>
      <c r="B249" s="92"/>
      <c r="C249" s="92"/>
      <c r="D249" s="92"/>
      <c r="E249" s="92"/>
      <c r="F249" s="95"/>
      <c r="G249" s="99"/>
      <c r="H249" s="518" t="s">
        <v>723</v>
      </c>
      <c r="I249" s="68">
        <v>2201068</v>
      </c>
      <c r="J249" s="518" t="s">
        <v>299</v>
      </c>
      <c r="K249" s="68">
        <v>2201068</v>
      </c>
      <c r="L249" s="518" t="s">
        <v>299</v>
      </c>
      <c r="M249" s="254">
        <v>220106800</v>
      </c>
      <c r="N249" s="217" t="s">
        <v>300</v>
      </c>
      <c r="O249" s="254">
        <v>220106800</v>
      </c>
      <c r="P249" s="217" t="s">
        <v>300</v>
      </c>
      <c r="Q249" s="517" t="s">
        <v>71</v>
      </c>
      <c r="R249" s="66">
        <v>70</v>
      </c>
      <c r="S249" s="613"/>
      <c r="T249" s="626"/>
      <c r="U249" s="626"/>
      <c r="V249" s="137"/>
      <c r="W249" s="137"/>
      <c r="X249" s="137">
        <v>0</v>
      </c>
      <c r="Y249" s="137">
        <v>0</v>
      </c>
      <c r="Z249" s="137">
        <v>0</v>
      </c>
      <c r="AA249" s="257">
        <v>0</v>
      </c>
      <c r="AB249" s="137">
        <v>0</v>
      </c>
      <c r="AC249" s="137">
        <v>0</v>
      </c>
      <c r="AD249" s="258">
        <v>0</v>
      </c>
      <c r="AE249" s="137">
        <v>0</v>
      </c>
      <c r="AF249" s="150">
        <v>18000000</v>
      </c>
      <c r="AG249" s="137">
        <v>0</v>
      </c>
      <c r="AH249" s="137">
        <v>0</v>
      </c>
      <c r="AI249" s="138">
        <f t="shared" ref="AI249" si="104">+V249+W249+X249+Y249+Z249+AA249+AB249+AC249+AD249+AE249+AF249+AG249+AH249</f>
        <v>18000000</v>
      </c>
      <c r="AJ249" s="138" t="s">
        <v>683</v>
      </c>
      <c r="AK249" s="219" t="s">
        <v>684</v>
      </c>
    </row>
    <row r="250" spans="1:37" ht="74.25" customHeight="1" x14ac:dyDescent="0.2">
      <c r="A250" s="133"/>
      <c r="B250" s="67"/>
      <c r="C250" s="67"/>
      <c r="D250" s="67"/>
      <c r="E250" s="67"/>
      <c r="F250" s="71"/>
      <c r="G250" s="517"/>
      <c r="H250" s="512" t="s">
        <v>703</v>
      </c>
      <c r="I250" s="68">
        <v>2201026</v>
      </c>
      <c r="J250" s="518" t="s">
        <v>724</v>
      </c>
      <c r="K250" s="68">
        <v>2201026</v>
      </c>
      <c r="L250" s="518" t="s">
        <v>724</v>
      </c>
      <c r="M250" s="254">
        <v>220102600</v>
      </c>
      <c r="N250" s="516" t="s">
        <v>725</v>
      </c>
      <c r="O250" s="254">
        <v>220102600</v>
      </c>
      <c r="P250" s="516" t="s">
        <v>725</v>
      </c>
      <c r="Q250" s="88" t="s">
        <v>71</v>
      </c>
      <c r="R250" s="96">
        <v>17</v>
      </c>
      <c r="S250" s="613"/>
      <c r="T250" s="626"/>
      <c r="U250" s="626"/>
      <c r="V250" s="137"/>
      <c r="W250" s="137"/>
      <c r="X250" s="137"/>
      <c r="Y250" s="137"/>
      <c r="Z250" s="137"/>
      <c r="AA250" s="257"/>
      <c r="AB250" s="137">
        <f>25000000-23405003</f>
        <v>1594997</v>
      </c>
      <c r="AC250" s="137"/>
      <c r="AD250" s="258"/>
      <c r="AE250" s="137"/>
      <c r="AF250" s="150">
        <v>18000000</v>
      </c>
      <c r="AG250" s="137"/>
      <c r="AH250" s="137"/>
      <c r="AI250" s="138">
        <f>+V250+W250+X250+Y250+Z250+AA250+AB250+AC250+AD250+AE250+AF250+AG250+AH250</f>
        <v>19594997</v>
      </c>
      <c r="AJ250" s="138" t="s">
        <v>683</v>
      </c>
      <c r="AK250" s="59" t="s">
        <v>684</v>
      </c>
    </row>
    <row r="251" spans="1:37" ht="116.25" customHeight="1" x14ac:dyDescent="0.2">
      <c r="A251" s="133"/>
      <c r="B251" s="67"/>
      <c r="C251" s="67"/>
      <c r="D251" s="67"/>
      <c r="E251" s="67"/>
      <c r="F251" s="71"/>
      <c r="G251" s="212"/>
      <c r="H251" s="512" t="s">
        <v>717</v>
      </c>
      <c r="I251" s="66">
        <v>2201009</v>
      </c>
      <c r="J251" s="518" t="s">
        <v>726</v>
      </c>
      <c r="K251" s="68">
        <v>2201074</v>
      </c>
      <c r="L251" s="518" t="s">
        <v>726</v>
      </c>
      <c r="M251" s="66">
        <v>220100900</v>
      </c>
      <c r="N251" s="510" t="s">
        <v>727</v>
      </c>
      <c r="O251" s="74">
        <v>220107400</v>
      </c>
      <c r="P251" s="510" t="s">
        <v>728</v>
      </c>
      <c r="Q251" s="88" t="s">
        <v>71</v>
      </c>
      <c r="R251" s="96">
        <v>606</v>
      </c>
      <c r="S251" s="613"/>
      <c r="T251" s="626"/>
      <c r="U251" s="626"/>
      <c r="V251" s="137"/>
      <c r="W251" s="137"/>
      <c r="X251" s="137"/>
      <c r="Y251" s="137"/>
      <c r="Z251" s="137"/>
      <c r="AA251" s="257"/>
      <c r="AB251" s="137"/>
      <c r="AC251" s="137"/>
      <c r="AD251" s="258"/>
      <c r="AE251" s="137"/>
      <c r="AF251" s="209">
        <v>19999999.989999998</v>
      </c>
      <c r="AG251" s="137"/>
      <c r="AH251" s="137"/>
      <c r="AI251" s="138">
        <f>+V251+W251+X251+Y251+Z251+AA251+AB251+AC251+AD251+AE251+AF251+AG251+AH251</f>
        <v>19999999.989999998</v>
      </c>
      <c r="AJ251" s="138" t="s">
        <v>683</v>
      </c>
      <c r="AK251" s="59" t="s">
        <v>684</v>
      </c>
    </row>
    <row r="252" spans="1:37" ht="162.75" customHeight="1" x14ac:dyDescent="0.2">
      <c r="A252" s="133"/>
      <c r="B252" s="67"/>
      <c r="C252" s="67"/>
      <c r="D252" s="67"/>
      <c r="E252" s="67"/>
      <c r="F252" s="71"/>
      <c r="G252" s="212"/>
      <c r="H252" s="512" t="s">
        <v>717</v>
      </c>
      <c r="I252" s="66">
        <v>2201010</v>
      </c>
      <c r="J252" s="512" t="s">
        <v>729</v>
      </c>
      <c r="K252" s="66">
        <v>2201074</v>
      </c>
      <c r="L252" s="512" t="s">
        <v>730</v>
      </c>
      <c r="M252" s="66">
        <v>220101000</v>
      </c>
      <c r="N252" s="510" t="s">
        <v>731</v>
      </c>
      <c r="O252" s="69">
        <v>220107400</v>
      </c>
      <c r="P252" s="510" t="s">
        <v>728</v>
      </c>
      <c r="Q252" s="88" t="s">
        <v>55</v>
      </c>
      <c r="R252" s="96">
        <v>94</v>
      </c>
      <c r="S252" s="613"/>
      <c r="T252" s="626"/>
      <c r="U252" s="626"/>
      <c r="V252" s="137"/>
      <c r="W252" s="137"/>
      <c r="X252" s="137"/>
      <c r="Y252" s="137"/>
      <c r="Z252" s="137"/>
      <c r="AA252" s="257"/>
      <c r="AB252" s="137"/>
      <c r="AC252" s="137"/>
      <c r="AD252" s="258"/>
      <c r="AE252" s="137"/>
      <c r="AF252" s="209">
        <v>20000000</v>
      </c>
      <c r="AG252" s="137"/>
      <c r="AH252" s="137"/>
      <c r="AI252" s="138">
        <f t="shared" si="103"/>
        <v>20000000</v>
      </c>
      <c r="AJ252" s="138" t="s">
        <v>683</v>
      </c>
      <c r="AK252" s="59" t="s">
        <v>684</v>
      </c>
    </row>
    <row r="253" spans="1:37" ht="65.25" customHeight="1" x14ac:dyDescent="0.2">
      <c r="A253" s="133"/>
      <c r="B253" s="67"/>
      <c r="C253" s="67"/>
      <c r="D253" s="67"/>
      <c r="E253" s="67"/>
      <c r="F253" s="71"/>
      <c r="G253" s="212"/>
      <c r="H253" s="512" t="s">
        <v>732</v>
      </c>
      <c r="I253" s="68">
        <v>2201035</v>
      </c>
      <c r="J253" s="512" t="s">
        <v>733</v>
      </c>
      <c r="K253" s="68">
        <v>2201035</v>
      </c>
      <c r="L253" s="512" t="s">
        <v>733</v>
      </c>
      <c r="M253" s="69">
        <v>220103500</v>
      </c>
      <c r="N253" s="510" t="s">
        <v>734</v>
      </c>
      <c r="O253" s="69">
        <v>220103500</v>
      </c>
      <c r="P253" s="510" t="s">
        <v>734</v>
      </c>
      <c r="Q253" s="88" t="s">
        <v>71</v>
      </c>
      <c r="R253" s="96">
        <v>8</v>
      </c>
      <c r="S253" s="613"/>
      <c r="T253" s="626"/>
      <c r="U253" s="626"/>
      <c r="V253" s="137"/>
      <c r="W253" s="137"/>
      <c r="X253" s="137"/>
      <c r="Y253" s="137"/>
      <c r="Z253" s="137"/>
      <c r="AA253" s="257"/>
      <c r="AB253" s="137"/>
      <c r="AC253" s="137"/>
      <c r="AD253" s="258"/>
      <c r="AE253" s="137"/>
      <c r="AF253" s="209">
        <v>10000000</v>
      </c>
      <c r="AG253" s="137"/>
      <c r="AH253" s="137"/>
      <c r="AI253" s="138">
        <f t="shared" si="102"/>
        <v>10000000</v>
      </c>
      <c r="AJ253" s="138" t="s">
        <v>683</v>
      </c>
      <c r="AK253" s="59" t="s">
        <v>684</v>
      </c>
    </row>
    <row r="254" spans="1:37" ht="121.5" customHeight="1" x14ac:dyDescent="0.2">
      <c r="A254" s="133"/>
      <c r="B254" s="67"/>
      <c r="C254" s="67"/>
      <c r="D254" s="67"/>
      <c r="E254" s="67"/>
      <c r="F254" s="71"/>
      <c r="G254" s="517"/>
      <c r="H254" s="512" t="s">
        <v>694</v>
      </c>
      <c r="I254" s="68">
        <v>2201046</v>
      </c>
      <c r="J254" s="512" t="s">
        <v>735</v>
      </c>
      <c r="K254" s="68">
        <v>2201046</v>
      </c>
      <c r="L254" s="512" t="s">
        <v>735</v>
      </c>
      <c r="M254" s="224">
        <v>220104602</v>
      </c>
      <c r="N254" s="510" t="s">
        <v>736</v>
      </c>
      <c r="O254" s="224">
        <v>220104602</v>
      </c>
      <c r="P254" s="510" t="s">
        <v>736</v>
      </c>
      <c r="Q254" s="88" t="s">
        <v>71</v>
      </c>
      <c r="R254" s="96">
        <v>13</v>
      </c>
      <c r="S254" s="613"/>
      <c r="T254" s="626"/>
      <c r="U254" s="626"/>
      <c r="V254" s="137"/>
      <c r="W254" s="137"/>
      <c r="X254" s="137"/>
      <c r="Y254" s="138"/>
      <c r="Z254" s="137"/>
      <c r="AA254" s="257"/>
      <c r="AB254" s="137"/>
      <c r="AC254" s="137"/>
      <c r="AD254" s="258"/>
      <c r="AE254" s="137"/>
      <c r="AF254" s="150">
        <v>10000000.01</v>
      </c>
      <c r="AG254" s="137"/>
      <c r="AH254" s="137"/>
      <c r="AI254" s="138">
        <f t="shared" si="102"/>
        <v>10000000.01</v>
      </c>
      <c r="AJ254" s="138" t="s">
        <v>683</v>
      </c>
      <c r="AK254" s="59" t="s">
        <v>684</v>
      </c>
    </row>
    <row r="255" spans="1:37" ht="118.5" customHeight="1" x14ac:dyDescent="0.2">
      <c r="A255" s="133"/>
      <c r="B255" s="67"/>
      <c r="C255" s="67"/>
      <c r="D255" s="67"/>
      <c r="E255" s="67"/>
      <c r="F255" s="71"/>
      <c r="G255" s="212"/>
      <c r="H255" s="512" t="s">
        <v>694</v>
      </c>
      <c r="I255" s="68">
        <v>2201054</v>
      </c>
      <c r="J255" s="512" t="s">
        <v>737</v>
      </c>
      <c r="K255" s="68">
        <v>2201054</v>
      </c>
      <c r="L255" s="512" t="s">
        <v>737</v>
      </c>
      <c r="M255" s="69">
        <v>220105400</v>
      </c>
      <c r="N255" s="510" t="s">
        <v>738</v>
      </c>
      <c r="O255" s="69">
        <v>220105400</v>
      </c>
      <c r="P255" s="510" t="s">
        <v>738</v>
      </c>
      <c r="Q255" s="88" t="s">
        <v>55</v>
      </c>
      <c r="R255" s="96">
        <v>11</v>
      </c>
      <c r="S255" s="613"/>
      <c r="T255" s="626"/>
      <c r="U255" s="626"/>
      <c r="V255" s="137"/>
      <c r="W255" s="137"/>
      <c r="X255" s="137"/>
      <c r="Y255" s="137"/>
      <c r="Z255" s="137"/>
      <c r="AA255" s="257"/>
      <c r="AB255" s="137"/>
      <c r="AC255" s="137"/>
      <c r="AD255" s="258"/>
      <c r="AE255" s="137"/>
      <c r="AF255" s="209">
        <v>10000000.01</v>
      </c>
      <c r="AG255" s="137"/>
      <c r="AH255" s="137"/>
      <c r="AI255" s="138">
        <f t="shared" si="102"/>
        <v>10000000.01</v>
      </c>
      <c r="AJ255" s="138" t="s">
        <v>683</v>
      </c>
      <c r="AK255" s="59" t="s">
        <v>684</v>
      </c>
    </row>
    <row r="256" spans="1:37" ht="102.6" customHeight="1" x14ac:dyDescent="0.2">
      <c r="A256" s="133"/>
      <c r="B256" s="67"/>
      <c r="C256" s="67"/>
      <c r="D256" s="67"/>
      <c r="E256" s="67"/>
      <c r="F256" s="71"/>
      <c r="G256" s="212"/>
      <c r="H256" s="512" t="s">
        <v>691</v>
      </c>
      <c r="I256" s="68">
        <v>2201061</v>
      </c>
      <c r="J256" s="512" t="s">
        <v>739</v>
      </c>
      <c r="K256" s="68">
        <v>2201061</v>
      </c>
      <c r="L256" s="512" t="s">
        <v>739</v>
      </c>
      <c r="M256" s="69">
        <v>220106102</v>
      </c>
      <c r="N256" s="510" t="s">
        <v>740</v>
      </c>
      <c r="O256" s="69">
        <v>220106102</v>
      </c>
      <c r="P256" s="510" t="s">
        <v>740</v>
      </c>
      <c r="Q256" s="88" t="s">
        <v>71</v>
      </c>
      <c r="R256" s="96">
        <v>12</v>
      </c>
      <c r="S256" s="613"/>
      <c r="T256" s="626"/>
      <c r="U256" s="626"/>
      <c r="V256" s="137"/>
      <c r="W256" s="137"/>
      <c r="X256" s="137"/>
      <c r="Y256" s="137"/>
      <c r="Z256" s="137"/>
      <c r="AA256" s="257"/>
      <c r="AB256" s="137"/>
      <c r="AC256" s="137"/>
      <c r="AD256" s="258"/>
      <c r="AE256" s="137"/>
      <c r="AF256" s="209">
        <v>10000000</v>
      </c>
      <c r="AG256" s="137"/>
      <c r="AH256" s="137"/>
      <c r="AI256" s="138">
        <f t="shared" si="102"/>
        <v>10000000</v>
      </c>
      <c r="AJ256" s="138" t="s">
        <v>683</v>
      </c>
      <c r="AK256" s="59" t="s">
        <v>684</v>
      </c>
    </row>
    <row r="257" spans="1:37" ht="102.6" customHeight="1" x14ac:dyDescent="0.2">
      <c r="A257" s="133"/>
      <c r="B257" s="67"/>
      <c r="C257" s="67"/>
      <c r="D257" s="67"/>
      <c r="E257" s="67"/>
      <c r="F257" s="71"/>
      <c r="G257" s="212"/>
      <c r="H257" s="512" t="s">
        <v>691</v>
      </c>
      <c r="I257" s="68">
        <v>2201066</v>
      </c>
      <c r="J257" s="512" t="s">
        <v>741</v>
      </c>
      <c r="K257" s="68">
        <v>2201066</v>
      </c>
      <c r="L257" s="512" t="s">
        <v>741</v>
      </c>
      <c r="M257" s="69">
        <v>220106600</v>
      </c>
      <c r="N257" s="510" t="s">
        <v>742</v>
      </c>
      <c r="O257" s="69">
        <v>220106600</v>
      </c>
      <c r="P257" s="510" t="s">
        <v>742</v>
      </c>
      <c r="Q257" s="88" t="s">
        <v>71</v>
      </c>
      <c r="R257" s="96">
        <v>10000</v>
      </c>
      <c r="S257" s="613"/>
      <c r="T257" s="626"/>
      <c r="U257" s="626"/>
      <c r="V257" s="137"/>
      <c r="W257" s="137"/>
      <c r="X257" s="137"/>
      <c r="Y257" s="137"/>
      <c r="Z257" s="137"/>
      <c r="AA257" s="257"/>
      <c r="AB257" s="137"/>
      <c r="AC257" s="137"/>
      <c r="AD257" s="258"/>
      <c r="AE257" s="137"/>
      <c r="AF257" s="209">
        <v>10000000</v>
      </c>
      <c r="AG257" s="137"/>
      <c r="AH257" s="137"/>
      <c r="AI257" s="138">
        <f t="shared" si="102"/>
        <v>10000000</v>
      </c>
      <c r="AJ257" s="138" t="s">
        <v>683</v>
      </c>
      <c r="AK257" s="59" t="s">
        <v>684</v>
      </c>
    </row>
    <row r="258" spans="1:37" ht="128.25" customHeight="1" x14ac:dyDescent="0.2">
      <c r="A258" s="133"/>
      <c r="B258" s="67"/>
      <c r="C258" s="67"/>
      <c r="D258" s="67"/>
      <c r="E258" s="67"/>
      <c r="F258" s="71"/>
      <c r="G258" s="517"/>
      <c r="H258" s="512" t="s">
        <v>743</v>
      </c>
      <c r="I258" s="66">
        <v>2201006</v>
      </c>
      <c r="J258" s="518" t="s">
        <v>744</v>
      </c>
      <c r="K258" s="66">
        <v>2201006</v>
      </c>
      <c r="L258" s="518" t="s">
        <v>744</v>
      </c>
      <c r="M258" s="254">
        <v>220100600</v>
      </c>
      <c r="N258" s="217" t="s">
        <v>745</v>
      </c>
      <c r="O258" s="254">
        <v>220100600</v>
      </c>
      <c r="P258" s="217" t="s">
        <v>745</v>
      </c>
      <c r="Q258" s="259" t="s">
        <v>55</v>
      </c>
      <c r="R258" s="96">
        <v>54</v>
      </c>
      <c r="S258" s="612" t="s">
        <v>746</v>
      </c>
      <c r="T258" s="615" t="s">
        <v>747</v>
      </c>
      <c r="U258" s="615" t="s">
        <v>748</v>
      </c>
      <c r="V258" s="137"/>
      <c r="W258" s="137"/>
      <c r="X258" s="137"/>
      <c r="Y258" s="137"/>
      <c r="Z258" s="137"/>
      <c r="AA258" s="257"/>
      <c r="AB258" s="351"/>
      <c r="AC258" s="137"/>
      <c r="AD258" s="258"/>
      <c r="AE258" s="137"/>
      <c r="AF258" s="209">
        <f>10000000.95+180000000</f>
        <v>190000000.94999999</v>
      </c>
      <c r="AG258" s="137"/>
      <c r="AH258" s="137"/>
      <c r="AI258" s="138">
        <f>+V258+W258+X258+Y258+Z258+AA258+AB258+AC258+AD258+AE258+AF258+AG258+AH258</f>
        <v>190000000.94999999</v>
      </c>
      <c r="AJ258" s="138" t="s">
        <v>683</v>
      </c>
      <c r="AK258" s="59" t="s">
        <v>684</v>
      </c>
    </row>
    <row r="259" spans="1:37" ht="150" customHeight="1" x14ac:dyDescent="0.2">
      <c r="A259" s="133"/>
      <c r="B259" s="67"/>
      <c r="C259" s="67"/>
      <c r="D259" s="67"/>
      <c r="E259" s="67"/>
      <c r="F259" s="71"/>
      <c r="G259" s="212"/>
      <c r="H259" s="512" t="s">
        <v>743</v>
      </c>
      <c r="I259" s="66">
        <v>2201015</v>
      </c>
      <c r="J259" s="518" t="s">
        <v>749</v>
      </c>
      <c r="K259" s="66">
        <v>2201015</v>
      </c>
      <c r="L259" s="518" t="s">
        <v>749</v>
      </c>
      <c r="M259" s="74">
        <v>220101500</v>
      </c>
      <c r="N259" s="516" t="s">
        <v>750</v>
      </c>
      <c r="O259" s="74">
        <v>220101500</v>
      </c>
      <c r="P259" s="516" t="s">
        <v>750</v>
      </c>
      <c r="Q259" s="88" t="s">
        <v>55</v>
      </c>
      <c r="R259" s="216">
        <v>11</v>
      </c>
      <c r="S259" s="612"/>
      <c r="T259" s="615"/>
      <c r="U259" s="615"/>
      <c r="V259" s="137"/>
      <c r="W259" s="137"/>
      <c r="X259" s="137"/>
      <c r="Y259" s="137"/>
      <c r="Z259" s="137"/>
      <c r="AA259" s="257"/>
      <c r="AB259" s="137"/>
      <c r="AC259" s="137"/>
      <c r="AD259" s="258"/>
      <c r="AE259" s="137"/>
      <c r="AF259" s="209">
        <v>12000000</v>
      </c>
      <c r="AG259" s="137"/>
      <c r="AH259" s="137"/>
      <c r="AI259" s="138">
        <f t="shared" ref="AI259:AI269" si="105">+V259+W259+X259+Y259+Z259+AA259+AB259+AC259+AD259+AE259+AF259+AG259+AH259</f>
        <v>12000000</v>
      </c>
      <c r="AJ259" s="138" t="s">
        <v>683</v>
      </c>
      <c r="AK259" s="59" t="s">
        <v>684</v>
      </c>
    </row>
    <row r="260" spans="1:37" ht="154.5" customHeight="1" x14ac:dyDescent="0.2">
      <c r="A260" s="133"/>
      <c r="B260" s="67"/>
      <c r="C260" s="67"/>
      <c r="D260" s="67"/>
      <c r="E260" s="67"/>
      <c r="F260" s="71"/>
      <c r="G260" s="212"/>
      <c r="H260" s="512" t="s">
        <v>694</v>
      </c>
      <c r="I260" s="66">
        <v>2201042</v>
      </c>
      <c r="J260" s="518" t="s">
        <v>751</v>
      </c>
      <c r="K260" s="66">
        <v>2201042</v>
      </c>
      <c r="L260" s="518" t="s">
        <v>751</v>
      </c>
      <c r="M260" s="74">
        <v>220104200</v>
      </c>
      <c r="N260" s="516" t="s">
        <v>752</v>
      </c>
      <c r="O260" s="74">
        <v>220104200</v>
      </c>
      <c r="P260" s="516" t="s">
        <v>752</v>
      </c>
      <c r="Q260" s="88" t="s">
        <v>71</v>
      </c>
      <c r="R260" s="96">
        <v>6000</v>
      </c>
      <c r="S260" s="612"/>
      <c r="T260" s="615"/>
      <c r="U260" s="615"/>
      <c r="V260" s="137"/>
      <c r="W260" s="137"/>
      <c r="X260" s="137"/>
      <c r="Y260" s="137"/>
      <c r="Z260" s="137"/>
      <c r="AA260" s="257"/>
      <c r="AB260" s="137"/>
      <c r="AC260" s="137"/>
      <c r="AD260" s="258"/>
      <c r="AE260" s="137"/>
      <c r="AF260" s="150">
        <v>10000000.01</v>
      </c>
      <c r="AG260" s="137"/>
      <c r="AH260" s="137"/>
      <c r="AI260" s="138">
        <f t="shared" si="105"/>
        <v>10000000.01</v>
      </c>
      <c r="AJ260" s="138" t="s">
        <v>683</v>
      </c>
      <c r="AK260" s="59" t="s">
        <v>684</v>
      </c>
    </row>
    <row r="261" spans="1:37" s="1" customFormat="1" ht="111.75" customHeight="1" x14ac:dyDescent="0.2">
      <c r="A261" s="133"/>
      <c r="B261" s="67"/>
      <c r="C261" s="67"/>
      <c r="D261" s="67"/>
      <c r="E261" s="67"/>
      <c r="F261" s="71"/>
      <c r="G261" s="517"/>
      <c r="H261" s="512" t="s">
        <v>753</v>
      </c>
      <c r="I261" s="66">
        <v>2201071</v>
      </c>
      <c r="J261" s="82" t="s">
        <v>754</v>
      </c>
      <c r="K261" s="66">
        <v>2201071</v>
      </c>
      <c r="L261" s="82" t="s">
        <v>754</v>
      </c>
      <c r="M261" s="224">
        <v>220107100</v>
      </c>
      <c r="N261" s="510" t="s">
        <v>755</v>
      </c>
      <c r="O261" s="224">
        <v>220107100</v>
      </c>
      <c r="P261" s="510" t="s">
        <v>755</v>
      </c>
      <c r="Q261" s="88" t="s">
        <v>55</v>
      </c>
      <c r="R261" s="88">
        <v>54</v>
      </c>
      <c r="S261" s="612"/>
      <c r="T261" s="615"/>
      <c r="U261" s="615"/>
      <c r="V261" s="349"/>
      <c r="W261" s="349"/>
      <c r="X261" s="349"/>
      <c r="Y261" s="349">
        <f>1704977490-400000000+80777982.78</f>
        <v>1385755472.78</v>
      </c>
      <c r="Z261" s="349"/>
      <c r="AA261" s="350"/>
      <c r="AB261" s="351">
        <f>141320000000+3120000+207017358.94</f>
        <v>141530137358.94</v>
      </c>
      <c r="AC261" s="352">
        <v>25145000000</v>
      </c>
      <c r="AD261" s="353"/>
      <c r="AE261" s="349"/>
      <c r="AF261" s="209">
        <f>1195000000-7500000-252675151-30000000+985822393+2000000000+209925998.22-180000000</f>
        <v>3920573240.2199998</v>
      </c>
      <c r="AG261" s="349"/>
      <c r="AH261" s="349">
        <v>1792032472.8499999</v>
      </c>
      <c r="AI261" s="138">
        <f t="shared" si="105"/>
        <v>173773498544.79001</v>
      </c>
      <c r="AJ261" s="138" t="s">
        <v>683</v>
      </c>
      <c r="AK261" s="59" t="s">
        <v>684</v>
      </c>
    </row>
    <row r="262" spans="1:37" ht="168" customHeight="1" x14ac:dyDescent="0.2">
      <c r="A262" s="133"/>
      <c r="B262" s="67"/>
      <c r="C262" s="67"/>
      <c r="D262" s="67"/>
      <c r="E262" s="67"/>
      <c r="F262" s="71"/>
      <c r="G262" s="212"/>
      <c r="H262" s="512" t="s">
        <v>694</v>
      </c>
      <c r="I262" s="68">
        <v>2201050</v>
      </c>
      <c r="J262" s="518" t="s">
        <v>756</v>
      </c>
      <c r="K262" s="68">
        <v>2201050</v>
      </c>
      <c r="L262" s="518" t="s">
        <v>756</v>
      </c>
      <c r="M262" s="74">
        <v>220105000</v>
      </c>
      <c r="N262" s="516" t="s">
        <v>757</v>
      </c>
      <c r="O262" s="74">
        <v>220105000</v>
      </c>
      <c r="P262" s="516" t="s">
        <v>757</v>
      </c>
      <c r="Q262" s="88" t="s">
        <v>71</v>
      </c>
      <c r="R262" s="96">
        <v>8000</v>
      </c>
      <c r="S262" s="613" t="s">
        <v>758</v>
      </c>
      <c r="T262" s="614" t="s">
        <v>759</v>
      </c>
      <c r="U262" s="606" t="s">
        <v>760</v>
      </c>
      <c r="V262" s="137"/>
      <c r="W262" s="137"/>
      <c r="X262" s="137"/>
      <c r="Y262" s="137"/>
      <c r="Z262" s="137"/>
      <c r="AA262" s="257"/>
      <c r="AB262" s="133"/>
      <c r="AC262" s="137"/>
      <c r="AD262" s="258"/>
      <c r="AE262" s="137"/>
      <c r="AF262" s="209">
        <v>10000000.01</v>
      </c>
      <c r="AG262" s="137"/>
      <c r="AH262" s="137"/>
      <c r="AI262" s="138">
        <f t="shared" si="105"/>
        <v>10000000.01</v>
      </c>
      <c r="AJ262" s="138" t="s">
        <v>683</v>
      </c>
      <c r="AK262" s="59" t="s">
        <v>684</v>
      </c>
    </row>
    <row r="263" spans="1:37" ht="135" customHeight="1" x14ac:dyDescent="0.2">
      <c r="A263" s="133"/>
      <c r="B263" s="67"/>
      <c r="C263" s="67"/>
      <c r="D263" s="67"/>
      <c r="E263" s="67"/>
      <c r="F263" s="71"/>
      <c r="G263" s="212"/>
      <c r="H263" s="512" t="s">
        <v>694</v>
      </c>
      <c r="I263" s="68">
        <v>2201050</v>
      </c>
      <c r="J263" s="518" t="s">
        <v>756</v>
      </c>
      <c r="K263" s="68">
        <v>2201050</v>
      </c>
      <c r="L263" s="518" t="s">
        <v>756</v>
      </c>
      <c r="M263" s="254">
        <v>220105001</v>
      </c>
      <c r="N263" s="217" t="s">
        <v>761</v>
      </c>
      <c r="O263" s="254">
        <v>220105001</v>
      </c>
      <c r="P263" s="217" t="s">
        <v>761</v>
      </c>
      <c r="Q263" s="88" t="s">
        <v>55</v>
      </c>
      <c r="R263" s="96">
        <v>150</v>
      </c>
      <c r="S263" s="613"/>
      <c r="T263" s="614"/>
      <c r="U263" s="606"/>
      <c r="V263" s="137"/>
      <c r="W263" s="137"/>
      <c r="X263" s="137"/>
      <c r="Y263" s="137"/>
      <c r="Z263" s="137"/>
      <c r="AA263" s="257"/>
      <c r="AB263" s="137">
        <f>749000000-157054393</f>
        <v>591945607</v>
      </c>
      <c r="AC263" s="137">
        <v>0</v>
      </c>
      <c r="AD263" s="258">
        <v>0</v>
      </c>
      <c r="AE263" s="137">
        <v>0</v>
      </c>
      <c r="AF263" s="137">
        <v>0</v>
      </c>
      <c r="AG263" s="137">
        <v>0</v>
      </c>
      <c r="AH263" s="137">
        <v>0</v>
      </c>
      <c r="AI263" s="138">
        <f t="shared" si="105"/>
        <v>591945607</v>
      </c>
      <c r="AJ263" s="138" t="s">
        <v>683</v>
      </c>
      <c r="AK263" s="59" t="s">
        <v>684</v>
      </c>
    </row>
    <row r="264" spans="1:37" ht="120.75" customHeight="1" x14ac:dyDescent="0.2">
      <c r="A264" s="133"/>
      <c r="B264" s="67"/>
      <c r="C264" s="67"/>
      <c r="D264" s="67"/>
      <c r="E264" s="67"/>
      <c r="F264" s="71"/>
      <c r="G264" s="212"/>
      <c r="H264" s="512" t="s">
        <v>703</v>
      </c>
      <c r="I264" s="66" t="s">
        <v>50</v>
      </c>
      <c r="J264" s="518" t="s">
        <v>762</v>
      </c>
      <c r="K264" s="68">
        <v>2201001</v>
      </c>
      <c r="L264" s="518" t="s">
        <v>252</v>
      </c>
      <c r="M264" s="66" t="s">
        <v>50</v>
      </c>
      <c r="N264" s="510" t="s">
        <v>763</v>
      </c>
      <c r="O264" s="74">
        <v>220100100</v>
      </c>
      <c r="P264" s="510" t="s">
        <v>764</v>
      </c>
      <c r="Q264" s="96" t="s">
        <v>55</v>
      </c>
      <c r="R264" s="96">
        <v>2</v>
      </c>
      <c r="S264" s="613"/>
      <c r="T264" s="614"/>
      <c r="U264" s="606"/>
      <c r="V264" s="137"/>
      <c r="W264" s="137"/>
      <c r="X264" s="137"/>
      <c r="Y264" s="137"/>
      <c r="Z264" s="137"/>
      <c r="AA264" s="257"/>
      <c r="AB264" s="137"/>
      <c r="AC264" s="137"/>
      <c r="AD264" s="258"/>
      <c r="AE264" s="137"/>
      <c r="AF264" s="209">
        <v>10000000.01</v>
      </c>
      <c r="AG264" s="137"/>
      <c r="AH264" s="137"/>
      <c r="AI264" s="138">
        <f t="shared" si="105"/>
        <v>10000000.01</v>
      </c>
      <c r="AJ264" s="138" t="s">
        <v>683</v>
      </c>
      <c r="AK264" s="59" t="s">
        <v>684</v>
      </c>
    </row>
    <row r="265" spans="1:37" ht="114" customHeight="1" x14ac:dyDescent="0.2">
      <c r="A265" s="133"/>
      <c r="B265" s="67"/>
      <c r="C265" s="67"/>
      <c r="D265" s="67"/>
      <c r="E265" s="67"/>
      <c r="F265" s="71"/>
      <c r="G265" s="212"/>
      <c r="H265" s="512" t="s">
        <v>765</v>
      </c>
      <c r="I265" s="68">
        <v>2201034</v>
      </c>
      <c r="J265" s="518" t="s">
        <v>766</v>
      </c>
      <c r="K265" s="68">
        <v>2201034</v>
      </c>
      <c r="L265" s="518" t="s">
        <v>766</v>
      </c>
      <c r="M265" s="254">
        <v>220103400</v>
      </c>
      <c r="N265" s="217" t="s">
        <v>767</v>
      </c>
      <c r="O265" s="254">
        <v>220103400</v>
      </c>
      <c r="P265" s="217" t="s">
        <v>767</v>
      </c>
      <c r="Q265" s="88" t="s">
        <v>71</v>
      </c>
      <c r="R265" s="96">
        <v>5500</v>
      </c>
      <c r="S265" s="612" t="s">
        <v>768</v>
      </c>
      <c r="T265" s="625" t="s">
        <v>769</v>
      </c>
      <c r="U265" s="615" t="s">
        <v>770</v>
      </c>
      <c r="V265" s="137"/>
      <c r="W265" s="137"/>
      <c r="X265" s="137"/>
      <c r="Y265" s="137"/>
      <c r="Z265" s="137"/>
      <c r="AA265" s="257"/>
      <c r="AB265" s="137"/>
      <c r="AC265" s="137"/>
      <c r="AD265" s="258"/>
      <c r="AE265" s="137"/>
      <c r="AF265" s="209">
        <v>10000000.01</v>
      </c>
      <c r="AG265" s="137"/>
      <c r="AH265" s="137"/>
      <c r="AI265" s="138">
        <f t="shared" si="105"/>
        <v>10000000.01</v>
      </c>
      <c r="AJ265" s="138" t="s">
        <v>683</v>
      </c>
      <c r="AK265" s="59" t="s">
        <v>684</v>
      </c>
    </row>
    <row r="266" spans="1:37" ht="103.5" customHeight="1" x14ac:dyDescent="0.2">
      <c r="A266" s="133"/>
      <c r="B266" s="67"/>
      <c r="C266" s="67"/>
      <c r="D266" s="67"/>
      <c r="E266" s="67"/>
      <c r="F266" s="71"/>
      <c r="G266" s="212"/>
      <c r="H266" s="512" t="s">
        <v>765</v>
      </c>
      <c r="I266" s="68">
        <v>2201034</v>
      </c>
      <c r="J266" s="518" t="s">
        <v>771</v>
      </c>
      <c r="K266" s="68">
        <v>2201034</v>
      </c>
      <c r="L266" s="518" t="s">
        <v>771</v>
      </c>
      <c r="M266" s="74">
        <v>220103401</v>
      </c>
      <c r="N266" s="516" t="s">
        <v>772</v>
      </c>
      <c r="O266" s="74">
        <v>220103401</v>
      </c>
      <c r="P266" s="516" t="s">
        <v>772</v>
      </c>
      <c r="Q266" s="88" t="s">
        <v>55</v>
      </c>
      <c r="R266" s="96">
        <v>54</v>
      </c>
      <c r="S266" s="612"/>
      <c r="T266" s="625"/>
      <c r="U266" s="615"/>
      <c r="V266" s="137"/>
      <c r="W266" s="137"/>
      <c r="X266" s="137"/>
      <c r="Y266" s="137"/>
      <c r="Z266" s="137"/>
      <c r="AA266" s="257"/>
      <c r="AB266" s="137"/>
      <c r="AC266" s="137"/>
      <c r="AD266" s="258"/>
      <c r="AE266" s="137"/>
      <c r="AF266" s="209">
        <v>9999999.9800000004</v>
      </c>
      <c r="AG266" s="137"/>
      <c r="AH266" s="137"/>
      <c r="AI266" s="138">
        <f t="shared" si="105"/>
        <v>9999999.9800000004</v>
      </c>
      <c r="AJ266" s="138" t="s">
        <v>683</v>
      </c>
      <c r="AK266" s="59" t="s">
        <v>684</v>
      </c>
    </row>
    <row r="267" spans="1:37" ht="93.75" customHeight="1" x14ac:dyDescent="0.2">
      <c r="A267" s="133"/>
      <c r="B267" s="67"/>
      <c r="C267" s="67"/>
      <c r="D267" s="67"/>
      <c r="E267" s="67"/>
      <c r="F267" s="71"/>
      <c r="G267" s="212"/>
      <c r="H267" s="512" t="s">
        <v>765</v>
      </c>
      <c r="I267" s="68">
        <v>2201060</v>
      </c>
      <c r="J267" s="518" t="s">
        <v>773</v>
      </c>
      <c r="K267" s="68">
        <v>2201060</v>
      </c>
      <c r="L267" s="518" t="s">
        <v>773</v>
      </c>
      <c r="M267" s="254">
        <v>220106000</v>
      </c>
      <c r="N267" s="516" t="s">
        <v>774</v>
      </c>
      <c r="O267" s="254">
        <v>220106000</v>
      </c>
      <c r="P267" s="516" t="s">
        <v>774</v>
      </c>
      <c r="Q267" s="88" t="s">
        <v>71</v>
      </c>
      <c r="R267" s="96">
        <v>200</v>
      </c>
      <c r="S267" s="612"/>
      <c r="T267" s="625"/>
      <c r="U267" s="615"/>
      <c r="V267" s="137"/>
      <c r="W267" s="137"/>
      <c r="X267" s="137"/>
      <c r="Y267" s="137"/>
      <c r="Z267" s="137"/>
      <c r="AA267" s="257"/>
      <c r="AB267" s="137"/>
      <c r="AC267" s="137"/>
      <c r="AD267" s="258"/>
      <c r="AE267" s="137"/>
      <c r="AF267" s="209">
        <v>10000000.01</v>
      </c>
      <c r="AG267" s="137"/>
      <c r="AH267" s="137"/>
      <c r="AI267" s="138">
        <f t="shared" si="105"/>
        <v>10000000.01</v>
      </c>
      <c r="AJ267" s="138" t="s">
        <v>683</v>
      </c>
      <c r="AK267" s="59" t="s">
        <v>684</v>
      </c>
    </row>
    <row r="268" spans="1:37" ht="159.75" customHeight="1" x14ac:dyDescent="0.2">
      <c r="A268" s="133"/>
      <c r="B268" s="67"/>
      <c r="C268" s="67"/>
      <c r="D268" s="67"/>
      <c r="E268" s="67"/>
      <c r="F268" s="71"/>
      <c r="G268" s="212"/>
      <c r="H268" s="512" t="s">
        <v>743</v>
      </c>
      <c r="I268" s="68">
        <v>2201001</v>
      </c>
      <c r="J268" s="518" t="s">
        <v>252</v>
      </c>
      <c r="K268" s="68">
        <v>2201001</v>
      </c>
      <c r="L268" s="518" t="s">
        <v>252</v>
      </c>
      <c r="M268" s="74">
        <v>220100100</v>
      </c>
      <c r="N268" s="516" t="s">
        <v>764</v>
      </c>
      <c r="O268" s="74">
        <v>220100100</v>
      </c>
      <c r="P268" s="516" t="s">
        <v>764</v>
      </c>
      <c r="Q268" s="96" t="s">
        <v>55</v>
      </c>
      <c r="R268" s="96">
        <v>5</v>
      </c>
      <c r="S268" s="613" t="s">
        <v>775</v>
      </c>
      <c r="T268" s="625" t="s">
        <v>776</v>
      </c>
      <c r="U268" s="625" t="s">
        <v>777</v>
      </c>
      <c r="V268" s="137"/>
      <c r="W268" s="137"/>
      <c r="X268" s="137"/>
      <c r="Y268" s="137"/>
      <c r="Z268" s="137"/>
      <c r="AA268" s="257"/>
      <c r="AB268" s="137"/>
      <c r="AC268" s="137"/>
      <c r="AD268" s="258"/>
      <c r="AE268" s="137"/>
      <c r="AF268" s="209">
        <v>9000000</v>
      </c>
      <c r="AG268" s="137"/>
      <c r="AH268" s="137"/>
      <c r="AI268" s="138">
        <f t="shared" si="105"/>
        <v>9000000</v>
      </c>
      <c r="AJ268" s="138" t="s">
        <v>683</v>
      </c>
      <c r="AK268" s="59" t="s">
        <v>684</v>
      </c>
    </row>
    <row r="269" spans="1:37" ht="122.25" customHeight="1" x14ac:dyDescent="0.2">
      <c r="A269" s="133"/>
      <c r="B269" s="67"/>
      <c r="C269" s="67"/>
      <c r="D269" s="67"/>
      <c r="E269" s="67"/>
      <c r="F269" s="71"/>
      <c r="G269" s="212"/>
      <c r="H269" s="512" t="s">
        <v>694</v>
      </c>
      <c r="I269" s="68">
        <v>2201048</v>
      </c>
      <c r="J269" s="518" t="s">
        <v>778</v>
      </c>
      <c r="K269" s="68">
        <v>2201048</v>
      </c>
      <c r="L269" s="518" t="s">
        <v>778</v>
      </c>
      <c r="M269" s="74">
        <v>220104801</v>
      </c>
      <c r="N269" s="516" t="s">
        <v>779</v>
      </c>
      <c r="O269" s="74">
        <v>220104801</v>
      </c>
      <c r="P269" s="516" t="s">
        <v>779</v>
      </c>
      <c r="Q269" s="88" t="s">
        <v>55</v>
      </c>
      <c r="R269" s="96">
        <v>1</v>
      </c>
      <c r="S269" s="613"/>
      <c r="T269" s="625"/>
      <c r="U269" s="625"/>
      <c r="V269" s="137"/>
      <c r="W269" s="137"/>
      <c r="X269" s="137"/>
      <c r="Y269" s="137"/>
      <c r="Z269" s="137"/>
      <c r="AA269" s="257"/>
      <c r="AB269" s="137"/>
      <c r="AC269" s="137"/>
      <c r="AD269" s="258"/>
      <c r="AE269" s="137"/>
      <c r="AF269" s="209">
        <v>9000000</v>
      </c>
      <c r="AG269" s="137"/>
      <c r="AH269" s="137"/>
      <c r="AI269" s="138">
        <f t="shared" si="105"/>
        <v>9000000</v>
      </c>
      <c r="AJ269" s="138" t="s">
        <v>683</v>
      </c>
      <c r="AK269" s="59" t="s">
        <v>684</v>
      </c>
    </row>
    <row r="270" spans="1:37" ht="24" customHeight="1" x14ac:dyDescent="0.2">
      <c r="A270" s="133"/>
      <c r="B270" s="67"/>
      <c r="C270" s="67"/>
      <c r="D270" s="67"/>
      <c r="E270" s="67"/>
      <c r="F270" s="141">
        <v>2202</v>
      </c>
      <c r="G270" s="65" t="s">
        <v>1412</v>
      </c>
      <c r="H270" s="179"/>
      <c r="I270" s="179"/>
      <c r="J270" s="140"/>
      <c r="K270" s="139"/>
      <c r="L270" s="140"/>
      <c r="M270" s="140"/>
      <c r="N270" s="135"/>
      <c r="O270" s="141"/>
      <c r="P270" s="135"/>
      <c r="Q270" s="142"/>
      <c r="R270" s="141"/>
      <c r="S270" s="143"/>
      <c r="T270" s="135"/>
      <c r="U270" s="135"/>
      <c r="V270" s="136">
        <f>SUM(V271:V271)</f>
        <v>0</v>
      </c>
      <c r="W270" s="136">
        <f t="shared" ref="W270:AI270" si="106">SUM(W271:W271)</f>
        <v>0</v>
      </c>
      <c r="X270" s="136">
        <f t="shared" si="106"/>
        <v>0</v>
      </c>
      <c r="Y270" s="136">
        <f t="shared" si="106"/>
        <v>0</v>
      </c>
      <c r="Z270" s="136">
        <f t="shared" si="106"/>
        <v>0</v>
      </c>
      <c r="AA270" s="136">
        <f t="shared" si="106"/>
        <v>0</v>
      </c>
      <c r="AB270" s="136">
        <f t="shared" si="106"/>
        <v>0</v>
      </c>
      <c r="AC270" s="136">
        <f t="shared" si="106"/>
        <v>0</v>
      </c>
      <c r="AD270" s="136">
        <f t="shared" si="106"/>
        <v>0</v>
      </c>
      <c r="AE270" s="136">
        <f t="shared" si="106"/>
        <v>0</v>
      </c>
      <c r="AF270" s="136">
        <f t="shared" si="106"/>
        <v>100000000</v>
      </c>
      <c r="AG270" s="136">
        <f t="shared" si="106"/>
        <v>0</v>
      </c>
      <c r="AH270" s="136">
        <f t="shared" si="106"/>
        <v>0</v>
      </c>
      <c r="AI270" s="136">
        <f t="shared" si="106"/>
        <v>100000000</v>
      </c>
      <c r="AJ270" s="136"/>
      <c r="AK270" s="144"/>
    </row>
    <row r="271" spans="1:37" s="26" customFormat="1" ht="156" customHeight="1" x14ac:dyDescent="0.25">
      <c r="A271" s="104"/>
      <c r="B271" s="67"/>
      <c r="C271" s="67"/>
      <c r="D271" s="67"/>
      <c r="E271" s="67"/>
      <c r="F271" s="71"/>
      <c r="G271" s="260"/>
      <c r="H271" s="512" t="s">
        <v>780</v>
      </c>
      <c r="I271" s="66" t="s">
        <v>50</v>
      </c>
      <c r="J271" s="512" t="s">
        <v>781</v>
      </c>
      <c r="K271" s="66">
        <v>2202006</v>
      </c>
      <c r="L271" s="512" t="s">
        <v>781</v>
      </c>
      <c r="M271" s="66" t="s">
        <v>50</v>
      </c>
      <c r="N271" s="510" t="s">
        <v>782</v>
      </c>
      <c r="O271" s="66">
        <v>220200604</v>
      </c>
      <c r="P271" s="510" t="s">
        <v>783</v>
      </c>
      <c r="Q271" s="88" t="s">
        <v>55</v>
      </c>
      <c r="R271" s="88">
        <v>2</v>
      </c>
      <c r="S271" s="517" t="s">
        <v>784</v>
      </c>
      <c r="T271" s="510" t="s">
        <v>785</v>
      </c>
      <c r="U271" s="512" t="s">
        <v>786</v>
      </c>
      <c r="V271" s="137"/>
      <c r="W271" s="137"/>
      <c r="X271" s="137"/>
      <c r="Y271" s="137"/>
      <c r="Z271" s="137"/>
      <c r="AA271" s="257"/>
      <c r="AB271" s="203"/>
      <c r="AC271" s="203"/>
      <c r="AD271" s="258"/>
      <c r="AE271" s="137"/>
      <c r="AF271" s="150">
        <f>100000000+2000000000-2000000000</f>
        <v>100000000</v>
      </c>
      <c r="AG271" s="137"/>
      <c r="AH271" s="137"/>
      <c r="AI271" s="138">
        <f>+V271+W271+X271+Y271+Z271+AA271+AB271+AC271+AD271+AE271+AF271+AG271+AH271</f>
        <v>100000000</v>
      </c>
      <c r="AJ271" s="138" t="s">
        <v>683</v>
      </c>
      <c r="AK271" s="59" t="s">
        <v>684</v>
      </c>
    </row>
    <row r="272" spans="1:37" ht="24" customHeight="1" x14ac:dyDescent="0.2">
      <c r="A272" s="133"/>
      <c r="B272" s="116">
        <v>2</v>
      </c>
      <c r="C272" s="116"/>
      <c r="D272" s="61" t="s">
        <v>421</v>
      </c>
      <c r="E272" s="163"/>
      <c r="F272" s="61"/>
      <c r="G272" s="61"/>
      <c r="H272" s="61"/>
      <c r="I272" s="61"/>
      <c r="J272" s="118"/>
      <c r="K272" s="117"/>
      <c r="L272" s="118"/>
      <c r="M272" s="118"/>
      <c r="N272" s="119"/>
      <c r="O272" s="116"/>
      <c r="P272" s="119"/>
      <c r="Q272" s="120"/>
      <c r="R272" s="116"/>
      <c r="S272" s="121"/>
      <c r="T272" s="119"/>
      <c r="U272" s="119"/>
      <c r="V272" s="122">
        <f>V273</f>
        <v>0</v>
      </c>
      <c r="W272" s="122">
        <f t="shared" ref="W272:AI274" si="107">W273</f>
        <v>0</v>
      </c>
      <c r="X272" s="122">
        <f t="shared" si="107"/>
        <v>0</v>
      </c>
      <c r="Y272" s="122">
        <f t="shared" si="107"/>
        <v>0</v>
      </c>
      <c r="Z272" s="122">
        <f t="shared" si="107"/>
        <v>0</v>
      </c>
      <c r="AA272" s="122">
        <f t="shared" si="107"/>
        <v>0</v>
      </c>
      <c r="AB272" s="122">
        <f t="shared" si="107"/>
        <v>0</v>
      </c>
      <c r="AC272" s="122">
        <f t="shared" si="107"/>
        <v>0</v>
      </c>
      <c r="AD272" s="122">
        <f t="shared" si="107"/>
        <v>0</v>
      </c>
      <c r="AE272" s="122">
        <f t="shared" si="107"/>
        <v>0</v>
      </c>
      <c r="AF272" s="122">
        <f t="shared" si="107"/>
        <v>7500000</v>
      </c>
      <c r="AG272" s="122">
        <f t="shared" si="107"/>
        <v>0</v>
      </c>
      <c r="AH272" s="122">
        <f t="shared" si="107"/>
        <v>0</v>
      </c>
      <c r="AI272" s="122">
        <f>AI273</f>
        <v>7500000</v>
      </c>
      <c r="AJ272" s="122"/>
      <c r="AK272" s="156"/>
    </row>
    <row r="273" spans="1:77" s="9" customFormat="1" ht="24" customHeight="1" x14ac:dyDescent="0.25">
      <c r="A273" s="115"/>
      <c r="B273" s="67"/>
      <c r="C273" s="67"/>
      <c r="D273" s="64">
        <v>39</v>
      </c>
      <c r="E273" s="62" t="s">
        <v>1413</v>
      </c>
      <c r="F273" s="62"/>
      <c r="G273" s="123"/>
      <c r="H273" s="124"/>
      <c r="I273" s="124"/>
      <c r="J273" s="126"/>
      <c r="K273" s="125"/>
      <c r="L273" s="126"/>
      <c r="M273" s="126"/>
      <c r="N273" s="128"/>
      <c r="O273" s="127"/>
      <c r="P273" s="128"/>
      <c r="Q273" s="129"/>
      <c r="R273" s="127"/>
      <c r="S273" s="199"/>
      <c r="T273" s="131"/>
      <c r="U273" s="131"/>
      <c r="V273" s="132">
        <f>V274</f>
        <v>0</v>
      </c>
      <c r="W273" s="132">
        <f t="shared" si="107"/>
        <v>0</v>
      </c>
      <c r="X273" s="132">
        <f t="shared" si="107"/>
        <v>0</v>
      </c>
      <c r="Y273" s="132">
        <f t="shared" si="107"/>
        <v>0</v>
      </c>
      <c r="Z273" s="132">
        <f t="shared" si="107"/>
        <v>0</v>
      </c>
      <c r="AA273" s="132">
        <f t="shared" si="107"/>
        <v>0</v>
      </c>
      <c r="AB273" s="132">
        <f t="shared" si="107"/>
        <v>0</v>
      </c>
      <c r="AC273" s="132">
        <f t="shared" si="107"/>
        <v>0</v>
      </c>
      <c r="AD273" s="132">
        <f t="shared" si="107"/>
        <v>0</v>
      </c>
      <c r="AE273" s="132">
        <f t="shared" si="107"/>
        <v>0</v>
      </c>
      <c r="AF273" s="132">
        <f t="shared" si="107"/>
        <v>7500000</v>
      </c>
      <c r="AG273" s="132">
        <f t="shared" si="107"/>
        <v>0</v>
      </c>
      <c r="AH273" s="132">
        <f t="shared" si="107"/>
        <v>0</v>
      </c>
      <c r="AI273" s="132">
        <f t="shared" si="107"/>
        <v>7500000</v>
      </c>
      <c r="AJ273" s="132"/>
      <c r="AK273" s="157"/>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row>
    <row r="274" spans="1:77" ht="24" customHeight="1" x14ac:dyDescent="0.2">
      <c r="A274" s="133"/>
      <c r="B274" s="67"/>
      <c r="C274" s="67"/>
      <c r="D274" s="67"/>
      <c r="E274" s="67"/>
      <c r="F274" s="141">
        <v>3904</v>
      </c>
      <c r="G274" s="65" t="s">
        <v>787</v>
      </c>
      <c r="H274" s="179"/>
      <c r="I274" s="179"/>
      <c r="J274" s="140"/>
      <c r="K274" s="139"/>
      <c r="L274" s="140"/>
      <c r="M274" s="140"/>
      <c r="N274" s="135"/>
      <c r="O274" s="141"/>
      <c r="P274" s="135"/>
      <c r="Q274" s="142"/>
      <c r="R274" s="141"/>
      <c r="S274" s="143"/>
      <c r="T274" s="135"/>
      <c r="U274" s="135"/>
      <c r="V274" s="136">
        <f>V275</f>
        <v>0</v>
      </c>
      <c r="W274" s="136">
        <f t="shared" si="107"/>
        <v>0</v>
      </c>
      <c r="X274" s="136">
        <f t="shared" si="107"/>
        <v>0</v>
      </c>
      <c r="Y274" s="136">
        <f t="shared" si="107"/>
        <v>0</v>
      </c>
      <c r="Z274" s="136">
        <f t="shared" si="107"/>
        <v>0</v>
      </c>
      <c r="AA274" s="136">
        <f t="shared" si="107"/>
        <v>0</v>
      </c>
      <c r="AB274" s="136">
        <f t="shared" si="107"/>
        <v>0</v>
      </c>
      <c r="AC274" s="136">
        <f t="shared" si="107"/>
        <v>0</v>
      </c>
      <c r="AD274" s="136">
        <f t="shared" si="107"/>
        <v>0</v>
      </c>
      <c r="AE274" s="136">
        <f t="shared" si="107"/>
        <v>0</v>
      </c>
      <c r="AF274" s="136">
        <f t="shared" si="107"/>
        <v>7500000</v>
      </c>
      <c r="AG274" s="136">
        <f t="shared" si="107"/>
        <v>0</v>
      </c>
      <c r="AH274" s="136">
        <f t="shared" si="107"/>
        <v>0</v>
      </c>
      <c r="AI274" s="136">
        <f t="shared" si="107"/>
        <v>7500000</v>
      </c>
      <c r="AJ274" s="136"/>
      <c r="AK274" s="144"/>
    </row>
    <row r="275" spans="1:77" s="26" customFormat="1" ht="147.75" customHeight="1" x14ac:dyDescent="0.25">
      <c r="A275" s="104"/>
      <c r="B275" s="67"/>
      <c r="C275" s="67"/>
      <c r="D275" s="67"/>
      <c r="E275" s="67"/>
      <c r="F275" s="71"/>
      <c r="G275" s="517"/>
      <c r="H275" s="512" t="s">
        <v>788</v>
      </c>
      <c r="I275" s="66">
        <v>3904006</v>
      </c>
      <c r="J275" s="512" t="s">
        <v>789</v>
      </c>
      <c r="K275" s="66">
        <v>3904006</v>
      </c>
      <c r="L275" s="512" t="s">
        <v>789</v>
      </c>
      <c r="M275" s="88">
        <v>390400604</v>
      </c>
      <c r="N275" s="76" t="s">
        <v>790</v>
      </c>
      <c r="O275" s="88">
        <v>390400604</v>
      </c>
      <c r="P275" s="76" t="s">
        <v>791</v>
      </c>
      <c r="Q275" s="517" t="s">
        <v>71</v>
      </c>
      <c r="R275" s="96">
        <v>18</v>
      </c>
      <c r="S275" s="260" t="s">
        <v>792</v>
      </c>
      <c r="T275" s="516" t="s">
        <v>793</v>
      </c>
      <c r="U275" s="518" t="s">
        <v>794</v>
      </c>
      <c r="V275" s="137"/>
      <c r="W275" s="137"/>
      <c r="X275" s="137"/>
      <c r="Y275" s="137"/>
      <c r="Z275" s="137"/>
      <c r="AA275" s="257"/>
      <c r="AB275" s="203"/>
      <c r="AC275" s="203"/>
      <c r="AD275" s="258"/>
      <c r="AE275" s="137"/>
      <c r="AF275" s="153">
        <v>7500000</v>
      </c>
      <c r="AG275" s="137"/>
      <c r="AH275" s="137"/>
      <c r="AI275" s="138">
        <f>+V275+W275+X275+Y275+Z275+AA275+AB275+AC275+AD275+AE275+AF275+AG275+AH275</f>
        <v>7500000</v>
      </c>
      <c r="AJ275" s="138" t="s">
        <v>683</v>
      </c>
      <c r="AK275" s="59" t="s">
        <v>684</v>
      </c>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row>
    <row r="276" spans="1:77" s="7" customFormat="1" ht="16.5" customHeight="1" x14ac:dyDescent="0.25">
      <c r="A276" s="457"/>
      <c r="B276" s="457"/>
      <c r="C276" s="457"/>
      <c r="D276" s="457"/>
      <c r="E276" s="457"/>
      <c r="F276" s="457"/>
      <c r="G276" s="457"/>
      <c r="H276" s="458"/>
      <c r="I276" s="457"/>
      <c r="J276" s="457"/>
      <c r="K276" s="457"/>
      <c r="L276" s="457"/>
      <c r="M276" s="457"/>
      <c r="N276" s="457"/>
      <c r="O276" s="457"/>
      <c r="P276" s="457"/>
      <c r="Q276" s="459"/>
      <c r="R276" s="457"/>
      <c r="S276" s="459"/>
      <c r="T276" s="459"/>
      <c r="U276" s="459"/>
      <c r="V276" s="460"/>
      <c r="W276" s="460"/>
      <c r="X276" s="460"/>
      <c r="Y276" s="460"/>
      <c r="Z276" s="460"/>
      <c r="AA276" s="460"/>
      <c r="AB276" s="460"/>
      <c r="AC276" s="460"/>
      <c r="AD276" s="460"/>
      <c r="AE276" s="460"/>
      <c r="AF276" s="460"/>
      <c r="AG276" s="460"/>
      <c r="AH276" s="460"/>
      <c r="AI276" s="460"/>
      <c r="AJ276" s="460"/>
      <c r="AK276" s="460"/>
    </row>
    <row r="277" spans="1:77" s="391" customFormat="1" ht="24.75" customHeight="1" x14ac:dyDescent="0.2">
      <c r="A277" s="41" t="s">
        <v>795</v>
      </c>
      <c r="B277" s="41"/>
      <c r="C277" s="41"/>
      <c r="D277" s="41"/>
      <c r="E277" s="41"/>
      <c r="F277" s="42"/>
      <c r="G277" s="43"/>
      <c r="H277" s="383"/>
      <c r="I277" s="383"/>
      <c r="J277" s="383"/>
      <c r="K277" s="386"/>
      <c r="L277" s="383"/>
      <c r="M277" s="383"/>
      <c r="N277" s="388"/>
      <c r="O277" s="387"/>
      <c r="P277" s="388"/>
      <c r="Q277" s="389"/>
      <c r="R277" s="387"/>
      <c r="S277" s="43"/>
      <c r="T277" s="388"/>
      <c r="U277" s="388"/>
      <c r="V277" s="384">
        <f t="shared" ref="V277:AI277" si="108">V278+V312+V319</f>
        <v>3526539574</v>
      </c>
      <c r="W277" s="384">
        <f t="shared" si="108"/>
        <v>0</v>
      </c>
      <c r="X277" s="384">
        <f t="shared" si="108"/>
        <v>0</v>
      </c>
      <c r="Y277" s="384">
        <f t="shared" si="108"/>
        <v>0</v>
      </c>
      <c r="Z277" s="384">
        <f t="shared" si="108"/>
        <v>0</v>
      </c>
      <c r="AA277" s="384">
        <f t="shared" si="108"/>
        <v>0</v>
      </c>
      <c r="AB277" s="384">
        <f t="shared" si="108"/>
        <v>0</v>
      </c>
      <c r="AC277" s="384">
        <f t="shared" si="108"/>
        <v>0</v>
      </c>
      <c r="AD277" s="384">
        <f t="shared" si="108"/>
        <v>0</v>
      </c>
      <c r="AE277" s="384">
        <f t="shared" si="108"/>
        <v>0</v>
      </c>
      <c r="AF277" s="384">
        <f t="shared" si="108"/>
        <v>1656250000</v>
      </c>
      <c r="AG277" s="384">
        <f t="shared" si="108"/>
        <v>0</v>
      </c>
      <c r="AH277" s="384">
        <f t="shared" si="108"/>
        <v>0</v>
      </c>
      <c r="AI277" s="384">
        <f t="shared" si="108"/>
        <v>5182789574</v>
      </c>
      <c r="AJ277" s="384"/>
      <c r="AK277" s="385"/>
      <c r="AL277" s="390"/>
      <c r="AM277" s="390"/>
      <c r="AN277" s="390"/>
      <c r="AO277" s="390"/>
      <c r="AP277" s="390"/>
      <c r="AQ277" s="390"/>
      <c r="AR277" s="390"/>
      <c r="AS277" s="390"/>
      <c r="AT277" s="390"/>
      <c r="AU277" s="390"/>
      <c r="AV277" s="390"/>
      <c r="AW277" s="390"/>
      <c r="AX277" s="390"/>
      <c r="AY277" s="390"/>
      <c r="AZ277" s="390"/>
      <c r="BA277" s="390"/>
      <c r="BB277" s="390"/>
      <c r="BC277" s="390"/>
      <c r="BD277" s="390"/>
      <c r="BE277" s="390"/>
      <c r="BF277" s="390"/>
      <c r="BG277" s="390"/>
      <c r="BH277" s="390"/>
      <c r="BI277" s="390"/>
      <c r="BJ277" s="390"/>
      <c r="BK277" s="390"/>
      <c r="BL277" s="390"/>
      <c r="BM277" s="390"/>
      <c r="BN277" s="390"/>
      <c r="BO277" s="390"/>
      <c r="BP277" s="390"/>
      <c r="BQ277" s="390"/>
      <c r="BR277" s="390"/>
      <c r="BS277" s="390"/>
      <c r="BT277" s="390"/>
      <c r="BU277" s="390"/>
      <c r="BV277" s="390"/>
      <c r="BW277" s="390"/>
      <c r="BX277" s="390"/>
      <c r="BY277" s="390"/>
    </row>
    <row r="278" spans="1:77" ht="24.75" customHeight="1" x14ac:dyDescent="0.2">
      <c r="A278" s="133"/>
      <c r="B278" s="116">
        <v>1</v>
      </c>
      <c r="C278" s="116"/>
      <c r="D278" s="61" t="s">
        <v>152</v>
      </c>
      <c r="E278" s="524"/>
      <c r="F278" s="392"/>
      <c r="G278" s="392"/>
      <c r="H278" s="393"/>
      <c r="I278" s="393"/>
      <c r="J278" s="118"/>
      <c r="K278" s="117"/>
      <c r="L278" s="118"/>
      <c r="M278" s="118"/>
      <c r="N278" s="119"/>
      <c r="O278" s="116"/>
      <c r="P278" s="119"/>
      <c r="Q278" s="120"/>
      <c r="R278" s="116"/>
      <c r="S278" s="121"/>
      <c r="T278" s="119"/>
      <c r="U278" s="119"/>
      <c r="V278" s="122">
        <f>V279+V283+V286</f>
        <v>3526539574</v>
      </c>
      <c r="W278" s="122">
        <f t="shared" ref="W278:AK278" si="109">W279+W283+W286</f>
        <v>0</v>
      </c>
      <c r="X278" s="122">
        <f t="shared" si="109"/>
        <v>0</v>
      </c>
      <c r="Y278" s="122">
        <f t="shared" si="109"/>
        <v>0</v>
      </c>
      <c r="Z278" s="122">
        <f t="shared" si="109"/>
        <v>0</v>
      </c>
      <c r="AA278" s="122">
        <f t="shared" si="109"/>
        <v>0</v>
      </c>
      <c r="AB278" s="122">
        <f t="shared" si="109"/>
        <v>0</v>
      </c>
      <c r="AC278" s="122">
        <f t="shared" si="109"/>
        <v>0</v>
      </c>
      <c r="AD278" s="122">
        <f t="shared" si="109"/>
        <v>0</v>
      </c>
      <c r="AE278" s="122">
        <f t="shared" si="109"/>
        <v>0</v>
      </c>
      <c r="AF278" s="122">
        <f t="shared" si="109"/>
        <v>1265250000</v>
      </c>
      <c r="AG278" s="122">
        <f t="shared" si="109"/>
        <v>0</v>
      </c>
      <c r="AH278" s="122">
        <f t="shared" si="109"/>
        <v>0</v>
      </c>
      <c r="AI278" s="122">
        <f t="shared" si="109"/>
        <v>4791789574</v>
      </c>
      <c r="AJ278" s="122">
        <f t="shared" si="109"/>
        <v>0</v>
      </c>
      <c r="AK278" s="122">
        <f t="shared" si="109"/>
        <v>0</v>
      </c>
    </row>
    <row r="279" spans="1:77" s="9" customFormat="1" ht="27.75" customHeight="1" x14ac:dyDescent="0.25">
      <c r="A279" s="115"/>
      <c r="B279" s="67"/>
      <c r="C279" s="67"/>
      <c r="D279" s="64">
        <v>19</v>
      </c>
      <c r="E279" s="62" t="s">
        <v>164</v>
      </c>
      <c r="F279" s="62"/>
      <c r="G279" s="123"/>
      <c r="H279" s="124"/>
      <c r="I279" s="124"/>
      <c r="J279" s="126"/>
      <c r="K279" s="125"/>
      <c r="L279" s="126"/>
      <c r="M279" s="126"/>
      <c r="N279" s="128"/>
      <c r="O279" s="127"/>
      <c r="P279" s="128"/>
      <c r="Q279" s="129"/>
      <c r="R279" s="127"/>
      <c r="S279" s="199"/>
      <c r="T279" s="131"/>
      <c r="U279" s="131"/>
      <c r="V279" s="132">
        <f>V280</f>
        <v>0</v>
      </c>
      <c r="W279" s="132">
        <f t="shared" ref="W279:AI279" si="110">W280</f>
        <v>0</v>
      </c>
      <c r="X279" s="132">
        <f t="shared" si="110"/>
        <v>0</v>
      </c>
      <c r="Y279" s="132">
        <f t="shared" si="110"/>
        <v>0</v>
      </c>
      <c r="Z279" s="132">
        <f t="shared" si="110"/>
        <v>0</v>
      </c>
      <c r="AA279" s="132">
        <f t="shared" si="110"/>
        <v>0</v>
      </c>
      <c r="AB279" s="132">
        <f t="shared" si="110"/>
        <v>0</v>
      </c>
      <c r="AC279" s="132">
        <f t="shared" si="110"/>
        <v>0</v>
      </c>
      <c r="AD279" s="132">
        <f t="shared" si="110"/>
        <v>0</v>
      </c>
      <c r="AE279" s="132">
        <f t="shared" si="110"/>
        <v>0</v>
      </c>
      <c r="AF279" s="132">
        <f t="shared" si="110"/>
        <v>175000000</v>
      </c>
      <c r="AG279" s="132">
        <f t="shared" si="110"/>
        <v>0</v>
      </c>
      <c r="AH279" s="132">
        <f t="shared" si="110"/>
        <v>0</v>
      </c>
      <c r="AI279" s="132">
        <f t="shared" si="110"/>
        <v>175000000</v>
      </c>
      <c r="AJ279" s="132"/>
      <c r="AK279" s="157"/>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row>
    <row r="280" spans="1:77" ht="24.75" customHeight="1" x14ac:dyDescent="0.2">
      <c r="A280" s="133"/>
      <c r="B280" s="67"/>
      <c r="C280" s="67"/>
      <c r="D280" s="67"/>
      <c r="E280" s="67"/>
      <c r="F280" s="141">
        <v>1905</v>
      </c>
      <c r="G280" s="261" t="s">
        <v>796</v>
      </c>
      <c r="H280" s="262"/>
      <c r="I280" s="262"/>
      <c r="J280" s="140"/>
      <c r="K280" s="139"/>
      <c r="L280" s="140"/>
      <c r="M280" s="140"/>
      <c r="N280" s="135"/>
      <c r="O280" s="141"/>
      <c r="P280" s="135"/>
      <c r="Q280" s="142"/>
      <c r="R280" s="141"/>
      <c r="S280" s="143"/>
      <c r="T280" s="135"/>
      <c r="U280" s="135"/>
      <c r="V280" s="149">
        <f>SUM(V281:V282)</f>
        <v>0</v>
      </c>
      <c r="W280" s="149">
        <f t="shared" ref="W280:AI280" si="111">SUM(W281:W282)</f>
        <v>0</v>
      </c>
      <c r="X280" s="149">
        <f t="shared" si="111"/>
        <v>0</v>
      </c>
      <c r="Y280" s="149">
        <f t="shared" si="111"/>
        <v>0</v>
      </c>
      <c r="Z280" s="149">
        <f t="shared" si="111"/>
        <v>0</v>
      </c>
      <c r="AA280" s="149">
        <f t="shared" si="111"/>
        <v>0</v>
      </c>
      <c r="AB280" s="149">
        <f t="shared" si="111"/>
        <v>0</v>
      </c>
      <c r="AC280" s="149">
        <f t="shared" si="111"/>
        <v>0</v>
      </c>
      <c r="AD280" s="149">
        <f t="shared" si="111"/>
        <v>0</v>
      </c>
      <c r="AE280" s="149">
        <f t="shared" si="111"/>
        <v>0</v>
      </c>
      <c r="AF280" s="149">
        <f>SUM(AF281:AF282)</f>
        <v>175000000</v>
      </c>
      <c r="AG280" s="149">
        <f t="shared" si="111"/>
        <v>0</v>
      </c>
      <c r="AH280" s="149">
        <f t="shared" si="111"/>
        <v>0</v>
      </c>
      <c r="AI280" s="149">
        <f t="shared" si="111"/>
        <v>175000000</v>
      </c>
      <c r="AJ280" s="149"/>
      <c r="AK280" s="149"/>
    </row>
    <row r="281" spans="1:77" ht="222.75" customHeight="1" x14ac:dyDescent="0.2">
      <c r="A281" s="133"/>
      <c r="B281" s="67"/>
      <c r="C281" s="67"/>
      <c r="D281" s="67"/>
      <c r="E281" s="67"/>
      <c r="F281" s="66"/>
      <c r="G281" s="212"/>
      <c r="H281" s="512" t="s">
        <v>797</v>
      </c>
      <c r="I281" s="69">
        <v>1905021</v>
      </c>
      <c r="J281" s="512" t="s">
        <v>798</v>
      </c>
      <c r="K281" s="69">
        <v>1905021</v>
      </c>
      <c r="L281" s="512" t="s">
        <v>798</v>
      </c>
      <c r="M281" s="69">
        <v>190502100</v>
      </c>
      <c r="N281" s="510" t="s">
        <v>799</v>
      </c>
      <c r="O281" s="69">
        <v>190502100</v>
      </c>
      <c r="P281" s="510" t="s">
        <v>799</v>
      </c>
      <c r="Q281" s="88" t="s">
        <v>55</v>
      </c>
      <c r="R281" s="96">
        <v>12</v>
      </c>
      <c r="S281" s="635" t="s">
        <v>800</v>
      </c>
      <c r="T281" s="616" t="s">
        <v>801</v>
      </c>
      <c r="U281" s="616" t="s">
        <v>802</v>
      </c>
      <c r="V281" s="137">
        <v>0</v>
      </c>
      <c r="W281" s="137">
        <v>0</v>
      </c>
      <c r="X281" s="137">
        <v>0</v>
      </c>
      <c r="Y281" s="137">
        <v>0</v>
      </c>
      <c r="Z281" s="137">
        <v>0</v>
      </c>
      <c r="AA281" s="257">
        <v>0</v>
      </c>
      <c r="AB281" s="137">
        <v>0</v>
      </c>
      <c r="AC281" s="137">
        <v>0</v>
      </c>
      <c r="AD281" s="258">
        <v>0</v>
      </c>
      <c r="AE281" s="137">
        <v>0</v>
      </c>
      <c r="AF281" s="150">
        <v>100000000</v>
      </c>
      <c r="AG281" s="137">
        <v>0</v>
      </c>
      <c r="AH281" s="137">
        <v>0</v>
      </c>
      <c r="AI281" s="138">
        <f>+V281+W281+X281+Y281+Z281+AA281+AB281+AC281+AD281+AE281+AF281+AG281+AH281</f>
        <v>100000000</v>
      </c>
      <c r="AJ281" s="138" t="s">
        <v>803</v>
      </c>
      <c r="AK281" s="59" t="s">
        <v>804</v>
      </c>
    </row>
    <row r="282" spans="1:77" ht="186" customHeight="1" x14ac:dyDescent="0.2">
      <c r="A282" s="133"/>
      <c r="B282" s="67"/>
      <c r="C282" s="67"/>
      <c r="D282" s="67"/>
      <c r="E282" s="67"/>
      <c r="F282" s="66"/>
      <c r="G282" s="212"/>
      <c r="H282" s="512" t="s">
        <v>805</v>
      </c>
      <c r="I282" s="84">
        <v>1905022</v>
      </c>
      <c r="J282" s="87" t="s">
        <v>806</v>
      </c>
      <c r="K282" s="84">
        <v>1905022</v>
      </c>
      <c r="L282" s="87" t="s">
        <v>806</v>
      </c>
      <c r="M282" s="88">
        <v>190502200</v>
      </c>
      <c r="N282" s="76" t="s">
        <v>807</v>
      </c>
      <c r="O282" s="88">
        <v>190502200</v>
      </c>
      <c r="P282" s="76" t="s">
        <v>807</v>
      </c>
      <c r="Q282" s="88" t="s">
        <v>55</v>
      </c>
      <c r="R282" s="96">
        <v>12</v>
      </c>
      <c r="S282" s="635"/>
      <c r="T282" s="616"/>
      <c r="U282" s="616"/>
      <c r="V282" s="137">
        <v>0</v>
      </c>
      <c r="W282" s="137"/>
      <c r="X282" s="137"/>
      <c r="Y282" s="137"/>
      <c r="Z282" s="137"/>
      <c r="AA282" s="257"/>
      <c r="AB282" s="137"/>
      <c r="AC282" s="137"/>
      <c r="AD282" s="258"/>
      <c r="AE282" s="137"/>
      <c r="AF282" s="150">
        <v>75000000</v>
      </c>
      <c r="AG282" s="137"/>
      <c r="AH282" s="137"/>
      <c r="AI282" s="138">
        <f>+V282+W282+X282+Y282+Z282+AA282+AB282+AC282+AD282+AE282+AF282+AG282+AH282</f>
        <v>75000000</v>
      </c>
      <c r="AJ282" s="138" t="s">
        <v>803</v>
      </c>
      <c r="AK282" s="59" t="s">
        <v>804</v>
      </c>
    </row>
    <row r="283" spans="1:77" s="9" customFormat="1" ht="24.75" customHeight="1" x14ac:dyDescent="0.25">
      <c r="A283" s="115"/>
      <c r="B283" s="67"/>
      <c r="C283" s="67"/>
      <c r="D283" s="64">
        <v>33</v>
      </c>
      <c r="E283" s="194" t="s">
        <v>183</v>
      </c>
      <c r="F283" s="62"/>
      <c r="G283" s="123"/>
      <c r="H283" s="124"/>
      <c r="I283" s="124"/>
      <c r="J283" s="126"/>
      <c r="K283" s="125"/>
      <c r="L283" s="126"/>
      <c r="M283" s="126"/>
      <c r="N283" s="128"/>
      <c r="O283" s="127"/>
      <c r="P283" s="128"/>
      <c r="Q283" s="129"/>
      <c r="R283" s="127"/>
      <c r="S283" s="199"/>
      <c r="T283" s="131"/>
      <c r="U283" s="131"/>
      <c r="V283" s="132">
        <f>V284</f>
        <v>0</v>
      </c>
      <c r="W283" s="132">
        <f t="shared" ref="W283:AI283" si="112">W284</f>
        <v>0</v>
      </c>
      <c r="X283" s="132">
        <f t="shared" si="112"/>
        <v>0</v>
      </c>
      <c r="Y283" s="132">
        <f t="shared" si="112"/>
        <v>0</v>
      </c>
      <c r="Z283" s="132">
        <f t="shared" si="112"/>
        <v>0</v>
      </c>
      <c r="AA283" s="132">
        <f t="shared" si="112"/>
        <v>0</v>
      </c>
      <c r="AB283" s="132">
        <f t="shared" si="112"/>
        <v>0</v>
      </c>
      <c r="AC283" s="132">
        <f t="shared" si="112"/>
        <v>0</v>
      </c>
      <c r="AD283" s="132">
        <f t="shared" si="112"/>
        <v>0</v>
      </c>
      <c r="AE283" s="132">
        <f t="shared" si="112"/>
        <v>0</v>
      </c>
      <c r="AF283" s="132">
        <f t="shared" si="112"/>
        <v>14250000</v>
      </c>
      <c r="AG283" s="132">
        <f t="shared" si="112"/>
        <v>0</v>
      </c>
      <c r="AH283" s="132">
        <f t="shared" si="112"/>
        <v>0</v>
      </c>
      <c r="AI283" s="132">
        <f t="shared" si="112"/>
        <v>14250000</v>
      </c>
      <c r="AJ283" s="132"/>
      <c r="AK283" s="157"/>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row>
    <row r="284" spans="1:77" ht="23.25" customHeight="1" x14ac:dyDescent="0.2">
      <c r="A284" s="133"/>
      <c r="B284" s="67"/>
      <c r="C284" s="67"/>
      <c r="D284" s="67"/>
      <c r="E284" s="67"/>
      <c r="F284" s="141">
        <v>3301</v>
      </c>
      <c r="G284" s="65" t="s">
        <v>184</v>
      </c>
      <c r="H284" s="179"/>
      <c r="I284" s="179"/>
      <c r="J284" s="140"/>
      <c r="K284" s="139"/>
      <c r="L284" s="140"/>
      <c r="M284" s="140"/>
      <c r="N284" s="135"/>
      <c r="O284" s="141"/>
      <c r="P284" s="135"/>
      <c r="Q284" s="263"/>
      <c r="R284" s="141"/>
      <c r="S284" s="143"/>
      <c r="T284" s="135"/>
      <c r="U284" s="135"/>
      <c r="V284" s="149">
        <f>SUM(V285)</f>
        <v>0</v>
      </c>
      <c r="W284" s="149">
        <f t="shared" ref="W284:AI284" si="113">SUM(W285)</f>
        <v>0</v>
      </c>
      <c r="X284" s="149">
        <f t="shared" si="113"/>
        <v>0</v>
      </c>
      <c r="Y284" s="149">
        <f t="shared" si="113"/>
        <v>0</v>
      </c>
      <c r="Z284" s="149">
        <f t="shared" si="113"/>
        <v>0</v>
      </c>
      <c r="AA284" s="149">
        <f t="shared" si="113"/>
        <v>0</v>
      </c>
      <c r="AB284" s="149">
        <f t="shared" si="113"/>
        <v>0</v>
      </c>
      <c r="AC284" s="149">
        <f t="shared" si="113"/>
        <v>0</v>
      </c>
      <c r="AD284" s="149">
        <f t="shared" si="113"/>
        <v>0</v>
      </c>
      <c r="AE284" s="149">
        <f t="shared" si="113"/>
        <v>0</v>
      </c>
      <c r="AF284" s="149">
        <f>SUM(AF285)</f>
        <v>14250000</v>
      </c>
      <c r="AG284" s="149">
        <f t="shared" si="113"/>
        <v>0</v>
      </c>
      <c r="AH284" s="149">
        <f t="shared" si="113"/>
        <v>0</v>
      </c>
      <c r="AI284" s="149">
        <f t="shared" si="113"/>
        <v>14250000</v>
      </c>
      <c r="AJ284" s="149"/>
      <c r="AK284" s="149"/>
    </row>
    <row r="285" spans="1:77" ht="183" customHeight="1" x14ac:dyDescent="0.2">
      <c r="A285" s="133"/>
      <c r="B285" s="67"/>
      <c r="C285" s="67"/>
      <c r="D285" s="67"/>
      <c r="E285" s="67"/>
      <c r="F285" s="66"/>
      <c r="G285" s="212"/>
      <c r="H285" s="512" t="s">
        <v>808</v>
      </c>
      <c r="I285" s="69">
        <v>3301051</v>
      </c>
      <c r="J285" s="512" t="s">
        <v>809</v>
      </c>
      <c r="K285" s="69">
        <v>3301051</v>
      </c>
      <c r="L285" s="512" t="s">
        <v>809</v>
      </c>
      <c r="M285" s="69">
        <v>330105110</v>
      </c>
      <c r="N285" s="510" t="s">
        <v>810</v>
      </c>
      <c r="O285" s="69">
        <v>330105110</v>
      </c>
      <c r="P285" s="510" t="s">
        <v>810</v>
      </c>
      <c r="Q285" s="88" t="s">
        <v>71</v>
      </c>
      <c r="R285" s="96">
        <v>250</v>
      </c>
      <c r="S285" s="517" t="s">
        <v>811</v>
      </c>
      <c r="T285" s="510" t="s">
        <v>812</v>
      </c>
      <c r="U285" s="512" t="s">
        <v>813</v>
      </c>
      <c r="V285" s="137"/>
      <c r="W285" s="137"/>
      <c r="X285" s="137"/>
      <c r="Y285" s="137"/>
      <c r="Z285" s="137"/>
      <c r="AA285" s="257"/>
      <c r="AB285" s="137"/>
      <c r="AC285" s="137"/>
      <c r="AD285" s="258"/>
      <c r="AE285" s="137"/>
      <c r="AF285" s="150">
        <v>14250000</v>
      </c>
      <c r="AG285" s="137"/>
      <c r="AH285" s="137"/>
      <c r="AI285" s="138">
        <f>+V285+W285+X285+Y285+Z285+AA285+AB285+AC285+AD285+AE285+AF285+AG285+AH285</f>
        <v>14250000</v>
      </c>
      <c r="AJ285" s="138" t="s">
        <v>803</v>
      </c>
      <c r="AK285" s="59" t="s">
        <v>804</v>
      </c>
    </row>
    <row r="286" spans="1:77" s="9" customFormat="1" ht="27.75" customHeight="1" x14ac:dyDescent="0.25">
      <c r="A286" s="115"/>
      <c r="B286" s="67"/>
      <c r="C286" s="67"/>
      <c r="D286" s="406">
        <v>41</v>
      </c>
      <c r="E286" s="62" t="s">
        <v>814</v>
      </c>
      <c r="F286" s="62"/>
      <c r="G286" s="123"/>
      <c r="H286" s="124"/>
      <c r="I286" s="124"/>
      <c r="J286" s="126"/>
      <c r="K286" s="125"/>
      <c r="L286" s="126"/>
      <c r="M286" s="126"/>
      <c r="N286" s="128"/>
      <c r="O286" s="127"/>
      <c r="P286" s="128"/>
      <c r="Q286" s="129"/>
      <c r="R286" s="127"/>
      <c r="S286" s="199"/>
      <c r="T286" s="131"/>
      <c r="U286" s="131"/>
      <c r="V286" s="132">
        <f t="shared" ref="V286:AI286" si="114">V287+V298+V306</f>
        <v>3526539574</v>
      </c>
      <c r="W286" s="132">
        <f t="shared" si="114"/>
        <v>0</v>
      </c>
      <c r="X286" s="132">
        <f t="shared" si="114"/>
        <v>0</v>
      </c>
      <c r="Y286" s="132">
        <f t="shared" si="114"/>
        <v>0</v>
      </c>
      <c r="Z286" s="132">
        <f t="shared" si="114"/>
        <v>0</v>
      </c>
      <c r="AA286" s="132">
        <f t="shared" si="114"/>
        <v>0</v>
      </c>
      <c r="AB286" s="132">
        <f t="shared" si="114"/>
        <v>0</v>
      </c>
      <c r="AC286" s="132">
        <f t="shared" si="114"/>
        <v>0</v>
      </c>
      <c r="AD286" s="132">
        <f t="shared" si="114"/>
        <v>0</v>
      </c>
      <c r="AE286" s="132">
        <f t="shared" si="114"/>
        <v>0</v>
      </c>
      <c r="AF286" s="132">
        <f t="shared" si="114"/>
        <v>1076000000</v>
      </c>
      <c r="AG286" s="132">
        <f t="shared" si="114"/>
        <v>0</v>
      </c>
      <c r="AH286" s="132">
        <f t="shared" si="114"/>
        <v>0</v>
      </c>
      <c r="AI286" s="132">
        <f t="shared" si="114"/>
        <v>4602539574</v>
      </c>
      <c r="AJ286" s="132"/>
      <c r="AK286" s="157"/>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row>
    <row r="287" spans="1:77" ht="24.75" customHeight="1" x14ac:dyDescent="0.2">
      <c r="A287" s="133"/>
      <c r="B287" s="67"/>
      <c r="C287" s="67"/>
      <c r="D287" s="67"/>
      <c r="E287" s="67"/>
      <c r="F287" s="141">
        <v>4102</v>
      </c>
      <c r="G287" s="65" t="s">
        <v>815</v>
      </c>
      <c r="H287" s="179"/>
      <c r="I287" s="179"/>
      <c r="J287" s="140"/>
      <c r="K287" s="139"/>
      <c r="L287" s="140"/>
      <c r="M287" s="140"/>
      <c r="N287" s="135"/>
      <c r="O287" s="141"/>
      <c r="P287" s="135"/>
      <c r="Q287" s="142"/>
      <c r="R287" s="141"/>
      <c r="S287" s="143"/>
      <c r="T287" s="135"/>
      <c r="U287" s="135"/>
      <c r="V287" s="149">
        <f t="shared" ref="V287:AI287" si="115">SUM(V288:V297)</f>
        <v>0</v>
      </c>
      <c r="W287" s="149">
        <f t="shared" si="115"/>
        <v>0</v>
      </c>
      <c r="X287" s="149">
        <f t="shared" si="115"/>
        <v>0</v>
      </c>
      <c r="Y287" s="149">
        <f t="shared" si="115"/>
        <v>0</v>
      </c>
      <c r="Z287" s="149">
        <f t="shared" si="115"/>
        <v>0</v>
      </c>
      <c r="AA287" s="149">
        <f t="shared" si="115"/>
        <v>0</v>
      </c>
      <c r="AB287" s="149">
        <f t="shared" si="115"/>
        <v>0</v>
      </c>
      <c r="AC287" s="149">
        <f t="shared" si="115"/>
        <v>0</v>
      </c>
      <c r="AD287" s="149">
        <f t="shared" si="115"/>
        <v>0</v>
      </c>
      <c r="AE287" s="149">
        <f t="shared" si="115"/>
        <v>0</v>
      </c>
      <c r="AF287" s="149">
        <f t="shared" si="115"/>
        <v>748000000</v>
      </c>
      <c r="AG287" s="149">
        <f t="shared" si="115"/>
        <v>0</v>
      </c>
      <c r="AH287" s="149">
        <f t="shared" si="115"/>
        <v>0</v>
      </c>
      <c r="AI287" s="149">
        <f t="shared" si="115"/>
        <v>748000000</v>
      </c>
      <c r="AJ287" s="149"/>
      <c r="AK287" s="149"/>
    </row>
    <row r="288" spans="1:77" ht="127.5" customHeight="1" x14ac:dyDescent="0.2">
      <c r="A288" s="133"/>
      <c r="B288" s="67"/>
      <c r="C288" s="67"/>
      <c r="D288" s="67"/>
      <c r="E288" s="67"/>
      <c r="F288" s="71"/>
      <c r="G288" s="212"/>
      <c r="H288" s="512" t="s">
        <v>816</v>
      </c>
      <c r="I288" s="66" t="s">
        <v>50</v>
      </c>
      <c r="J288" s="518" t="s">
        <v>817</v>
      </c>
      <c r="K288" s="74">
        <v>4102035</v>
      </c>
      <c r="L288" s="518" t="s">
        <v>99</v>
      </c>
      <c r="M288" s="66" t="s">
        <v>50</v>
      </c>
      <c r="N288" s="76" t="s">
        <v>818</v>
      </c>
      <c r="O288" s="187">
        <v>410203500</v>
      </c>
      <c r="P288" s="76" t="s">
        <v>101</v>
      </c>
      <c r="Q288" s="192" t="s">
        <v>55</v>
      </c>
      <c r="R288" s="187">
        <v>1</v>
      </c>
      <c r="S288" s="613" t="s">
        <v>819</v>
      </c>
      <c r="T288" s="614" t="s">
        <v>1414</v>
      </c>
      <c r="U288" s="606" t="s">
        <v>820</v>
      </c>
      <c r="V288" s="137"/>
      <c r="W288" s="137"/>
      <c r="X288" s="137"/>
      <c r="Y288" s="137"/>
      <c r="Z288" s="137"/>
      <c r="AA288" s="257"/>
      <c r="AB288" s="137"/>
      <c r="AC288" s="137"/>
      <c r="AD288" s="258"/>
      <c r="AE288" s="137"/>
      <c r="AF288" s="150">
        <v>20000000</v>
      </c>
      <c r="AG288" s="137"/>
      <c r="AH288" s="137"/>
      <c r="AI288" s="138">
        <f t="shared" ref="AI288:AI297" si="116">+V288+W288+X288+Y288+Z288+AA288+AB288+AC288+AD288+AE288+AF288+AG288+AH288</f>
        <v>20000000</v>
      </c>
      <c r="AJ288" s="138" t="s">
        <v>803</v>
      </c>
      <c r="AK288" s="59" t="s">
        <v>804</v>
      </c>
    </row>
    <row r="289" spans="1:37" ht="92.25" customHeight="1" x14ac:dyDescent="0.2">
      <c r="A289" s="55"/>
      <c r="B289" s="67"/>
      <c r="C289" s="67"/>
      <c r="D289" s="67"/>
      <c r="E289" s="67"/>
      <c r="F289" s="95"/>
      <c r="G289" s="99"/>
      <c r="H289" s="518" t="s">
        <v>821</v>
      </c>
      <c r="I289" s="66" t="s">
        <v>50</v>
      </c>
      <c r="J289" s="518" t="s">
        <v>822</v>
      </c>
      <c r="K289" s="431">
        <v>4102001</v>
      </c>
      <c r="L289" s="518" t="s">
        <v>823</v>
      </c>
      <c r="M289" s="66" t="s">
        <v>50</v>
      </c>
      <c r="N289" s="76" t="s">
        <v>824</v>
      </c>
      <c r="O289" s="74">
        <v>410200100</v>
      </c>
      <c r="P289" s="76" t="s">
        <v>825</v>
      </c>
      <c r="Q289" s="192" t="s">
        <v>55</v>
      </c>
      <c r="R289" s="187">
        <v>12</v>
      </c>
      <c r="S289" s="613"/>
      <c r="T289" s="614"/>
      <c r="U289" s="606"/>
      <c r="V289" s="137"/>
      <c r="W289" s="137"/>
      <c r="X289" s="137"/>
      <c r="Y289" s="137"/>
      <c r="Z289" s="137"/>
      <c r="AA289" s="257"/>
      <c r="AB289" s="137"/>
      <c r="AC289" s="137"/>
      <c r="AD289" s="258"/>
      <c r="AE289" s="137"/>
      <c r="AF289" s="150">
        <v>50000000</v>
      </c>
      <c r="AG289" s="137"/>
      <c r="AH289" s="137"/>
      <c r="AI289" s="138">
        <f t="shared" si="116"/>
        <v>50000000</v>
      </c>
      <c r="AJ289" s="138" t="s">
        <v>803</v>
      </c>
      <c r="AK289" s="59" t="s">
        <v>804</v>
      </c>
    </row>
    <row r="290" spans="1:37" ht="177.75" customHeight="1" x14ac:dyDescent="0.2">
      <c r="A290" s="133"/>
      <c r="B290" s="67"/>
      <c r="C290" s="67"/>
      <c r="D290" s="67"/>
      <c r="E290" s="67"/>
      <c r="F290" s="66"/>
      <c r="G290" s="517"/>
      <c r="H290" s="512" t="s">
        <v>826</v>
      </c>
      <c r="I290" s="66" t="s">
        <v>50</v>
      </c>
      <c r="J290" s="434" t="s">
        <v>827</v>
      </c>
      <c r="K290" s="433" t="s">
        <v>828</v>
      </c>
      <c r="L290" s="434" t="s">
        <v>829</v>
      </c>
      <c r="M290" s="66" t="s">
        <v>50</v>
      </c>
      <c r="N290" s="76" t="s">
        <v>830</v>
      </c>
      <c r="O290" s="264" t="s">
        <v>831</v>
      </c>
      <c r="P290" s="76" t="s">
        <v>832</v>
      </c>
      <c r="Q290" s="192" t="s">
        <v>55</v>
      </c>
      <c r="R290" s="187">
        <v>1</v>
      </c>
      <c r="S290" s="517" t="s">
        <v>833</v>
      </c>
      <c r="T290" s="510" t="s">
        <v>834</v>
      </c>
      <c r="U290" s="512" t="s">
        <v>835</v>
      </c>
      <c r="V290" s="137"/>
      <c r="W290" s="137"/>
      <c r="X290" s="137"/>
      <c r="Y290" s="137"/>
      <c r="Z290" s="137"/>
      <c r="AA290" s="257"/>
      <c r="AB290" s="137"/>
      <c r="AC290" s="137"/>
      <c r="AD290" s="258"/>
      <c r="AE290" s="137"/>
      <c r="AF290" s="150">
        <v>135000000</v>
      </c>
      <c r="AG290" s="137"/>
      <c r="AH290" s="137"/>
      <c r="AI290" s="138">
        <f t="shared" si="116"/>
        <v>135000000</v>
      </c>
      <c r="AJ290" s="138" t="s">
        <v>803</v>
      </c>
      <c r="AK290" s="59" t="s">
        <v>804</v>
      </c>
    </row>
    <row r="291" spans="1:37" ht="336" customHeight="1" x14ac:dyDescent="0.2">
      <c r="A291" s="133"/>
      <c r="B291" s="67"/>
      <c r="C291" s="67"/>
      <c r="D291" s="67"/>
      <c r="E291" s="67"/>
      <c r="F291" s="66"/>
      <c r="G291" s="212"/>
      <c r="H291" s="512" t="s">
        <v>836</v>
      </c>
      <c r="I291" s="66" t="s">
        <v>50</v>
      </c>
      <c r="J291" s="512" t="s">
        <v>837</v>
      </c>
      <c r="K291" s="432" t="s">
        <v>838</v>
      </c>
      <c r="L291" s="512" t="s">
        <v>99</v>
      </c>
      <c r="M291" s="66" t="s">
        <v>50</v>
      </c>
      <c r="N291" s="510" t="s">
        <v>839</v>
      </c>
      <c r="O291" s="69" t="s">
        <v>840</v>
      </c>
      <c r="P291" s="510" t="s">
        <v>841</v>
      </c>
      <c r="Q291" s="192" t="s">
        <v>71</v>
      </c>
      <c r="R291" s="192">
        <v>1</v>
      </c>
      <c r="S291" s="640" t="s">
        <v>842</v>
      </c>
      <c r="T291" s="617" t="s">
        <v>843</v>
      </c>
      <c r="U291" s="607" t="s">
        <v>844</v>
      </c>
      <c r="V291" s="137"/>
      <c r="W291" s="137"/>
      <c r="X291" s="137"/>
      <c r="Y291" s="137"/>
      <c r="Z291" s="137"/>
      <c r="AA291" s="257"/>
      <c r="AB291" s="137"/>
      <c r="AC291" s="137"/>
      <c r="AD291" s="258"/>
      <c r="AE291" s="137"/>
      <c r="AF291" s="150">
        <v>36000000</v>
      </c>
      <c r="AG291" s="137"/>
      <c r="AH291" s="137"/>
      <c r="AI291" s="138">
        <f t="shared" ref="AI291:AI292" si="117">+V291+W291+X291+Y291+Z291+AA291+AB291+AC291+AD291+AE291+AF291+AG291+AH291</f>
        <v>36000000</v>
      </c>
      <c r="AJ291" s="138" t="s">
        <v>803</v>
      </c>
      <c r="AK291" s="59" t="s">
        <v>804</v>
      </c>
    </row>
    <row r="292" spans="1:37" ht="282" customHeight="1" x14ac:dyDescent="0.2">
      <c r="A292" s="133"/>
      <c r="B292" s="67"/>
      <c r="C292" s="67"/>
      <c r="D292" s="67"/>
      <c r="E292" s="67"/>
      <c r="F292" s="66"/>
      <c r="G292" s="212"/>
      <c r="H292" s="512" t="s">
        <v>836</v>
      </c>
      <c r="I292" s="66" t="s">
        <v>50</v>
      </c>
      <c r="J292" s="512" t="s">
        <v>845</v>
      </c>
      <c r="K292" s="408" t="s">
        <v>828</v>
      </c>
      <c r="L292" s="512" t="s">
        <v>846</v>
      </c>
      <c r="M292" s="66" t="s">
        <v>50</v>
      </c>
      <c r="N292" s="510" t="s">
        <v>847</v>
      </c>
      <c r="O292" s="69">
        <v>410204301</v>
      </c>
      <c r="P292" s="510" t="s">
        <v>848</v>
      </c>
      <c r="Q292" s="192" t="s">
        <v>55</v>
      </c>
      <c r="R292" s="192">
        <v>1</v>
      </c>
      <c r="S292" s="641"/>
      <c r="T292" s="618"/>
      <c r="U292" s="608"/>
      <c r="V292" s="137"/>
      <c r="W292" s="137"/>
      <c r="X292" s="137"/>
      <c r="Y292" s="137"/>
      <c r="Z292" s="137"/>
      <c r="AA292" s="257"/>
      <c r="AB292" s="137"/>
      <c r="AC292" s="137"/>
      <c r="AD292" s="258"/>
      <c r="AE292" s="137"/>
      <c r="AF292" s="150">
        <v>204000000</v>
      </c>
      <c r="AG292" s="137"/>
      <c r="AH292" s="137"/>
      <c r="AI292" s="138">
        <f t="shared" si="117"/>
        <v>204000000</v>
      </c>
      <c r="AJ292" s="138" t="s">
        <v>803</v>
      </c>
      <c r="AK292" s="59" t="s">
        <v>804</v>
      </c>
    </row>
    <row r="293" spans="1:37" s="1" customFormat="1" ht="258" customHeight="1" x14ac:dyDescent="0.2">
      <c r="A293" s="133"/>
      <c r="B293" s="67"/>
      <c r="C293" s="67"/>
      <c r="D293" s="67"/>
      <c r="E293" s="67"/>
      <c r="F293" s="66"/>
      <c r="G293" s="212"/>
      <c r="H293" s="512" t="s">
        <v>849</v>
      </c>
      <c r="I293" s="66" t="s">
        <v>50</v>
      </c>
      <c r="J293" s="512" t="s">
        <v>850</v>
      </c>
      <c r="K293" s="69">
        <v>4102038</v>
      </c>
      <c r="L293" s="512" t="s">
        <v>851</v>
      </c>
      <c r="M293" s="66" t="s">
        <v>50</v>
      </c>
      <c r="N293" s="512" t="s">
        <v>852</v>
      </c>
      <c r="O293" s="69">
        <v>410203800</v>
      </c>
      <c r="P293" s="512" t="s">
        <v>880</v>
      </c>
      <c r="Q293" s="192" t="s">
        <v>55</v>
      </c>
      <c r="R293" s="192">
        <v>1</v>
      </c>
      <c r="S293" s="517" t="s">
        <v>853</v>
      </c>
      <c r="T293" s="510" t="s">
        <v>854</v>
      </c>
      <c r="U293" s="512" t="s">
        <v>855</v>
      </c>
      <c r="V293" s="137"/>
      <c r="W293" s="137"/>
      <c r="X293" s="137"/>
      <c r="Y293" s="137"/>
      <c r="Z293" s="137"/>
      <c r="AA293" s="257"/>
      <c r="AB293" s="137"/>
      <c r="AC293" s="137"/>
      <c r="AD293" s="258"/>
      <c r="AE293" s="137"/>
      <c r="AF293" s="150">
        <v>210000000</v>
      </c>
      <c r="AG293" s="137"/>
      <c r="AH293" s="137"/>
      <c r="AI293" s="138">
        <f t="shared" si="116"/>
        <v>210000000</v>
      </c>
      <c r="AJ293" s="138" t="s">
        <v>803</v>
      </c>
      <c r="AK293" s="59" t="s">
        <v>804</v>
      </c>
    </row>
    <row r="294" spans="1:37" ht="189.75" customHeight="1" x14ac:dyDescent="0.2">
      <c r="A294" s="133"/>
      <c r="B294" s="67"/>
      <c r="C294" s="67"/>
      <c r="D294" s="67"/>
      <c r="E294" s="67"/>
      <c r="F294" s="66"/>
      <c r="G294" s="212"/>
      <c r="H294" s="512" t="s">
        <v>856</v>
      </c>
      <c r="I294" s="66" t="s">
        <v>50</v>
      </c>
      <c r="J294" s="512" t="s">
        <v>857</v>
      </c>
      <c r="K294" s="69">
        <v>4102042</v>
      </c>
      <c r="L294" s="512" t="s">
        <v>858</v>
      </c>
      <c r="M294" s="66" t="s">
        <v>50</v>
      </c>
      <c r="N294" s="510" t="s">
        <v>859</v>
      </c>
      <c r="O294" s="69">
        <v>410204200</v>
      </c>
      <c r="P294" s="510" t="s">
        <v>860</v>
      </c>
      <c r="Q294" s="192" t="s">
        <v>55</v>
      </c>
      <c r="R294" s="187">
        <v>12</v>
      </c>
      <c r="S294" s="519" t="s">
        <v>861</v>
      </c>
      <c r="T294" s="85" t="s">
        <v>862</v>
      </c>
      <c r="U294" s="87" t="s">
        <v>863</v>
      </c>
      <c r="V294" s="137"/>
      <c r="W294" s="137"/>
      <c r="X294" s="137"/>
      <c r="Y294" s="137"/>
      <c r="Z294" s="137"/>
      <c r="AA294" s="257"/>
      <c r="AB294" s="137"/>
      <c r="AC294" s="137"/>
      <c r="AD294" s="258"/>
      <c r="AE294" s="137"/>
      <c r="AF294" s="150">
        <v>18000000</v>
      </c>
      <c r="AG294" s="137"/>
      <c r="AH294" s="137"/>
      <c r="AI294" s="138">
        <f t="shared" si="116"/>
        <v>18000000</v>
      </c>
      <c r="AJ294" s="138" t="s">
        <v>803</v>
      </c>
      <c r="AK294" s="59" t="s">
        <v>804</v>
      </c>
    </row>
    <row r="295" spans="1:37" ht="116.25" customHeight="1" x14ac:dyDescent="0.2">
      <c r="A295" s="133"/>
      <c r="B295" s="67"/>
      <c r="C295" s="67"/>
      <c r="D295" s="67"/>
      <c r="E295" s="67"/>
      <c r="F295" s="66"/>
      <c r="G295" s="212"/>
      <c r="H295" s="512" t="s">
        <v>864</v>
      </c>
      <c r="I295" s="66" t="s">
        <v>50</v>
      </c>
      <c r="J295" s="94" t="s">
        <v>865</v>
      </c>
      <c r="K295" s="74">
        <v>4102001</v>
      </c>
      <c r="L295" s="94" t="s">
        <v>866</v>
      </c>
      <c r="M295" s="66" t="s">
        <v>50</v>
      </c>
      <c r="N295" s="93" t="s">
        <v>867</v>
      </c>
      <c r="O295" s="74">
        <v>410200100</v>
      </c>
      <c r="P295" s="93" t="s">
        <v>868</v>
      </c>
      <c r="Q295" s="192" t="s">
        <v>55</v>
      </c>
      <c r="R295" s="187">
        <v>1</v>
      </c>
      <c r="S295" s="612" t="s">
        <v>869</v>
      </c>
      <c r="T295" s="633" t="s">
        <v>870</v>
      </c>
      <c r="U295" s="633" t="s">
        <v>871</v>
      </c>
      <c r="V295" s="137"/>
      <c r="W295" s="137"/>
      <c r="X295" s="137"/>
      <c r="Y295" s="137"/>
      <c r="Z295" s="137"/>
      <c r="AA295" s="257"/>
      <c r="AB295" s="137"/>
      <c r="AC295" s="137"/>
      <c r="AD295" s="258"/>
      <c r="AE295" s="137"/>
      <c r="AF295" s="150">
        <v>20000000</v>
      </c>
      <c r="AG295" s="137"/>
      <c r="AH295" s="137"/>
      <c r="AI295" s="138">
        <f t="shared" si="116"/>
        <v>20000000</v>
      </c>
      <c r="AJ295" s="138" t="s">
        <v>803</v>
      </c>
      <c r="AK295" s="59" t="s">
        <v>804</v>
      </c>
    </row>
    <row r="296" spans="1:37" ht="248.25" customHeight="1" x14ac:dyDescent="0.2">
      <c r="A296" s="133"/>
      <c r="B296" s="67"/>
      <c r="C296" s="67"/>
      <c r="D296" s="67"/>
      <c r="E296" s="67"/>
      <c r="F296" s="66"/>
      <c r="G296" s="212"/>
      <c r="H296" s="512" t="s">
        <v>872</v>
      </c>
      <c r="I296" s="66">
        <v>4102022</v>
      </c>
      <c r="J296" s="108" t="s">
        <v>873</v>
      </c>
      <c r="K296" s="102">
        <v>4102046</v>
      </c>
      <c r="L296" s="108" t="s">
        <v>874</v>
      </c>
      <c r="M296" s="84" t="s">
        <v>875</v>
      </c>
      <c r="N296" s="103" t="s">
        <v>876</v>
      </c>
      <c r="O296" s="102">
        <v>410204600</v>
      </c>
      <c r="P296" s="103" t="s">
        <v>877</v>
      </c>
      <c r="Q296" s="192" t="s">
        <v>71</v>
      </c>
      <c r="R296" s="187">
        <v>16</v>
      </c>
      <c r="S296" s="612"/>
      <c r="T296" s="633"/>
      <c r="U296" s="633"/>
      <c r="V296" s="137"/>
      <c r="W296" s="137"/>
      <c r="X296" s="137"/>
      <c r="Y296" s="137"/>
      <c r="Z296" s="137"/>
      <c r="AA296" s="257"/>
      <c r="AB296" s="137"/>
      <c r="AC296" s="137"/>
      <c r="AD296" s="258"/>
      <c r="AE296" s="137"/>
      <c r="AF296" s="150">
        <v>18000000</v>
      </c>
      <c r="AG296" s="137"/>
      <c r="AH296" s="137"/>
      <c r="AI296" s="138">
        <f t="shared" si="116"/>
        <v>18000000</v>
      </c>
      <c r="AJ296" s="138" t="s">
        <v>803</v>
      </c>
      <c r="AK296" s="59" t="s">
        <v>804</v>
      </c>
    </row>
    <row r="297" spans="1:37" ht="174" customHeight="1" x14ac:dyDescent="0.2">
      <c r="A297" s="133"/>
      <c r="B297" s="67"/>
      <c r="C297" s="67"/>
      <c r="D297" s="67"/>
      <c r="E297" s="67"/>
      <c r="F297" s="66"/>
      <c r="G297" s="212"/>
      <c r="H297" s="512" t="s">
        <v>878</v>
      </c>
      <c r="I297" s="66">
        <v>4102038</v>
      </c>
      <c r="J297" s="512" t="s">
        <v>879</v>
      </c>
      <c r="K297" s="66">
        <v>4102038</v>
      </c>
      <c r="L297" s="512" t="s">
        <v>879</v>
      </c>
      <c r="M297" s="88">
        <v>410203800</v>
      </c>
      <c r="N297" s="76" t="s">
        <v>880</v>
      </c>
      <c r="O297" s="88">
        <v>410203800</v>
      </c>
      <c r="P297" s="76" t="s">
        <v>880</v>
      </c>
      <c r="Q297" s="192" t="s">
        <v>71</v>
      </c>
      <c r="R297" s="187">
        <v>10</v>
      </c>
      <c r="S297" s="519" t="s">
        <v>881</v>
      </c>
      <c r="T297" s="85" t="s">
        <v>882</v>
      </c>
      <c r="U297" s="87" t="s">
        <v>883</v>
      </c>
      <c r="V297" s="137"/>
      <c r="W297" s="137"/>
      <c r="X297" s="137"/>
      <c r="Y297" s="137"/>
      <c r="Z297" s="137"/>
      <c r="AA297" s="257"/>
      <c r="AB297" s="137"/>
      <c r="AC297" s="137"/>
      <c r="AD297" s="258"/>
      <c r="AE297" s="137"/>
      <c r="AF297" s="150">
        <v>37000000</v>
      </c>
      <c r="AG297" s="137"/>
      <c r="AH297" s="137"/>
      <c r="AI297" s="138">
        <f t="shared" si="116"/>
        <v>37000000</v>
      </c>
      <c r="AJ297" s="138" t="s">
        <v>803</v>
      </c>
      <c r="AK297" s="59" t="s">
        <v>804</v>
      </c>
    </row>
    <row r="298" spans="1:37" ht="30" customHeight="1" x14ac:dyDescent="0.2">
      <c r="A298" s="133"/>
      <c r="B298" s="67"/>
      <c r="C298" s="67"/>
      <c r="D298" s="67"/>
      <c r="E298" s="67"/>
      <c r="F298" s="141">
        <v>4103</v>
      </c>
      <c r="G298" s="65" t="s">
        <v>322</v>
      </c>
      <c r="H298" s="179"/>
      <c r="I298" s="179"/>
      <c r="J298" s="140"/>
      <c r="K298" s="139"/>
      <c r="L298" s="140"/>
      <c r="M298" s="140"/>
      <c r="N298" s="135"/>
      <c r="O298" s="141"/>
      <c r="P298" s="135"/>
      <c r="Q298" s="142"/>
      <c r="R298" s="141"/>
      <c r="S298" s="143"/>
      <c r="T298" s="135"/>
      <c r="U298" s="135"/>
      <c r="V298" s="149">
        <f>SUM(V299:V305)</f>
        <v>0</v>
      </c>
      <c r="W298" s="149">
        <f t="shared" ref="W298:AH298" si="118">SUM(W299:W305)</f>
        <v>0</v>
      </c>
      <c r="X298" s="149">
        <f t="shared" si="118"/>
        <v>0</v>
      </c>
      <c r="Y298" s="149">
        <f t="shared" si="118"/>
        <v>0</v>
      </c>
      <c r="Z298" s="149">
        <f t="shared" si="118"/>
        <v>0</v>
      </c>
      <c r="AA298" s="265">
        <f t="shared" si="118"/>
        <v>0</v>
      </c>
      <c r="AB298" s="149">
        <f t="shared" si="118"/>
        <v>0</v>
      </c>
      <c r="AC298" s="149">
        <f t="shared" si="118"/>
        <v>0</v>
      </c>
      <c r="AD298" s="266">
        <f t="shared" si="118"/>
        <v>0</v>
      </c>
      <c r="AE298" s="149">
        <f t="shared" si="118"/>
        <v>0</v>
      </c>
      <c r="AF298" s="149">
        <f>SUM(AF299:AF305)</f>
        <v>175000000</v>
      </c>
      <c r="AG298" s="149">
        <f t="shared" si="118"/>
        <v>0</v>
      </c>
      <c r="AH298" s="149">
        <f t="shared" si="118"/>
        <v>0</v>
      </c>
      <c r="AI298" s="149">
        <f>SUM(AI299:AI305)</f>
        <v>175000000</v>
      </c>
      <c r="AJ298" s="149"/>
      <c r="AK298" s="149"/>
    </row>
    <row r="299" spans="1:37" ht="141" customHeight="1" x14ac:dyDescent="0.2">
      <c r="A299" s="133"/>
      <c r="B299" s="92"/>
      <c r="C299" s="92"/>
      <c r="D299" s="92"/>
      <c r="E299" s="92"/>
      <c r="F299" s="66"/>
      <c r="G299" s="212"/>
      <c r="H299" s="512" t="s">
        <v>884</v>
      </c>
      <c r="I299" s="69">
        <v>4103059</v>
      </c>
      <c r="J299" s="512" t="s">
        <v>885</v>
      </c>
      <c r="K299" s="69">
        <v>4103059</v>
      </c>
      <c r="L299" s="512" t="s">
        <v>885</v>
      </c>
      <c r="M299" s="192">
        <v>410305900</v>
      </c>
      <c r="N299" s="76" t="s">
        <v>886</v>
      </c>
      <c r="O299" s="192">
        <v>410305900</v>
      </c>
      <c r="P299" s="76" t="s">
        <v>886</v>
      </c>
      <c r="Q299" s="88" t="s">
        <v>71</v>
      </c>
      <c r="R299" s="96">
        <v>10</v>
      </c>
      <c r="S299" s="517" t="s">
        <v>887</v>
      </c>
      <c r="T299" s="512" t="s">
        <v>888</v>
      </c>
      <c r="U299" s="512" t="s">
        <v>889</v>
      </c>
      <c r="V299" s="137"/>
      <c r="W299" s="137"/>
      <c r="X299" s="137"/>
      <c r="Y299" s="137"/>
      <c r="Z299" s="137"/>
      <c r="AA299" s="257"/>
      <c r="AB299" s="137"/>
      <c r="AC299" s="137"/>
      <c r="AD299" s="258"/>
      <c r="AE299" s="137"/>
      <c r="AF299" s="150">
        <v>15000000</v>
      </c>
      <c r="AG299" s="137"/>
      <c r="AH299" s="137"/>
      <c r="AI299" s="138">
        <f t="shared" ref="AI299:AI311" si="119">+V299+W299+X299+Y299+Z299+AA299+AB299+AC299+AD299+AE299+AF299+AG299+AH299</f>
        <v>15000000</v>
      </c>
      <c r="AJ299" s="138" t="s">
        <v>803</v>
      </c>
      <c r="AK299" s="59" t="s">
        <v>804</v>
      </c>
    </row>
    <row r="300" spans="1:37" ht="150.75" customHeight="1" x14ac:dyDescent="0.2">
      <c r="A300" s="133"/>
      <c r="B300" s="67"/>
      <c r="C300" s="67"/>
      <c r="D300" s="67"/>
      <c r="E300" s="67"/>
      <c r="F300" s="66"/>
      <c r="G300" s="212"/>
      <c r="H300" s="512" t="s">
        <v>890</v>
      </c>
      <c r="I300" s="66">
        <v>4103052</v>
      </c>
      <c r="J300" s="512" t="s">
        <v>325</v>
      </c>
      <c r="K300" s="66">
        <v>4103052</v>
      </c>
      <c r="L300" s="512" t="s">
        <v>325</v>
      </c>
      <c r="M300" s="88">
        <v>410305202</v>
      </c>
      <c r="N300" s="76" t="s">
        <v>891</v>
      </c>
      <c r="O300" s="88">
        <v>410305202</v>
      </c>
      <c r="P300" s="76" t="s">
        <v>892</v>
      </c>
      <c r="Q300" s="88" t="s">
        <v>55</v>
      </c>
      <c r="R300" s="96">
        <v>1</v>
      </c>
      <c r="S300" s="517" t="s">
        <v>893</v>
      </c>
      <c r="T300" s="512" t="s">
        <v>894</v>
      </c>
      <c r="U300" s="512" t="s">
        <v>895</v>
      </c>
      <c r="V300" s="137"/>
      <c r="W300" s="137"/>
      <c r="X300" s="137"/>
      <c r="Y300" s="137"/>
      <c r="Z300" s="137"/>
      <c r="AA300" s="257"/>
      <c r="AB300" s="137"/>
      <c r="AC300" s="137"/>
      <c r="AD300" s="258"/>
      <c r="AE300" s="137"/>
      <c r="AF300" s="150">
        <v>20000000</v>
      </c>
      <c r="AG300" s="137"/>
      <c r="AH300" s="137"/>
      <c r="AI300" s="138">
        <f t="shared" si="119"/>
        <v>20000000</v>
      </c>
      <c r="AJ300" s="138" t="s">
        <v>803</v>
      </c>
      <c r="AK300" s="59" t="s">
        <v>804</v>
      </c>
    </row>
    <row r="301" spans="1:37" ht="271.5" customHeight="1" x14ac:dyDescent="0.2">
      <c r="A301" s="133"/>
      <c r="B301" s="67"/>
      <c r="C301" s="67"/>
      <c r="D301" s="67"/>
      <c r="E301" s="67"/>
      <c r="F301" s="66"/>
      <c r="G301" s="212"/>
      <c r="H301" s="512" t="s">
        <v>872</v>
      </c>
      <c r="I301" s="66">
        <v>4103050</v>
      </c>
      <c r="J301" s="512" t="s">
        <v>896</v>
      </c>
      <c r="K301" s="66">
        <v>4103050</v>
      </c>
      <c r="L301" s="512" t="s">
        <v>896</v>
      </c>
      <c r="M301" s="88">
        <v>410305001</v>
      </c>
      <c r="N301" s="76" t="s">
        <v>897</v>
      </c>
      <c r="O301" s="88">
        <v>410305001</v>
      </c>
      <c r="P301" s="76" t="s">
        <v>897</v>
      </c>
      <c r="Q301" s="88" t="s">
        <v>55</v>
      </c>
      <c r="R301" s="96">
        <v>12</v>
      </c>
      <c r="S301" s="517" t="s">
        <v>898</v>
      </c>
      <c r="T301" s="512" t="s">
        <v>899</v>
      </c>
      <c r="U301" s="512" t="s">
        <v>900</v>
      </c>
      <c r="V301" s="137"/>
      <c r="W301" s="137"/>
      <c r="X301" s="137"/>
      <c r="Y301" s="137"/>
      <c r="Z301" s="137"/>
      <c r="AA301" s="257"/>
      <c r="AB301" s="137"/>
      <c r="AC301" s="137"/>
      <c r="AD301" s="258"/>
      <c r="AE301" s="137"/>
      <c r="AF301" s="150">
        <v>25000000</v>
      </c>
      <c r="AG301" s="137"/>
      <c r="AH301" s="137"/>
      <c r="AI301" s="138">
        <f t="shared" si="119"/>
        <v>25000000</v>
      </c>
      <c r="AJ301" s="138" t="s">
        <v>803</v>
      </c>
      <c r="AK301" s="59" t="s">
        <v>804</v>
      </c>
    </row>
    <row r="302" spans="1:37" ht="149.25" customHeight="1" x14ac:dyDescent="0.2">
      <c r="A302" s="133"/>
      <c r="B302" s="67"/>
      <c r="C302" s="67"/>
      <c r="D302" s="67"/>
      <c r="E302" s="67"/>
      <c r="F302" s="66"/>
      <c r="G302" s="212"/>
      <c r="H302" s="512" t="s">
        <v>901</v>
      </c>
      <c r="I302" s="69">
        <v>4103058</v>
      </c>
      <c r="J302" s="512" t="s">
        <v>902</v>
      </c>
      <c r="K302" s="69">
        <v>4103058</v>
      </c>
      <c r="L302" s="512" t="s">
        <v>902</v>
      </c>
      <c r="M302" s="192">
        <v>410305800</v>
      </c>
      <c r="N302" s="76" t="s">
        <v>903</v>
      </c>
      <c r="O302" s="192">
        <v>410305800</v>
      </c>
      <c r="P302" s="76" t="s">
        <v>903</v>
      </c>
      <c r="Q302" s="88" t="s">
        <v>71</v>
      </c>
      <c r="R302" s="96">
        <v>2</v>
      </c>
      <c r="S302" s="517" t="s">
        <v>904</v>
      </c>
      <c r="T302" s="512" t="s">
        <v>905</v>
      </c>
      <c r="U302" s="512" t="s">
        <v>906</v>
      </c>
      <c r="V302" s="137"/>
      <c r="W302" s="137"/>
      <c r="X302" s="137"/>
      <c r="Y302" s="137"/>
      <c r="Z302" s="137"/>
      <c r="AA302" s="257"/>
      <c r="AB302" s="137"/>
      <c r="AC302" s="137"/>
      <c r="AD302" s="258"/>
      <c r="AE302" s="137"/>
      <c r="AF302" s="150">
        <v>28000000</v>
      </c>
      <c r="AG302" s="137"/>
      <c r="AH302" s="137"/>
      <c r="AI302" s="138">
        <f t="shared" si="119"/>
        <v>28000000</v>
      </c>
      <c r="AJ302" s="138" t="s">
        <v>803</v>
      </c>
      <c r="AK302" s="59" t="s">
        <v>804</v>
      </c>
    </row>
    <row r="303" spans="1:37" ht="96" customHeight="1" x14ac:dyDescent="0.2">
      <c r="A303" s="133"/>
      <c r="B303" s="67"/>
      <c r="C303" s="67"/>
      <c r="D303" s="67"/>
      <c r="E303" s="67"/>
      <c r="F303" s="66"/>
      <c r="G303" s="212"/>
      <c r="H303" s="520" t="s">
        <v>907</v>
      </c>
      <c r="I303" s="66" t="s">
        <v>50</v>
      </c>
      <c r="J303" s="518" t="s">
        <v>908</v>
      </c>
      <c r="K303" s="74">
        <v>4103060</v>
      </c>
      <c r="L303" s="518" t="s">
        <v>909</v>
      </c>
      <c r="M303" s="66" t="s">
        <v>50</v>
      </c>
      <c r="N303" s="76" t="s">
        <v>910</v>
      </c>
      <c r="O303" s="74">
        <v>410306000</v>
      </c>
      <c r="P303" s="76" t="s">
        <v>911</v>
      </c>
      <c r="Q303" s="88" t="s">
        <v>71</v>
      </c>
      <c r="R303" s="96">
        <v>5</v>
      </c>
      <c r="S303" s="612" t="s">
        <v>912</v>
      </c>
      <c r="T303" s="606" t="s">
        <v>913</v>
      </c>
      <c r="U303" s="606" t="s">
        <v>914</v>
      </c>
      <c r="V303" s="137"/>
      <c r="W303" s="137"/>
      <c r="X303" s="137"/>
      <c r="Y303" s="137"/>
      <c r="Z303" s="137"/>
      <c r="AA303" s="257"/>
      <c r="AB303" s="137"/>
      <c r="AC303" s="137"/>
      <c r="AD303" s="258"/>
      <c r="AE303" s="137"/>
      <c r="AF303" s="150">
        <v>27000000</v>
      </c>
      <c r="AG303" s="137"/>
      <c r="AH303" s="137"/>
      <c r="AI303" s="138">
        <f t="shared" si="119"/>
        <v>27000000</v>
      </c>
      <c r="AJ303" s="138" t="s">
        <v>803</v>
      </c>
      <c r="AK303" s="59" t="s">
        <v>804</v>
      </c>
    </row>
    <row r="304" spans="1:37" ht="87" customHeight="1" x14ac:dyDescent="0.2">
      <c r="A304" s="133"/>
      <c r="B304" s="67"/>
      <c r="C304" s="67"/>
      <c r="D304" s="67"/>
      <c r="E304" s="67"/>
      <c r="F304" s="66"/>
      <c r="G304" s="212"/>
      <c r="H304" s="520" t="s">
        <v>915</v>
      </c>
      <c r="I304" s="66" t="s">
        <v>50</v>
      </c>
      <c r="J304" s="518" t="s">
        <v>916</v>
      </c>
      <c r="K304" s="74">
        <v>4103060</v>
      </c>
      <c r="L304" s="518" t="s">
        <v>909</v>
      </c>
      <c r="M304" s="66" t="s">
        <v>50</v>
      </c>
      <c r="N304" s="510" t="s">
        <v>917</v>
      </c>
      <c r="O304" s="74">
        <v>410306000</v>
      </c>
      <c r="P304" s="510" t="s">
        <v>911</v>
      </c>
      <c r="Q304" s="88" t="s">
        <v>55</v>
      </c>
      <c r="R304" s="96">
        <v>2</v>
      </c>
      <c r="S304" s="612"/>
      <c r="T304" s="606"/>
      <c r="U304" s="606"/>
      <c r="V304" s="137"/>
      <c r="W304" s="137"/>
      <c r="X304" s="137"/>
      <c r="Y304" s="137"/>
      <c r="Z304" s="137"/>
      <c r="AA304" s="257"/>
      <c r="AB304" s="137"/>
      <c r="AC304" s="137"/>
      <c r="AD304" s="258"/>
      <c r="AE304" s="137"/>
      <c r="AF304" s="150">
        <v>20000000</v>
      </c>
      <c r="AG304" s="137"/>
      <c r="AH304" s="137"/>
      <c r="AI304" s="138">
        <f t="shared" si="119"/>
        <v>20000000</v>
      </c>
      <c r="AJ304" s="138" t="s">
        <v>803</v>
      </c>
      <c r="AK304" s="59" t="s">
        <v>804</v>
      </c>
    </row>
    <row r="305" spans="1:77" ht="152.25" customHeight="1" x14ac:dyDescent="0.2">
      <c r="A305" s="133"/>
      <c r="B305" s="67"/>
      <c r="C305" s="67"/>
      <c r="D305" s="67"/>
      <c r="E305" s="67"/>
      <c r="F305" s="66"/>
      <c r="G305" s="212"/>
      <c r="H305" s="512" t="s">
        <v>918</v>
      </c>
      <c r="I305" s="66" t="s">
        <v>50</v>
      </c>
      <c r="J305" s="512" t="s">
        <v>919</v>
      </c>
      <c r="K305" s="69">
        <v>4103052</v>
      </c>
      <c r="L305" s="512" t="s">
        <v>325</v>
      </c>
      <c r="M305" s="66" t="s">
        <v>50</v>
      </c>
      <c r="N305" s="76" t="s">
        <v>920</v>
      </c>
      <c r="O305" s="69">
        <v>410305202</v>
      </c>
      <c r="P305" s="76" t="s">
        <v>891</v>
      </c>
      <c r="Q305" s="88" t="s">
        <v>55</v>
      </c>
      <c r="R305" s="88">
        <v>1</v>
      </c>
      <c r="S305" s="517" t="s">
        <v>921</v>
      </c>
      <c r="T305" s="512" t="s">
        <v>922</v>
      </c>
      <c r="U305" s="512" t="s">
        <v>923</v>
      </c>
      <c r="V305" s="137"/>
      <c r="W305" s="137"/>
      <c r="X305" s="137"/>
      <c r="Y305" s="137"/>
      <c r="Z305" s="137"/>
      <c r="AA305" s="257"/>
      <c r="AB305" s="137"/>
      <c r="AC305" s="137"/>
      <c r="AD305" s="258"/>
      <c r="AE305" s="137"/>
      <c r="AF305" s="150">
        <v>40000000</v>
      </c>
      <c r="AG305" s="137"/>
      <c r="AH305" s="137"/>
      <c r="AI305" s="138">
        <f t="shared" si="119"/>
        <v>40000000</v>
      </c>
      <c r="AJ305" s="138" t="s">
        <v>803</v>
      </c>
      <c r="AK305" s="59" t="s">
        <v>804</v>
      </c>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row>
    <row r="306" spans="1:77" ht="33.75" customHeight="1" x14ac:dyDescent="0.2">
      <c r="A306" s="133"/>
      <c r="B306" s="67"/>
      <c r="C306" s="67"/>
      <c r="D306" s="67"/>
      <c r="E306" s="67"/>
      <c r="F306" s="141">
        <v>4104</v>
      </c>
      <c r="G306" s="65" t="s">
        <v>924</v>
      </c>
      <c r="H306" s="179"/>
      <c r="I306" s="179"/>
      <c r="J306" s="140"/>
      <c r="K306" s="139"/>
      <c r="L306" s="140"/>
      <c r="M306" s="140"/>
      <c r="N306" s="135"/>
      <c r="O306" s="141"/>
      <c r="P306" s="135"/>
      <c r="Q306" s="267"/>
      <c r="R306" s="141"/>
      <c r="S306" s="143"/>
      <c r="T306" s="135"/>
      <c r="U306" s="135"/>
      <c r="V306" s="149">
        <f t="shared" ref="V306:AI306" si="120">SUM(V307:V311)</f>
        <v>3526539574</v>
      </c>
      <c r="W306" s="149">
        <f t="shared" si="120"/>
        <v>0</v>
      </c>
      <c r="X306" s="149">
        <f t="shared" si="120"/>
        <v>0</v>
      </c>
      <c r="Y306" s="149">
        <f t="shared" si="120"/>
        <v>0</v>
      </c>
      <c r="Z306" s="149">
        <f t="shared" si="120"/>
        <v>0</v>
      </c>
      <c r="AA306" s="265">
        <f t="shared" si="120"/>
        <v>0</v>
      </c>
      <c r="AB306" s="149">
        <f t="shared" si="120"/>
        <v>0</v>
      </c>
      <c r="AC306" s="149">
        <f t="shared" si="120"/>
        <v>0</v>
      </c>
      <c r="AD306" s="266">
        <f t="shared" si="120"/>
        <v>0</v>
      </c>
      <c r="AE306" s="149">
        <f t="shared" si="120"/>
        <v>0</v>
      </c>
      <c r="AF306" s="149">
        <f t="shared" si="120"/>
        <v>153000000</v>
      </c>
      <c r="AG306" s="149">
        <f t="shared" si="120"/>
        <v>0</v>
      </c>
      <c r="AH306" s="149">
        <f t="shared" si="120"/>
        <v>0</v>
      </c>
      <c r="AI306" s="149">
        <f t="shared" si="120"/>
        <v>3679539574</v>
      </c>
      <c r="AJ306" s="149"/>
      <c r="AK306" s="149"/>
    </row>
    <row r="307" spans="1:77" ht="152.25" customHeight="1" x14ac:dyDescent="0.2">
      <c r="A307" s="133"/>
      <c r="B307" s="67"/>
      <c r="C307" s="67"/>
      <c r="D307" s="67"/>
      <c r="E307" s="67"/>
      <c r="F307" s="66"/>
      <c r="G307" s="212"/>
      <c r="H307" s="512" t="s">
        <v>925</v>
      </c>
      <c r="I307" s="66">
        <v>4104035</v>
      </c>
      <c r="J307" s="518" t="s">
        <v>926</v>
      </c>
      <c r="K307" s="74">
        <v>4104020</v>
      </c>
      <c r="L307" s="518" t="s">
        <v>927</v>
      </c>
      <c r="M307" s="66">
        <v>410403500</v>
      </c>
      <c r="N307" s="510" t="s">
        <v>928</v>
      </c>
      <c r="O307" s="74">
        <v>410402000</v>
      </c>
      <c r="P307" s="510" t="s">
        <v>929</v>
      </c>
      <c r="Q307" s="88" t="s">
        <v>71</v>
      </c>
      <c r="R307" s="96">
        <v>50</v>
      </c>
      <c r="S307" s="612" t="s">
        <v>930</v>
      </c>
      <c r="T307" s="625" t="s">
        <v>931</v>
      </c>
      <c r="U307" s="606" t="s">
        <v>932</v>
      </c>
      <c r="V307" s="137"/>
      <c r="W307" s="137"/>
      <c r="X307" s="137"/>
      <c r="Y307" s="137"/>
      <c r="Z307" s="137"/>
      <c r="AA307" s="257"/>
      <c r="AB307" s="137"/>
      <c r="AC307" s="137"/>
      <c r="AD307" s="258"/>
      <c r="AE307" s="137"/>
      <c r="AF307" s="153">
        <f>25000000+54000000</f>
        <v>79000000</v>
      </c>
      <c r="AG307" s="137"/>
      <c r="AH307" s="137"/>
      <c r="AI307" s="138">
        <f t="shared" si="119"/>
        <v>79000000</v>
      </c>
      <c r="AJ307" s="138" t="s">
        <v>803</v>
      </c>
      <c r="AK307" s="59" t="s">
        <v>804</v>
      </c>
    </row>
    <row r="308" spans="1:77" ht="134.25" customHeight="1" x14ac:dyDescent="0.2">
      <c r="A308" s="133"/>
      <c r="B308" s="67"/>
      <c r="C308" s="67"/>
      <c r="D308" s="67"/>
      <c r="E308" s="67"/>
      <c r="F308" s="66"/>
      <c r="G308" s="212"/>
      <c r="H308" s="512" t="s">
        <v>933</v>
      </c>
      <c r="I308" s="66">
        <v>4104035</v>
      </c>
      <c r="J308" s="518" t="s">
        <v>926</v>
      </c>
      <c r="K308" s="74">
        <v>4104020</v>
      </c>
      <c r="L308" s="518" t="s">
        <v>927</v>
      </c>
      <c r="M308" s="66" t="s">
        <v>50</v>
      </c>
      <c r="N308" s="268" t="s">
        <v>934</v>
      </c>
      <c r="O308" s="74">
        <v>410402000</v>
      </c>
      <c r="P308" s="510" t="s">
        <v>929</v>
      </c>
      <c r="Q308" s="205" t="s">
        <v>55</v>
      </c>
      <c r="R308" s="96">
        <v>12</v>
      </c>
      <c r="S308" s="612"/>
      <c r="T308" s="625"/>
      <c r="U308" s="606"/>
      <c r="V308" s="137"/>
      <c r="W308" s="137"/>
      <c r="X308" s="137"/>
      <c r="Y308" s="137"/>
      <c r="Z308" s="137"/>
      <c r="AA308" s="257"/>
      <c r="AB308" s="137"/>
      <c r="AC308" s="137"/>
      <c r="AD308" s="258"/>
      <c r="AE308" s="137"/>
      <c r="AF308" s="150">
        <v>19000000</v>
      </c>
      <c r="AG308" s="137"/>
      <c r="AH308" s="137"/>
      <c r="AI308" s="138">
        <f t="shared" si="119"/>
        <v>19000000</v>
      </c>
      <c r="AJ308" s="138" t="s">
        <v>803</v>
      </c>
      <c r="AK308" s="59" t="s">
        <v>804</v>
      </c>
    </row>
    <row r="309" spans="1:77" ht="108.75" customHeight="1" x14ac:dyDescent="0.2">
      <c r="A309" s="133"/>
      <c r="B309" s="67"/>
      <c r="C309" s="67"/>
      <c r="D309" s="67"/>
      <c r="E309" s="67"/>
      <c r="F309" s="66"/>
      <c r="G309" s="212"/>
      <c r="H309" s="512" t="s">
        <v>935</v>
      </c>
      <c r="I309" s="430">
        <v>4104026</v>
      </c>
      <c r="J309" s="518" t="s">
        <v>936</v>
      </c>
      <c r="K309" s="74">
        <v>4104027</v>
      </c>
      <c r="L309" s="518" t="s">
        <v>937</v>
      </c>
      <c r="M309" s="66" t="s">
        <v>50</v>
      </c>
      <c r="N309" s="510" t="s">
        <v>938</v>
      </c>
      <c r="O309" s="74">
        <v>410402700</v>
      </c>
      <c r="P309" s="510" t="s">
        <v>939</v>
      </c>
      <c r="Q309" s="88" t="s">
        <v>55</v>
      </c>
      <c r="R309" s="96">
        <v>12</v>
      </c>
      <c r="S309" s="521" t="s">
        <v>940</v>
      </c>
      <c r="T309" s="512" t="s">
        <v>941</v>
      </c>
      <c r="U309" s="512" t="s">
        <v>942</v>
      </c>
      <c r="V309" s="137"/>
      <c r="W309" s="137"/>
      <c r="X309" s="137"/>
      <c r="Y309" s="137"/>
      <c r="Z309" s="137"/>
      <c r="AA309" s="257"/>
      <c r="AB309" s="137"/>
      <c r="AC309" s="137"/>
      <c r="AD309" s="258"/>
      <c r="AE309" s="137"/>
      <c r="AF309" s="150">
        <v>35000000</v>
      </c>
      <c r="AG309" s="137"/>
      <c r="AH309" s="137"/>
      <c r="AI309" s="138">
        <f t="shared" si="119"/>
        <v>35000000</v>
      </c>
      <c r="AJ309" s="138" t="s">
        <v>803</v>
      </c>
      <c r="AK309" s="59" t="s">
        <v>804</v>
      </c>
    </row>
    <row r="310" spans="1:77" ht="131.25" customHeight="1" x14ac:dyDescent="0.2">
      <c r="A310" s="133"/>
      <c r="B310" s="67"/>
      <c r="C310" s="67"/>
      <c r="D310" s="67"/>
      <c r="E310" s="67"/>
      <c r="F310" s="66"/>
      <c r="G310" s="517"/>
      <c r="H310" s="512" t="s">
        <v>943</v>
      </c>
      <c r="I310" s="86">
        <v>4104015</v>
      </c>
      <c r="J310" s="87" t="s">
        <v>944</v>
      </c>
      <c r="K310" s="86">
        <v>4104015</v>
      </c>
      <c r="L310" s="87" t="s">
        <v>945</v>
      </c>
      <c r="M310" s="192">
        <v>410401500</v>
      </c>
      <c r="N310" s="76" t="s">
        <v>946</v>
      </c>
      <c r="O310" s="192">
        <v>410401500</v>
      </c>
      <c r="P310" s="76" t="s">
        <v>947</v>
      </c>
      <c r="Q310" s="88" t="s">
        <v>55</v>
      </c>
      <c r="R310" s="96">
        <v>7500</v>
      </c>
      <c r="S310" s="640" t="s">
        <v>948</v>
      </c>
      <c r="T310" s="617" t="s">
        <v>949</v>
      </c>
      <c r="U310" s="628" t="s">
        <v>950</v>
      </c>
      <c r="V310" s="137"/>
      <c r="W310" s="137"/>
      <c r="X310" s="137"/>
      <c r="Y310" s="137"/>
      <c r="Z310" s="137"/>
      <c r="AA310" s="257"/>
      <c r="AB310" s="137"/>
      <c r="AC310" s="137"/>
      <c r="AD310" s="258"/>
      <c r="AE310" s="137"/>
      <c r="AF310" s="150">
        <v>20000000</v>
      </c>
      <c r="AG310" s="137"/>
      <c r="AH310" s="137"/>
      <c r="AI310" s="138">
        <f t="shared" si="119"/>
        <v>20000000</v>
      </c>
      <c r="AJ310" s="138" t="s">
        <v>803</v>
      </c>
      <c r="AK310" s="59" t="s">
        <v>804</v>
      </c>
    </row>
    <row r="311" spans="1:77" ht="203.25" customHeight="1" x14ac:dyDescent="0.2">
      <c r="A311" s="133"/>
      <c r="B311" s="67"/>
      <c r="C311" s="67"/>
      <c r="D311" s="67"/>
      <c r="E311" s="67"/>
      <c r="F311" s="66"/>
      <c r="G311" s="517"/>
      <c r="H311" s="512" t="s">
        <v>951</v>
      </c>
      <c r="I311" s="66" t="s">
        <v>50</v>
      </c>
      <c r="J311" s="108" t="s">
        <v>952</v>
      </c>
      <c r="K311" s="68">
        <v>4104008</v>
      </c>
      <c r="L311" s="108" t="s">
        <v>953</v>
      </c>
      <c r="M311" s="66" t="s">
        <v>50</v>
      </c>
      <c r="N311" s="268" t="s">
        <v>954</v>
      </c>
      <c r="O311" s="68">
        <v>410400800</v>
      </c>
      <c r="P311" s="268" t="s">
        <v>955</v>
      </c>
      <c r="Q311" s="517" t="s">
        <v>55</v>
      </c>
      <c r="R311" s="96">
        <v>12</v>
      </c>
      <c r="S311" s="641"/>
      <c r="T311" s="618"/>
      <c r="U311" s="628"/>
      <c r="V311" s="232">
        <f>1057961872+2468577702</f>
        <v>3526539574</v>
      </c>
      <c r="W311" s="269"/>
      <c r="X311" s="137"/>
      <c r="Y311" s="137"/>
      <c r="Z311" s="137"/>
      <c r="AA311" s="257"/>
      <c r="AB311" s="137"/>
      <c r="AC311" s="137"/>
      <c r="AD311" s="258"/>
      <c r="AE311" s="137"/>
      <c r="AF311" s="150">
        <v>0</v>
      </c>
      <c r="AG311" s="137"/>
      <c r="AH311" s="137"/>
      <c r="AI311" s="138">
        <f t="shared" si="119"/>
        <v>3526539574</v>
      </c>
      <c r="AJ311" s="138" t="s">
        <v>803</v>
      </c>
      <c r="AK311" s="59" t="s">
        <v>804</v>
      </c>
    </row>
    <row r="312" spans="1:77" ht="24.75" customHeight="1" x14ac:dyDescent="0.2">
      <c r="A312" s="133"/>
      <c r="B312" s="116">
        <v>2</v>
      </c>
      <c r="C312" s="116"/>
      <c r="D312" s="61" t="s">
        <v>421</v>
      </c>
      <c r="E312" s="163"/>
      <c r="F312" s="61"/>
      <c r="G312" s="61"/>
      <c r="H312" s="61"/>
      <c r="I312" s="61"/>
      <c r="J312" s="118"/>
      <c r="K312" s="117"/>
      <c r="L312" s="118"/>
      <c r="M312" s="118"/>
      <c r="N312" s="119"/>
      <c r="O312" s="116"/>
      <c r="P312" s="119"/>
      <c r="Q312" s="120"/>
      <c r="R312" s="116"/>
      <c r="S312" s="121"/>
      <c r="T312" s="118"/>
      <c r="U312" s="118"/>
      <c r="V312" s="122">
        <f>V313+V316</f>
        <v>0</v>
      </c>
      <c r="W312" s="122">
        <f t="shared" ref="W312:AH312" si="121">W313+W316</f>
        <v>0</v>
      </c>
      <c r="X312" s="122">
        <f t="shared" si="121"/>
        <v>0</v>
      </c>
      <c r="Y312" s="122">
        <f t="shared" si="121"/>
        <v>0</v>
      </c>
      <c r="Z312" s="122">
        <f t="shared" si="121"/>
        <v>0</v>
      </c>
      <c r="AA312" s="122">
        <f t="shared" si="121"/>
        <v>0</v>
      </c>
      <c r="AB312" s="122">
        <f t="shared" si="121"/>
        <v>0</v>
      </c>
      <c r="AC312" s="122">
        <f t="shared" si="121"/>
        <v>0</v>
      </c>
      <c r="AD312" s="122">
        <f t="shared" si="121"/>
        <v>0</v>
      </c>
      <c r="AE312" s="122">
        <f t="shared" si="121"/>
        <v>0</v>
      </c>
      <c r="AF312" s="122">
        <f t="shared" si="121"/>
        <v>36000000</v>
      </c>
      <c r="AG312" s="122">
        <f t="shared" si="121"/>
        <v>0</v>
      </c>
      <c r="AH312" s="122">
        <f t="shared" si="121"/>
        <v>0</v>
      </c>
      <c r="AI312" s="122">
        <f>AI313+AI316</f>
        <v>36000000</v>
      </c>
      <c r="AJ312" s="122"/>
      <c r="AK312" s="156"/>
    </row>
    <row r="313" spans="1:77" s="9" customFormat="1" ht="20.25" customHeight="1" x14ac:dyDescent="0.25">
      <c r="A313" s="115"/>
      <c r="B313" s="67"/>
      <c r="C313" s="67"/>
      <c r="D313" s="64">
        <v>17</v>
      </c>
      <c r="E313" s="62" t="s">
        <v>473</v>
      </c>
      <c r="F313" s="62"/>
      <c r="G313" s="123"/>
      <c r="H313" s="124"/>
      <c r="I313" s="124"/>
      <c r="J313" s="126"/>
      <c r="K313" s="125"/>
      <c r="L313" s="126"/>
      <c r="M313" s="126"/>
      <c r="N313" s="128"/>
      <c r="O313" s="127"/>
      <c r="P313" s="128"/>
      <c r="Q313" s="129"/>
      <c r="R313" s="127"/>
      <c r="S313" s="199"/>
      <c r="T313" s="131"/>
      <c r="U313" s="131"/>
      <c r="V313" s="132">
        <f>V314</f>
        <v>0</v>
      </c>
      <c r="W313" s="132">
        <f t="shared" ref="W313:AI313" si="122">W314</f>
        <v>0</v>
      </c>
      <c r="X313" s="132">
        <f t="shared" si="122"/>
        <v>0</v>
      </c>
      <c r="Y313" s="132">
        <f t="shared" si="122"/>
        <v>0</v>
      </c>
      <c r="Z313" s="132">
        <f t="shared" si="122"/>
        <v>0</v>
      </c>
      <c r="AA313" s="132">
        <f t="shared" si="122"/>
        <v>0</v>
      </c>
      <c r="AB313" s="132">
        <f t="shared" si="122"/>
        <v>0</v>
      </c>
      <c r="AC313" s="132">
        <f t="shared" si="122"/>
        <v>0</v>
      </c>
      <c r="AD313" s="132">
        <f t="shared" si="122"/>
        <v>0</v>
      </c>
      <c r="AE313" s="132">
        <f t="shared" si="122"/>
        <v>0</v>
      </c>
      <c r="AF313" s="132">
        <f t="shared" si="122"/>
        <v>18000000</v>
      </c>
      <c r="AG313" s="132">
        <f t="shared" si="122"/>
        <v>0</v>
      </c>
      <c r="AH313" s="132">
        <f t="shared" si="122"/>
        <v>0</v>
      </c>
      <c r="AI313" s="132">
        <f t="shared" si="122"/>
        <v>18000000</v>
      </c>
      <c r="AJ313" s="132"/>
      <c r="AK313" s="157"/>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row>
    <row r="314" spans="1:77" ht="25.5" customHeight="1" x14ac:dyDescent="0.2">
      <c r="A314" s="133"/>
      <c r="B314" s="67"/>
      <c r="C314" s="67"/>
      <c r="D314" s="67"/>
      <c r="E314" s="67"/>
      <c r="F314" s="141">
        <v>1702</v>
      </c>
      <c r="G314" s="65" t="s">
        <v>474</v>
      </c>
      <c r="H314" s="179"/>
      <c r="I314" s="179"/>
      <c r="J314" s="140"/>
      <c r="K314" s="139"/>
      <c r="L314" s="140"/>
      <c r="M314" s="140"/>
      <c r="N314" s="135"/>
      <c r="O314" s="141"/>
      <c r="P314" s="135"/>
      <c r="Q314" s="142"/>
      <c r="R314" s="141"/>
      <c r="S314" s="143"/>
      <c r="T314" s="140"/>
      <c r="U314" s="140"/>
      <c r="V314" s="149">
        <f t="shared" ref="V314:AI314" si="123">+V315</f>
        <v>0</v>
      </c>
      <c r="W314" s="149">
        <f t="shared" si="123"/>
        <v>0</v>
      </c>
      <c r="X314" s="149">
        <f t="shared" si="123"/>
        <v>0</v>
      </c>
      <c r="Y314" s="149">
        <f t="shared" si="123"/>
        <v>0</v>
      </c>
      <c r="Z314" s="149">
        <f t="shared" si="123"/>
        <v>0</v>
      </c>
      <c r="AA314" s="149">
        <f t="shared" si="123"/>
        <v>0</v>
      </c>
      <c r="AB314" s="149">
        <f t="shared" si="123"/>
        <v>0</v>
      </c>
      <c r="AC314" s="149">
        <f t="shared" si="123"/>
        <v>0</v>
      </c>
      <c r="AD314" s="149">
        <f t="shared" si="123"/>
        <v>0</v>
      </c>
      <c r="AE314" s="149">
        <f t="shared" si="123"/>
        <v>0</v>
      </c>
      <c r="AF314" s="149">
        <f t="shared" si="123"/>
        <v>18000000</v>
      </c>
      <c r="AG314" s="149">
        <f t="shared" si="123"/>
        <v>0</v>
      </c>
      <c r="AH314" s="149">
        <f t="shared" si="123"/>
        <v>0</v>
      </c>
      <c r="AI314" s="149">
        <f t="shared" si="123"/>
        <v>18000000</v>
      </c>
      <c r="AJ314" s="149"/>
      <c r="AK314" s="149"/>
    </row>
    <row r="315" spans="1:77" ht="135" customHeight="1" x14ac:dyDescent="0.2">
      <c r="A315" s="133"/>
      <c r="B315" s="67"/>
      <c r="C315" s="67"/>
      <c r="D315" s="67"/>
      <c r="E315" s="67"/>
      <c r="F315" s="66"/>
      <c r="G315" s="212"/>
      <c r="H315" s="512" t="s">
        <v>956</v>
      </c>
      <c r="I315" s="69">
        <v>1702011</v>
      </c>
      <c r="J315" s="512" t="s">
        <v>957</v>
      </c>
      <c r="K315" s="69">
        <v>1702011</v>
      </c>
      <c r="L315" s="512" t="s">
        <v>957</v>
      </c>
      <c r="M315" s="192" t="s">
        <v>958</v>
      </c>
      <c r="N315" s="76" t="s">
        <v>959</v>
      </c>
      <c r="O315" s="192" t="s">
        <v>958</v>
      </c>
      <c r="P315" s="76" t="s">
        <v>959</v>
      </c>
      <c r="Q315" s="233" t="s">
        <v>71</v>
      </c>
      <c r="R315" s="96">
        <v>4</v>
      </c>
      <c r="S315" s="517" t="s">
        <v>960</v>
      </c>
      <c r="T315" s="512" t="s">
        <v>961</v>
      </c>
      <c r="U315" s="512" t="s">
        <v>962</v>
      </c>
      <c r="V315" s="137"/>
      <c r="W315" s="137"/>
      <c r="X315" s="137"/>
      <c r="Y315" s="137"/>
      <c r="Z315" s="137"/>
      <c r="AA315" s="257"/>
      <c r="AB315" s="137"/>
      <c r="AC315" s="137"/>
      <c r="AD315" s="258"/>
      <c r="AE315" s="137"/>
      <c r="AF315" s="150">
        <v>18000000</v>
      </c>
      <c r="AG315" s="137"/>
      <c r="AH315" s="137"/>
      <c r="AI315" s="138">
        <f>+V315+W315+X315+Y315+Z315+AA315+AB315+AC315+AD315+AE315+AF315+AG315+AH315</f>
        <v>18000000</v>
      </c>
      <c r="AJ315" s="138" t="s">
        <v>803</v>
      </c>
      <c r="AK315" s="59" t="s">
        <v>804</v>
      </c>
    </row>
    <row r="316" spans="1:77" s="9" customFormat="1" ht="27.75" customHeight="1" x14ac:dyDescent="0.25">
      <c r="A316" s="115"/>
      <c r="B316" s="67"/>
      <c r="C316" s="67"/>
      <c r="D316" s="64">
        <v>36</v>
      </c>
      <c r="E316" s="62" t="s">
        <v>455</v>
      </c>
      <c r="F316" s="62"/>
      <c r="G316" s="123"/>
      <c r="H316" s="124"/>
      <c r="I316" s="124"/>
      <c r="J316" s="126"/>
      <c r="K316" s="125"/>
      <c r="L316" s="126"/>
      <c r="M316" s="126"/>
      <c r="N316" s="128"/>
      <c r="O316" s="127"/>
      <c r="P316" s="128"/>
      <c r="Q316" s="129"/>
      <c r="R316" s="127"/>
      <c r="S316" s="199"/>
      <c r="T316" s="131"/>
      <c r="U316" s="131"/>
      <c r="V316" s="132">
        <f>V317</f>
        <v>0</v>
      </c>
      <c r="W316" s="132">
        <f t="shared" ref="W316:AI316" si="124">W317</f>
        <v>0</v>
      </c>
      <c r="X316" s="132">
        <f t="shared" si="124"/>
        <v>0</v>
      </c>
      <c r="Y316" s="132">
        <f t="shared" si="124"/>
        <v>0</v>
      </c>
      <c r="Z316" s="132">
        <f t="shared" si="124"/>
        <v>0</v>
      </c>
      <c r="AA316" s="132">
        <f t="shared" si="124"/>
        <v>0</v>
      </c>
      <c r="AB316" s="132">
        <f t="shared" si="124"/>
        <v>0</v>
      </c>
      <c r="AC316" s="132">
        <f t="shared" si="124"/>
        <v>0</v>
      </c>
      <c r="AD316" s="132">
        <f t="shared" si="124"/>
        <v>0</v>
      </c>
      <c r="AE316" s="132">
        <f t="shared" si="124"/>
        <v>0</v>
      </c>
      <c r="AF316" s="132">
        <f t="shared" si="124"/>
        <v>18000000</v>
      </c>
      <c r="AG316" s="132">
        <f t="shared" si="124"/>
        <v>0</v>
      </c>
      <c r="AH316" s="132">
        <f t="shared" si="124"/>
        <v>0</v>
      </c>
      <c r="AI316" s="132">
        <f t="shared" si="124"/>
        <v>18000000</v>
      </c>
      <c r="AJ316" s="132"/>
      <c r="AK316" s="157"/>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row>
    <row r="317" spans="1:77" ht="27.75" customHeight="1" x14ac:dyDescent="0.2">
      <c r="A317" s="133"/>
      <c r="B317" s="67"/>
      <c r="C317" s="67"/>
      <c r="D317" s="67"/>
      <c r="E317" s="67"/>
      <c r="F317" s="141">
        <v>3604</v>
      </c>
      <c r="G317" s="65" t="s">
        <v>963</v>
      </c>
      <c r="H317" s="179"/>
      <c r="I317" s="179"/>
      <c r="J317" s="140"/>
      <c r="K317" s="139"/>
      <c r="L317" s="140"/>
      <c r="M317" s="140"/>
      <c r="N317" s="135"/>
      <c r="O317" s="141"/>
      <c r="P317" s="135"/>
      <c r="Q317" s="142"/>
      <c r="R317" s="141"/>
      <c r="S317" s="143"/>
      <c r="T317" s="140"/>
      <c r="U317" s="140"/>
      <c r="V317" s="149">
        <f t="shared" ref="V317:AI317" si="125">+V318</f>
        <v>0</v>
      </c>
      <c r="W317" s="149">
        <f t="shared" si="125"/>
        <v>0</v>
      </c>
      <c r="X317" s="149">
        <f t="shared" si="125"/>
        <v>0</v>
      </c>
      <c r="Y317" s="149">
        <f t="shared" si="125"/>
        <v>0</v>
      </c>
      <c r="Z317" s="149">
        <f t="shared" si="125"/>
        <v>0</v>
      </c>
      <c r="AA317" s="149">
        <f t="shared" si="125"/>
        <v>0</v>
      </c>
      <c r="AB317" s="149">
        <f t="shared" si="125"/>
        <v>0</v>
      </c>
      <c r="AC317" s="149">
        <f t="shared" si="125"/>
        <v>0</v>
      </c>
      <c r="AD317" s="149">
        <f t="shared" si="125"/>
        <v>0</v>
      </c>
      <c r="AE317" s="149">
        <f t="shared" si="125"/>
        <v>0</v>
      </c>
      <c r="AF317" s="149">
        <f t="shared" si="125"/>
        <v>18000000</v>
      </c>
      <c r="AG317" s="149">
        <f t="shared" si="125"/>
        <v>0</v>
      </c>
      <c r="AH317" s="149">
        <f t="shared" si="125"/>
        <v>0</v>
      </c>
      <c r="AI317" s="149">
        <f t="shared" si="125"/>
        <v>18000000</v>
      </c>
      <c r="AJ317" s="149"/>
      <c r="AK317" s="149"/>
    </row>
    <row r="318" spans="1:77" ht="131.25" customHeight="1" x14ac:dyDescent="0.2">
      <c r="A318" s="133"/>
      <c r="B318" s="67"/>
      <c r="C318" s="67"/>
      <c r="D318" s="67"/>
      <c r="E318" s="67"/>
      <c r="F318" s="66"/>
      <c r="G318" s="212"/>
      <c r="H318" s="512" t="s">
        <v>964</v>
      </c>
      <c r="I318" s="66">
        <v>3604006</v>
      </c>
      <c r="J318" s="512" t="s">
        <v>965</v>
      </c>
      <c r="K318" s="66">
        <v>3604006</v>
      </c>
      <c r="L318" s="512" t="s">
        <v>965</v>
      </c>
      <c r="M318" s="192">
        <v>360400600</v>
      </c>
      <c r="N318" s="145" t="s">
        <v>350</v>
      </c>
      <c r="O318" s="192">
        <v>360400600</v>
      </c>
      <c r="P318" s="145" t="s">
        <v>350</v>
      </c>
      <c r="Q318" s="251" t="s">
        <v>71</v>
      </c>
      <c r="R318" s="247">
        <v>200</v>
      </c>
      <c r="S318" s="517" t="s">
        <v>966</v>
      </c>
      <c r="T318" s="87" t="s">
        <v>967</v>
      </c>
      <c r="U318" s="87" t="s">
        <v>968</v>
      </c>
      <c r="V318" s="137"/>
      <c r="W318" s="137"/>
      <c r="X318" s="137"/>
      <c r="Y318" s="137"/>
      <c r="Z318" s="137"/>
      <c r="AA318" s="257"/>
      <c r="AB318" s="137"/>
      <c r="AC318" s="137"/>
      <c r="AD318" s="258"/>
      <c r="AE318" s="137"/>
      <c r="AF318" s="150">
        <v>18000000</v>
      </c>
      <c r="AG318" s="137"/>
      <c r="AH318" s="137"/>
      <c r="AI318" s="138">
        <f>+V318+W318+X318+Y318+Z318+AA318+AB318+AC318+AD318+AE318+AF318+AG318+AH318</f>
        <v>18000000</v>
      </c>
      <c r="AJ318" s="138" t="s">
        <v>803</v>
      </c>
      <c r="AK318" s="59" t="s">
        <v>804</v>
      </c>
    </row>
    <row r="319" spans="1:77" ht="25.5" customHeight="1" x14ac:dyDescent="0.2">
      <c r="A319" s="133"/>
      <c r="B319" s="116">
        <v>4</v>
      </c>
      <c r="C319" s="116"/>
      <c r="D319" s="61" t="s">
        <v>46</v>
      </c>
      <c r="E319" s="163"/>
      <c r="F319" s="61"/>
      <c r="G319" s="61"/>
      <c r="H319" s="61"/>
      <c r="I319" s="61"/>
      <c r="J319" s="118"/>
      <c r="K319" s="117"/>
      <c r="L319" s="118"/>
      <c r="M319" s="118"/>
      <c r="N319" s="119"/>
      <c r="O319" s="116"/>
      <c r="P319" s="119"/>
      <c r="Q319" s="120"/>
      <c r="R319" s="116"/>
      <c r="S319" s="121"/>
      <c r="T319" s="118"/>
      <c r="U319" s="118"/>
      <c r="V319" s="146">
        <f>V320</f>
        <v>0</v>
      </c>
      <c r="W319" s="146">
        <f t="shared" ref="W319:AI320" si="126">W320</f>
        <v>0</v>
      </c>
      <c r="X319" s="146">
        <f t="shared" si="126"/>
        <v>0</v>
      </c>
      <c r="Y319" s="146">
        <f>Y320+Y327</f>
        <v>0</v>
      </c>
      <c r="Z319" s="146">
        <f t="shared" ref="Z319:AI319" si="127">Z320+Z327</f>
        <v>0</v>
      </c>
      <c r="AA319" s="146">
        <f t="shared" si="127"/>
        <v>0</v>
      </c>
      <c r="AB319" s="146">
        <f t="shared" si="127"/>
        <v>0</v>
      </c>
      <c r="AC319" s="146">
        <f t="shared" si="127"/>
        <v>0</v>
      </c>
      <c r="AD319" s="146">
        <f t="shared" si="127"/>
        <v>0</v>
      </c>
      <c r="AE319" s="146">
        <f t="shared" si="127"/>
        <v>0</v>
      </c>
      <c r="AF319" s="146">
        <f t="shared" si="127"/>
        <v>355000000</v>
      </c>
      <c r="AG319" s="146">
        <f t="shared" si="127"/>
        <v>0</v>
      </c>
      <c r="AH319" s="146">
        <f t="shared" si="127"/>
        <v>0</v>
      </c>
      <c r="AI319" s="146">
        <f t="shared" si="127"/>
        <v>355000000</v>
      </c>
      <c r="AJ319" s="146"/>
      <c r="AK319" s="146"/>
    </row>
    <row r="320" spans="1:77" s="9" customFormat="1" ht="27.75" customHeight="1" x14ac:dyDescent="0.25">
      <c r="A320" s="115"/>
      <c r="B320" s="67"/>
      <c r="C320" s="67"/>
      <c r="D320" s="64">
        <v>45</v>
      </c>
      <c r="E320" s="62" t="s">
        <v>969</v>
      </c>
      <c r="F320" s="62"/>
      <c r="G320" s="123"/>
      <c r="H320" s="124"/>
      <c r="I320" s="124"/>
      <c r="J320" s="126"/>
      <c r="K320" s="125"/>
      <c r="L320" s="126"/>
      <c r="M320" s="126"/>
      <c r="N320" s="128"/>
      <c r="O320" s="127"/>
      <c r="P320" s="128"/>
      <c r="Q320" s="129"/>
      <c r="R320" s="127"/>
      <c r="S320" s="199"/>
      <c r="T320" s="131"/>
      <c r="U320" s="131"/>
      <c r="V320" s="132">
        <f>V321</f>
        <v>0</v>
      </c>
      <c r="W320" s="132">
        <f t="shared" si="126"/>
        <v>0</v>
      </c>
      <c r="X320" s="132">
        <f t="shared" si="126"/>
        <v>0</v>
      </c>
      <c r="Y320" s="132">
        <f t="shared" si="126"/>
        <v>0</v>
      </c>
      <c r="Z320" s="132">
        <f t="shared" si="126"/>
        <v>0</v>
      </c>
      <c r="AA320" s="132">
        <f t="shared" si="126"/>
        <v>0</v>
      </c>
      <c r="AB320" s="132">
        <f t="shared" si="126"/>
        <v>0</v>
      </c>
      <c r="AC320" s="132">
        <f t="shared" si="126"/>
        <v>0</v>
      </c>
      <c r="AD320" s="132">
        <f t="shared" si="126"/>
        <v>0</v>
      </c>
      <c r="AE320" s="132">
        <f t="shared" si="126"/>
        <v>0</v>
      </c>
      <c r="AF320" s="132">
        <f t="shared" si="126"/>
        <v>251000000</v>
      </c>
      <c r="AG320" s="132">
        <f t="shared" si="126"/>
        <v>0</v>
      </c>
      <c r="AH320" s="132">
        <f t="shared" si="126"/>
        <v>0</v>
      </c>
      <c r="AI320" s="132">
        <f t="shared" si="126"/>
        <v>251000000</v>
      </c>
      <c r="AJ320" s="132"/>
      <c r="AK320" s="157"/>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row>
    <row r="321" spans="1:77" ht="26.25" customHeight="1" x14ac:dyDescent="0.2">
      <c r="A321" s="270"/>
      <c r="B321" s="271"/>
      <c r="C321" s="271"/>
      <c r="D321" s="271"/>
      <c r="E321" s="271"/>
      <c r="F321" s="420">
        <v>4502</v>
      </c>
      <c r="G321" s="421" t="s">
        <v>74</v>
      </c>
      <c r="H321" s="422"/>
      <c r="I321" s="422"/>
      <c r="J321" s="291"/>
      <c r="K321" s="423"/>
      <c r="L321" s="291"/>
      <c r="M321" s="291"/>
      <c r="N321" s="424"/>
      <c r="O321" s="420"/>
      <c r="P321" s="424"/>
      <c r="Q321" s="425"/>
      <c r="R321" s="420"/>
      <c r="S321" s="426"/>
      <c r="T321" s="291"/>
      <c r="U321" s="291"/>
      <c r="V321" s="427">
        <f t="shared" ref="V321:AE321" si="128">+V322</f>
        <v>0</v>
      </c>
      <c r="W321" s="427">
        <f t="shared" si="128"/>
        <v>0</v>
      </c>
      <c r="X321" s="427">
        <f t="shared" si="128"/>
        <v>0</v>
      </c>
      <c r="Y321" s="427">
        <f t="shared" si="128"/>
        <v>0</v>
      </c>
      <c r="Z321" s="427">
        <f t="shared" si="128"/>
        <v>0</v>
      </c>
      <c r="AA321" s="427">
        <f t="shared" si="128"/>
        <v>0</v>
      </c>
      <c r="AB321" s="427">
        <f t="shared" si="128"/>
        <v>0</v>
      </c>
      <c r="AC321" s="427">
        <f t="shared" si="128"/>
        <v>0</v>
      </c>
      <c r="AD321" s="427">
        <f t="shared" si="128"/>
        <v>0</v>
      </c>
      <c r="AE321" s="427">
        <f t="shared" si="128"/>
        <v>0</v>
      </c>
      <c r="AF321" s="427">
        <f>SUM(AF322:AF326)</f>
        <v>251000000</v>
      </c>
      <c r="AG321" s="427">
        <f t="shared" ref="AG321:AK321" si="129">SUM(AG322:AG326)</f>
        <v>0</v>
      </c>
      <c r="AH321" s="427">
        <f t="shared" si="129"/>
        <v>0</v>
      </c>
      <c r="AI321" s="427">
        <f t="shared" si="129"/>
        <v>251000000</v>
      </c>
      <c r="AJ321" s="427">
        <f t="shared" si="129"/>
        <v>0</v>
      </c>
      <c r="AK321" s="427">
        <f t="shared" si="129"/>
        <v>0</v>
      </c>
    </row>
    <row r="322" spans="1:77" ht="122.25" customHeight="1" x14ac:dyDescent="0.2">
      <c r="A322" s="279"/>
      <c r="B322" s="280"/>
      <c r="C322" s="280"/>
      <c r="D322" s="280"/>
      <c r="E322" s="280"/>
      <c r="F322" s="107"/>
      <c r="G322" s="281"/>
      <c r="H322" s="515" t="s">
        <v>970</v>
      </c>
      <c r="I322" s="101">
        <v>4502001</v>
      </c>
      <c r="J322" s="515" t="s">
        <v>86</v>
      </c>
      <c r="K322" s="101">
        <v>4502001</v>
      </c>
      <c r="L322" s="515" t="s">
        <v>86</v>
      </c>
      <c r="M322" s="107" t="s">
        <v>50</v>
      </c>
      <c r="N322" s="283" t="s">
        <v>971</v>
      </c>
      <c r="O322" s="282">
        <v>450200108</v>
      </c>
      <c r="P322" s="283" t="s">
        <v>972</v>
      </c>
      <c r="Q322" s="284" t="s">
        <v>71</v>
      </c>
      <c r="R322" s="216">
        <v>1</v>
      </c>
      <c r="S322" s="463" t="s">
        <v>973</v>
      </c>
      <c r="T322" s="515" t="s">
        <v>974</v>
      </c>
      <c r="U322" s="515" t="s">
        <v>975</v>
      </c>
      <c r="V322" s="285"/>
      <c r="W322" s="285"/>
      <c r="X322" s="285"/>
      <c r="Y322" s="285"/>
      <c r="Z322" s="285"/>
      <c r="AA322" s="286"/>
      <c r="AB322" s="285"/>
      <c r="AC322" s="285"/>
      <c r="AD322" s="287"/>
      <c r="AE322" s="285"/>
      <c r="AF322" s="288">
        <v>18000000</v>
      </c>
      <c r="AG322" s="285"/>
      <c r="AH322" s="285"/>
      <c r="AI322" s="289">
        <f>+V322+W322+X322+Y322+Z322+AA322+AB322+AC322+AD322+AE322+AF322+AG322+AH322</f>
        <v>18000000</v>
      </c>
      <c r="AJ322" s="289" t="s">
        <v>803</v>
      </c>
      <c r="AK322" s="290" t="s">
        <v>804</v>
      </c>
    </row>
    <row r="323" spans="1:77" s="4" customFormat="1" ht="224.25" customHeight="1" x14ac:dyDescent="0.2">
      <c r="A323" s="55"/>
      <c r="B323" s="92"/>
      <c r="C323" s="92"/>
      <c r="D323" s="92"/>
      <c r="E323" s="92"/>
      <c r="F323" s="68"/>
      <c r="G323" s="91"/>
      <c r="H323" s="518" t="s">
        <v>976</v>
      </c>
      <c r="I323" s="107" t="s">
        <v>50</v>
      </c>
      <c r="J323" s="518" t="s">
        <v>977</v>
      </c>
      <c r="K323" s="102">
        <v>4502038</v>
      </c>
      <c r="L323" s="518" t="s">
        <v>978</v>
      </c>
      <c r="M323" s="107" t="s">
        <v>50</v>
      </c>
      <c r="N323" s="217" t="s">
        <v>979</v>
      </c>
      <c r="O323" s="96">
        <v>450203800</v>
      </c>
      <c r="P323" s="217" t="s">
        <v>980</v>
      </c>
      <c r="Q323" s="96" t="s">
        <v>55</v>
      </c>
      <c r="R323" s="96">
        <v>1</v>
      </c>
      <c r="S323" s="91" t="s">
        <v>981</v>
      </c>
      <c r="T323" s="518" t="s">
        <v>982</v>
      </c>
      <c r="U323" s="518" t="s">
        <v>983</v>
      </c>
      <c r="V323" s="110"/>
      <c r="W323" s="110"/>
      <c r="X323" s="110"/>
      <c r="Y323" s="110"/>
      <c r="Z323" s="110"/>
      <c r="AA323" s="255"/>
      <c r="AB323" s="110"/>
      <c r="AC323" s="110"/>
      <c r="AD323" s="256"/>
      <c r="AE323" s="110"/>
      <c r="AF323" s="153">
        <f>95000000-18000000</f>
        <v>77000000</v>
      </c>
      <c r="AG323" s="110"/>
      <c r="AH323" s="110"/>
      <c r="AI323" s="218">
        <f t="shared" ref="AI323:AI324" si="130">+V323+W323+X323+Y323+Z323+AA323+AB323+AC323+AD323+AE323+AF323+AG323+AH323</f>
        <v>77000000</v>
      </c>
      <c r="AJ323" s="218" t="s">
        <v>803</v>
      </c>
      <c r="AK323" s="219" t="s">
        <v>804</v>
      </c>
    </row>
    <row r="324" spans="1:77" s="4" customFormat="1" ht="216" customHeight="1" x14ac:dyDescent="0.2">
      <c r="A324" s="55"/>
      <c r="B324" s="92"/>
      <c r="C324" s="92"/>
      <c r="D324" s="92"/>
      <c r="E324" s="92"/>
      <c r="F324" s="68"/>
      <c r="G324" s="91"/>
      <c r="H324" s="518" t="s">
        <v>984</v>
      </c>
      <c r="I324" s="107" t="s">
        <v>50</v>
      </c>
      <c r="J324" s="518" t="s">
        <v>985</v>
      </c>
      <c r="K324" s="102">
        <v>4502038</v>
      </c>
      <c r="L324" s="518" t="s">
        <v>978</v>
      </c>
      <c r="M324" s="107" t="s">
        <v>50</v>
      </c>
      <c r="N324" s="217" t="s">
        <v>986</v>
      </c>
      <c r="O324" s="96">
        <v>450203800</v>
      </c>
      <c r="P324" s="217" t="s">
        <v>980</v>
      </c>
      <c r="Q324" s="96" t="s">
        <v>55</v>
      </c>
      <c r="R324" s="96">
        <v>1</v>
      </c>
      <c r="S324" s="91" t="s">
        <v>987</v>
      </c>
      <c r="T324" s="518" t="s">
        <v>988</v>
      </c>
      <c r="U324" s="518" t="s">
        <v>989</v>
      </c>
      <c r="V324" s="110"/>
      <c r="W324" s="110"/>
      <c r="X324" s="110"/>
      <c r="Y324" s="110"/>
      <c r="Z324" s="110"/>
      <c r="AA324" s="255"/>
      <c r="AB324" s="110"/>
      <c r="AC324" s="110"/>
      <c r="AD324" s="256"/>
      <c r="AE324" s="110"/>
      <c r="AF324" s="153">
        <v>90000000</v>
      </c>
      <c r="AG324" s="110"/>
      <c r="AH324" s="110"/>
      <c r="AI324" s="218">
        <f t="shared" si="130"/>
        <v>90000000</v>
      </c>
      <c r="AJ324" s="218" t="s">
        <v>803</v>
      </c>
      <c r="AK324" s="219" t="s">
        <v>804</v>
      </c>
    </row>
    <row r="325" spans="1:77" s="4" customFormat="1" ht="180" customHeight="1" x14ac:dyDescent="0.2">
      <c r="A325" s="55"/>
      <c r="B325" s="92"/>
      <c r="C325" s="92"/>
      <c r="D325" s="92"/>
      <c r="E325" s="92"/>
      <c r="F325" s="68"/>
      <c r="G325" s="99"/>
      <c r="H325" s="518" t="s">
        <v>990</v>
      </c>
      <c r="I325" s="74">
        <v>4501024</v>
      </c>
      <c r="J325" s="518" t="s">
        <v>361</v>
      </c>
      <c r="K325" s="74">
        <v>4502024</v>
      </c>
      <c r="L325" s="518" t="s">
        <v>361</v>
      </c>
      <c r="M325" s="107" t="s">
        <v>50</v>
      </c>
      <c r="N325" s="516" t="s">
        <v>991</v>
      </c>
      <c r="O325" s="74">
        <v>450202401</v>
      </c>
      <c r="P325" s="516" t="s">
        <v>992</v>
      </c>
      <c r="Q325" s="96" t="s">
        <v>55</v>
      </c>
      <c r="R325" s="96">
        <v>1</v>
      </c>
      <c r="S325" s="91" t="s">
        <v>993</v>
      </c>
      <c r="T325" s="518" t="s">
        <v>994</v>
      </c>
      <c r="U325" s="518" t="s">
        <v>995</v>
      </c>
      <c r="V325" s="110">
        <v>0</v>
      </c>
      <c r="W325" s="110">
        <v>0</v>
      </c>
      <c r="X325" s="110">
        <v>0</v>
      </c>
      <c r="Y325" s="110">
        <v>0</v>
      </c>
      <c r="Z325" s="110">
        <v>0</v>
      </c>
      <c r="AA325" s="255">
        <v>0</v>
      </c>
      <c r="AB325" s="110">
        <v>0</v>
      </c>
      <c r="AC325" s="110">
        <v>0</v>
      </c>
      <c r="AD325" s="256">
        <v>0</v>
      </c>
      <c r="AE325" s="110">
        <v>0</v>
      </c>
      <c r="AF325" s="153">
        <v>33000000</v>
      </c>
      <c r="AG325" s="110"/>
      <c r="AH325" s="110"/>
      <c r="AI325" s="218">
        <f>+V325+W325+X325+Y325+Z325+AA325+AB325+AC325+AD325+AE325+AF325+AG325+AH325</f>
        <v>33000000</v>
      </c>
      <c r="AJ325" s="218" t="s">
        <v>803</v>
      </c>
      <c r="AK325" s="219" t="s">
        <v>804</v>
      </c>
    </row>
    <row r="326" spans="1:77" s="4" customFormat="1" ht="90" x14ac:dyDescent="0.2">
      <c r="A326" s="55"/>
      <c r="B326" s="92"/>
      <c r="C326" s="92"/>
      <c r="D326" s="92"/>
      <c r="E326" s="92"/>
      <c r="F326" s="68"/>
      <c r="G326" s="99"/>
      <c r="H326" s="518" t="s">
        <v>990</v>
      </c>
      <c r="I326" s="74">
        <v>4501024</v>
      </c>
      <c r="J326" s="518" t="s">
        <v>361</v>
      </c>
      <c r="K326" s="74">
        <v>4502024</v>
      </c>
      <c r="L326" s="518" t="s">
        <v>361</v>
      </c>
      <c r="M326" s="107" t="s">
        <v>50</v>
      </c>
      <c r="N326" s="516" t="s">
        <v>996</v>
      </c>
      <c r="O326" s="74">
        <v>450202401</v>
      </c>
      <c r="P326" s="516" t="s">
        <v>992</v>
      </c>
      <c r="Q326" s="96" t="s">
        <v>55</v>
      </c>
      <c r="R326" s="96">
        <v>1</v>
      </c>
      <c r="S326" s="91" t="s">
        <v>997</v>
      </c>
      <c r="T326" s="518" t="s">
        <v>998</v>
      </c>
      <c r="U326" s="518" t="s">
        <v>999</v>
      </c>
      <c r="V326" s="110"/>
      <c r="W326" s="110"/>
      <c r="X326" s="110"/>
      <c r="Y326" s="110"/>
      <c r="Z326" s="110"/>
      <c r="AA326" s="255"/>
      <c r="AB326" s="110"/>
      <c r="AC326" s="110"/>
      <c r="AD326" s="256"/>
      <c r="AE326" s="110"/>
      <c r="AF326" s="153">
        <v>33000000</v>
      </c>
      <c r="AG326" s="110"/>
      <c r="AH326" s="110"/>
      <c r="AI326" s="218">
        <f>+V326+W326+X326+Y326+Z326+AA326+AB326+AC326+AD326+AE326+AF326+AG326+AH326</f>
        <v>33000000</v>
      </c>
      <c r="AJ326" s="218" t="s">
        <v>803</v>
      </c>
      <c r="AK326" s="219" t="s">
        <v>804</v>
      </c>
    </row>
    <row r="327" spans="1:77" ht="25.5" customHeight="1" x14ac:dyDescent="0.2">
      <c r="A327" s="270"/>
      <c r="B327" s="271"/>
      <c r="C327" s="271"/>
      <c r="D327" s="271"/>
      <c r="E327" s="271"/>
      <c r="F327" s="215">
        <v>4599</v>
      </c>
      <c r="G327" s="105" t="s">
        <v>658</v>
      </c>
      <c r="H327" s="272"/>
      <c r="I327" s="272"/>
      <c r="J327" s="274"/>
      <c r="K327" s="273"/>
      <c r="L327" s="274"/>
      <c r="M327" s="274"/>
      <c r="N327" s="275"/>
      <c r="O327" s="215"/>
      <c r="P327" s="275"/>
      <c r="Q327" s="276"/>
      <c r="R327" s="215"/>
      <c r="S327" s="277"/>
      <c r="T327" s="274"/>
      <c r="U327" s="291"/>
      <c r="V327" s="278">
        <f t="shared" ref="V327:X327" si="131">+V328</f>
        <v>0</v>
      </c>
      <c r="W327" s="278">
        <f t="shared" si="131"/>
        <v>0</v>
      </c>
      <c r="X327" s="278">
        <f t="shared" si="131"/>
        <v>0</v>
      </c>
      <c r="Y327" s="278">
        <f t="shared" ref="Y327:AJ327" si="132">SUM(Y328:Y330)</f>
        <v>0</v>
      </c>
      <c r="Z327" s="278">
        <f t="shared" si="132"/>
        <v>0</v>
      </c>
      <c r="AA327" s="278">
        <f t="shared" si="132"/>
        <v>0</v>
      </c>
      <c r="AB327" s="278">
        <f t="shared" si="132"/>
        <v>0</v>
      </c>
      <c r="AC327" s="278">
        <f t="shared" si="132"/>
        <v>0</v>
      </c>
      <c r="AD327" s="278">
        <f t="shared" si="132"/>
        <v>0</v>
      </c>
      <c r="AE327" s="278">
        <f t="shared" si="132"/>
        <v>0</v>
      </c>
      <c r="AF327" s="278">
        <f t="shared" si="132"/>
        <v>104000000</v>
      </c>
      <c r="AG327" s="278">
        <f t="shared" si="132"/>
        <v>0</v>
      </c>
      <c r="AH327" s="278">
        <f t="shared" si="132"/>
        <v>0</v>
      </c>
      <c r="AI327" s="278">
        <f t="shared" si="132"/>
        <v>104000000</v>
      </c>
      <c r="AJ327" s="278">
        <f t="shared" si="132"/>
        <v>0</v>
      </c>
      <c r="AK327" s="278">
        <f>SUM(AK328:AK330)</f>
        <v>0</v>
      </c>
    </row>
    <row r="328" spans="1:77" s="4" customFormat="1" ht="207" customHeight="1" x14ac:dyDescent="0.2">
      <c r="A328" s="55"/>
      <c r="B328" s="92"/>
      <c r="C328" s="92"/>
      <c r="D328" s="92"/>
      <c r="E328" s="92"/>
      <c r="F328" s="68"/>
      <c r="G328" s="91"/>
      <c r="H328" s="436" t="s">
        <v>1000</v>
      </c>
      <c r="I328" s="107" t="s">
        <v>50</v>
      </c>
      <c r="J328" s="455" t="s">
        <v>1001</v>
      </c>
      <c r="K328" s="292" t="s">
        <v>1002</v>
      </c>
      <c r="L328" s="435" t="s">
        <v>376</v>
      </c>
      <c r="M328" s="107" t="s">
        <v>50</v>
      </c>
      <c r="N328" s="293" t="s">
        <v>1003</v>
      </c>
      <c r="O328" s="292" t="s">
        <v>1004</v>
      </c>
      <c r="P328" s="293" t="s">
        <v>1005</v>
      </c>
      <c r="Q328" s="96" t="s">
        <v>55</v>
      </c>
      <c r="R328" s="96">
        <v>1</v>
      </c>
      <c r="S328" s="517" t="s">
        <v>1006</v>
      </c>
      <c r="T328" s="108" t="s">
        <v>1415</v>
      </c>
      <c r="U328" s="523" t="s">
        <v>1416</v>
      </c>
      <c r="V328" s="110"/>
      <c r="W328" s="110"/>
      <c r="X328" s="110"/>
      <c r="Y328" s="110"/>
      <c r="Z328" s="110"/>
      <c r="AA328" s="255"/>
      <c r="AB328" s="110"/>
      <c r="AC328" s="110"/>
      <c r="AD328" s="256"/>
      <c r="AE328" s="110"/>
      <c r="AF328" s="153">
        <v>50000000</v>
      </c>
      <c r="AG328" s="110"/>
      <c r="AH328" s="110"/>
      <c r="AI328" s="218">
        <f t="shared" ref="AI328:AI329" si="133">+V328+W328+X328+Y328+Z328+AA328+AB328+AC328+AD328+AE328+AF328+AG328+AH328</f>
        <v>50000000</v>
      </c>
      <c r="AJ328" s="218" t="s">
        <v>803</v>
      </c>
      <c r="AK328" s="219" t="s">
        <v>804</v>
      </c>
    </row>
    <row r="329" spans="1:77" s="4" customFormat="1" ht="237" customHeight="1" x14ac:dyDescent="0.2">
      <c r="A329" s="55"/>
      <c r="B329" s="92"/>
      <c r="C329" s="92"/>
      <c r="D329" s="92"/>
      <c r="E329" s="92"/>
      <c r="F329" s="68"/>
      <c r="G329" s="91"/>
      <c r="H329" s="436" t="s">
        <v>976</v>
      </c>
      <c r="I329" s="107" t="s">
        <v>50</v>
      </c>
      <c r="J329" s="454" t="s">
        <v>1007</v>
      </c>
      <c r="K329" s="409" t="s">
        <v>1002</v>
      </c>
      <c r="L329" s="435" t="s">
        <v>376</v>
      </c>
      <c r="M329" s="107" t="s">
        <v>50</v>
      </c>
      <c r="N329" s="76" t="s">
        <v>1008</v>
      </c>
      <c r="O329" s="409" t="s">
        <v>1004</v>
      </c>
      <c r="P329" s="293" t="s">
        <v>1005</v>
      </c>
      <c r="Q329" s="96" t="s">
        <v>55</v>
      </c>
      <c r="R329" s="96">
        <v>1</v>
      </c>
      <c r="S329" s="517" t="s">
        <v>1009</v>
      </c>
      <c r="T329" s="518" t="s">
        <v>1010</v>
      </c>
      <c r="U329" s="518" t="s">
        <v>983</v>
      </c>
      <c r="V329" s="110"/>
      <c r="W329" s="110"/>
      <c r="X329" s="110"/>
      <c r="Y329" s="110"/>
      <c r="Z329" s="110"/>
      <c r="AA329" s="255"/>
      <c r="AB329" s="110"/>
      <c r="AC329" s="110"/>
      <c r="AD329" s="256"/>
      <c r="AE329" s="110"/>
      <c r="AF329" s="153">
        <f>95000000-36000000-41000000</f>
        <v>18000000</v>
      </c>
      <c r="AG329" s="110"/>
      <c r="AH329" s="110"/>
      <c r="AI329" s="218">
        <f t="shared" si="133"/>
        <v>18000000</v>
      </c>
      <c r="AJ329" s="218" t="s">
        <v>803</v>
      </c>
      <c r="AK329" s="219" t="s">
        <v>804</v>
      </c>
    </row>
    <row r="330" spans="1:77" s="4" customFormat="1" ht="189" customHeight="1" x14ac:dyDescent="0.2">
      <c r="A330" s="55"/>
      <c r="B330" s="92"/>
      <c r="C330" s="92"/>
      <c r="D330" s="92"/>
      <c r="E330" s="92"/>
      <c r="F330" s="68"/>
      <c r="G330" s="91"/>
      <c r="H330" s="518" t="s">
        <v>1011</v>
      </c>
      <c r="I330" s="107" t="s">
        <v>50</v>
      </c>
      <c r="J330" s="411" t="s">
        <v>1012</v>
      </c>
      <c r="K330" s="410" t="s">
        <v>1002</v>
      </c>
      <c r="L330" s="435" t="s">
        <v>376</v>
      </c>
      <c r="M330" s="107" t="s">
        <v>50</v>
      </c>
      <c r="N330" s="76" t="s">
        <v>1013</v>
      </c>
      <c r="O330" s="412" t="s">
        <v>1004</v>
      </c>
      <c r="P330" s="293" t="s">
        <v>1005</v>
      </c>
      <c r="Q330" s="91" t="s">
        <v>55</v>
      </c>
      <c r="R330" s="96">
        <v>1</v>
      </c>
      <c r="S330" s="91" t="s">
        <v>1014</v>
      </c>
      <c r="T330" s="518" t="s">
        <v>1015</v>
      </c>
      <c r="U330" s="518" t="s">
        <v>1016</v>
      </c>
      <c r="V330" s="110"/>
      <c r="W330" s="110"/>
      <c r="X330" s="110"/>
      <c r="Y330" s="110"/>
      <c r="Z330" s="110"/>
      <c r="AA330" s="255"/>
      <c r="AB330" s="110"/>
      <c r="AC330" s="110"/>
      <c r="AD330" s="256"/>
      <c r="AE330" s="110"/>
      <c r="AF330" s="153">
        <v>36000000</v>
      </c>
      <c r="AG330" s="110"/>
      <c r="AH330" s="110"/>
      <c r="AI330" s="218">
        <f>+V330+W330+X330+Y330+Z330+AA330+AB330+AC330+AD330+AE330+AF330+AG330+AH330</f>
        <v>36000000</v>
      </c>
      <c r="AJ330" s="218" t="s">
        <v>803</v>
      </c>
      <c r="AK330" s="219" t="s">
        <v>804</v>
      </c>
    </row>
    <row r="331" spans="1:77" s="7" customFormat="1" ht="16.5" customHeight="1" x14ac:dyDescent="0.25">
      <c r="A331" s="457"/>
      <c r="B331" s="457"/>
      <c r="C331" s="457"/>
      <c r="D331" s="457"/>
      <c r="E331" s="457"/>
      <c r="F331" s="457"/>
      <c r="G331" s="457"/>
      <c r="H331" s="458"/>
      <c r="I331" s="457"/>
      <c r="J331" s="457"/>
      <c r="K331" s="457"/>
      <c r="L331" s="457"/>
      <c r="M331" s="457"/>
      <c r="N331" s="457"/>
      <c r="O331" s="457"/>
      <c r="P331" s="457"/>
      <c r="Q331" s="459"/>
      <c r="R331" s="457"/>
      <c r="S331" s="459"/>
      <c r="T331" s="459"/>
      <c r="U331" s="459"/>
      <c r="V331" s="460"/>
      <c r="W331" s="460"/>
      <c r="X331" s="460"/>
      <c r="Y331" s="460"/>
      <c r="Z331" s="460"/>
      <c r="AA331" s="460"/>
      <c r="AB331" s="460"/>
      <c r="AC331" s="460"/>
      <c r="AD331" s="460"/>
      <c r="AE331" s="460"/>
      <c r="AF331" s="460"/>
      <c r="AG331" s="460"/>
      <c r="AH331" s="460"/>
      <c r="AI331" s="460"/>
      <c r="AJ331" s="460"/>
      <c r="AK331" s="460"/>
    </row>
    <row r="332" spans="1:77" s="391" customFormat="1" ht="21.75" customHeight="1" x14ac:dyDescent="0.2">
      <c r="A332" s="41" t="s">
        <v>1017</v>
      </c>
      <c r="B332" s="41"/>
      <c r="C332" s="41"/>
      <c r="D332" s="41"/>
      <c r="E332" s="41"/>
      <c r="F332" s="42"/>
      <c r="G332" s="43"/>
      <c r="H332" s="383"/>
      <c r="I332" s="383"/>
      <c r="J332" s="383"/>
      <c r="K332" s="386"/>
      <c r="L332" s="383"/>
      <c r="M332" s="383"/>
      <c r="N332" s="388"/>
      <c r="O332" s="387"/>
      <c r="P332" s="388"/>
      <c r="Q332" s="389"/>
      <c r="R332" s="387"/>
      <c r="S332" s="43"/>
      <c r="T332" s="388"/>
      <c r="U332" s="388"/>
      <c r="V332" s="384">
        <f>+V333</f>
        <v>0</v>
      </c>
      <c r="W332" s="384">
        <f t="shared" ref="W332:AI332" si="134">+W333</f>
        <v>0</v>
      </c>
      <c r="X332" s="384">
        <f t="shared" si="134"/>
        <v>0</v>
      </c>
      <c r="Y332" s="384">
        <f t="shared" si="134"/>
        <v>400000000</v>
      </c>
      <c r="Z332" s="384">
        <f t="shared" si="134"/>
        <v>6893527853.4899998</v>
      </c>
      <c r="AA332" s="384">
        <f t="shared" si="134"/>
        <v>35242837560</v>
      </c>
      <c r="AB332" s="384">
        <f t="shared" si="134"/>
        <v>0</v>
      </c>
      <c r="AC332" s="384">
        <f t="shared" si="134"/>
        <v>0</v>
      </c>
      <c r="AD332" s="384">
        <f t="shared" si="134"/>
        <v>0</v>
      </c>
      <c r="AE332" s="384">
        <f t="shared" si="134"/>
        <v>0</v>
      </c>
      <c r="AF332" s="384">
        <f t="shared" si="134"/>
        <v>2034618945</v>
      </c>
      <c r="AG332" s="384">
        <f t="shared" si="134"/>
        <v>0</v>
      </c>
      <c r="AH332" s="384">
        <f t="shared" si="134"/>
        <v>2632245289</v>
      </c>
      <c r="AI332" s="384">
        <f t="shared" si="134"/>
        <v>47203229647.489998</v>
      </c>
      <c r="AJ332" s="384"/>
      <c r="AK332" s="385"/>
      <c r="AL332" s="390"/>
      <c r="AM332" s="390"/>
      <c r="AN332" s="390"/>
      <c r="AO332" s="390"/>
      <c r="AP332" s="390"/>
      <c r="AQ332" s="390"/>
      <c r="AR332" s="390"/>
      <c r="AS332" s="390"/>
      <c r="AT332" s="390"/>
      <c r="AU332" s="390"/>
      <c r="AV332" s="390"/>
      <c r="AW332" s="390"/>
      <c r="AX332" s="390"/>
      <c r="AY332" s="390"/>
      <c r="AZ332" s="390"/>
      <c r="BA332" s="390"/>
      <c r="BB332" s="390"/>
      <c r="BC332" s="390"/>
      <c r="BD332" s="390"/>
      <c r="BE332" s="390"/>
      <c r="BF332" s="390"/>
      <c r="BG332" s="390"/>
      <c r="BH332" s="390"/>
      <c r="BI332" s="390"/>
      <c r="BJ332" s="390"/>
      <c r="BK332" s="390"/>
      <c r="BL332" s="390"/>
      <c r="BM332" s="390"/>
      <c r="BN332" s="390"/>
      <c r="BO332" s="390"/>
      <c r="BP332" s="390"/>
      <c r="BQ332" s="390"/>
      <c r="BR332" s="390"/>
      <c r="BS332" s="390"/>
      <c r="BT332" s="390"/>
      <c r="BU332" s="390"/>
      <c r="BV332" s="390"/>
      <c r="BW332" s="390"/>
      <c r="BX332" s="390"/>
      <c r="BY332" s="390"/>
    </row>
    <row r="333" spans="1:77" ht="26.25" customHeight="1" x14ac:dyDescent="0.2">
      <c r="A333" s="133"/>
      <c r="B333" s="116">
        <v>1</v>
      </c>
      <c r="C333" s="116"/>
      <c r="D333" s="63" t="s">
        <v>152</v>
      </c>
      <c r="E333" s="163"/>
      <c r="F333" s="61"/>
      <c r="G333" s="61"/>
      <c r="H333" s="61"/>
      <c r="I333" s="61"/>
      <c r="J333" s="118"/>
      <c r="K333" s="117"/>
      <c r="L333" s="118"/>
      <c r="M333" s="118"/>
      <c r="N333" s="119"/>
      <c r="O333" s="116"/>
      <c r="P333" s="119"/>
      <c r="Q333" s="120"/>
      <c r="R333" s="116"/>
      <c r="S333" s="121"/>
      <c r="T333" s="119"/>
      <c r="U333" s="119"/>
      <c r="V333" s="122">
        <f>V334</f>
        <v>0</v>
      </c>
      <c r="W333" s="122">
        <f t="shared" ref="W333:AH333" si="135">W334</f>
        <v>0</v>
      </c>
      <c r="X333" s="122">
        <f t="shared" si="135"/>
        <v>0</v>
      </c>
      <c r="Y333" s="122">
        <f t="shared" si="135"/>
        <v>400000000</v>
      </c>
      <c r="Z333" s="122">
        <f t="shared" si="135"/>
        <v>6893527853.4899998</v>
      </c>
      <c r="AA333" s="122">
        <f t="shared" si="135"/>
        <v>35242837560</v>
      </c>
      <c r="AB333" s="122">
        <f t="shared" si="135"/>
        <v>0</v>
      </c>
      <c r="AC333" s="122">
        <f t="shared" si="135"/>
        <v>0</v>
      </c>
      <c r="AD333" s="122">
        <f t="shared" si="135"/>
        <v>0</v>
      </c>
      <c r="AE333" s="122">
        <f t="shared" si="135"/>
        <v>0</v>
      </c>
      <c r="AF333" s="122">
        <f t="shared" si="135"/>
        <v>2034618945</v>
      </c>
      <c r="AG333" s="122">
        <f t="shared" si="135"/>
        <v>0</v>
      </c>
      <c r="AH333" s="122">
        <f t="shared" si="135"/>
        <v>2632245289</v>
      </c>
      <c r="AI333" s="122">
        <f>AI334</f>
        <v>47203229647.489998</v>
      </c>
      <c r="AJ333" s="122"/>
      <c r="AK333" s="156"/>
    </row>
    <row r="334" spans="1:77" s="9" customFormat="1" ht="27.75" customHeight="1" x14ac:dyDescent="0.25">
      <c r="A334" s="115"/>
      <c r="B334" s="67"/>
      <c r="C334" s="67"/>
      <c r="D334" s="64">
        <v>19</v>
      </c>
      <c r="E334" s="62" t="s">
        <v>164</v>
      </c>
      <c r="F334" s="62"/>
      <c r="G334" s="123"/>
      <c r="H334" s="124"/>
      <c r="I334" s="124"/>
      <c r="J334" s="126"/>
      <c r="K334" s="125"/>
      <c r="L334" s="126"/>
      <c r="M334" s="126"/>
      <c r="N334" s="128"/>
      <c r="O334" s="127"/>
      <c r="P334" s="128"/>
      <c r="Q334" s="129"/>
      <c r="R334" s="127"/>
      <c r="S334" s="199"/>
      <c r="T334" s="131"/>
      <c r="U334" s="131"/>
      <c r="V334" s="132">
        <f>V335+V358+V388</f>
        <v>0</v>
      </c>
      <c r="W334" s="132">
        <f t="shared" ref="W334:AI334" si="136">W335+W358+W388</f>
        <v>0</v>
      </c>
      <c r="X334" s="132">
        <f t="shared" si="136"/>
        <v>0</v>
      </c>
      <c r="Y334" s="132">
        <f t="shared" si="136"/>
        <v>400000000</v>
      </c>
      <c r="Z334" s="132">
        <f t="shared" si="136"/>
        <v>6893527853.4899998</v>
      </c>
      <c r="AA334" s="132">
        <f t="shared" si="136"/>
        <v>35242837560</v>
      </c>
      <c r="AB334" s="132">
        <f t="shared" si="136"/>
        <v>0</v>
      </c>
      <c r="AC334" s="132">
        <f t="shared" si="136"/>
        <v>0</v>
      </c>
      <c r="AD334" s="132">
        <f t="shared" si="136"/>
        <v>0</v>
      </c>
      <c r="AE334" s="132">
        <f t="shared" si="136"/>
        <v>0</v>
      </c>
      <c r="AF334" s="132">
        <f t="shared" si="136"/>
        <v>2034618945</v>
      </c>
      <c r="AG334" s="132">
        <f t="shared" si="136"/>
        <v>0</v>
      </c>
      <c r="AH334" s="132">
        <f t="shared" si="136"/>
        <v>2632245289</v>
      </c>
      <c r="AI334" s="132">
        <f t="shared" si="136"/>
        <v>47203229647.489998</v>
      </c>
      <c r="AJ334" s="132"/>
      <c r="AK334" s="157"/>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row>
    <row r="335" spans="1:77" ht="22.5" customHeight="1" x14ac:dyDescent="0.2">
      <c r="A335" s="133"/>
      <c r="B335" s="67"/>
      <c r="C335" s="67"/>
      <c r="D335" s="67"/>
      <c r="E335" s="67"/>
      <c r="F335" s="141">
        <v>1903</v>
      </c>
      <c r="G335" s="65" t="s">
        <v>1018</v>
      </c>
      <c r="H335" s="179"/>
      <c r="I335" s="179"/>
      <c r="J335" s="140"/>
      <c r="K335" s="139"/>
      <c r="L335" s="140"/>
      <c r="M335" s="140"/>
      <c r="N335" s="135"/>
      <c r="O335" s="141"/>
      <c r="P335" s="135"/>
      <c r="Q335" s="142"/>
      <c r="R335" s="141"/>
      <c r="S335" s="143"/>
      <c r="T335" s="135"/>
      <c r="U335" s="135"/>
      <c r="V335" s="136">
        <f>SUM(V336:V357)</f>
        <v>0</v>
      </c>
      <c r="W335" s="136">
        <f t="shared" ref="W335:AI335" si="137">SUM(W336:W357)</f>
        <v>0</v>
      </c>
      <c r="X335" s="136">
        <f t="shared" si="137"/>
        <v>0</v>
      </c>
      <c r="Y335" s="136">
        <f t="shared" si="137"/>
        <v>0</v>
      </c>
      <c r="Z335" s="136">
        <f t="shared" si="137"/>
        <v>1389901448</v>
      </c>
      <c r="AA335" s="136">
        <f t="shared" si="137"/>
        <v>91081005</v>
      </c>
      <c r="AB335" s="136">
        <f t="shared" si="137"/>
        <v>0</v>
      </c>
      <c r="AC335" s="136">
        <f t="shared" si="137"/>
        <v>0</v>
      </c>
      <c r="AD335" s="136">
        <f t="shared" si="137"/>
        <v>0</v>
      </c>
      <c r="AE335" s="136">
        <f t="shared" si="137"/>
        <v>0</v>
      </c>
      <c r="AF335" s="136">
        <f t="shared" si="137"/>
        <v>252324569</v>
      </c>
      <c r="AG335" s="136">
        <f t="shared" si="137"/>
        <v>0</v>
      </c>
      <c r="AH335" s="136">
        <f t="shared" si="137"/>
        <v>877778292</v>
      </c>
      <c r="AI335" s="136">
        <f t="shared" si="137"/>
        <v>2611085314</v>
      </c>
      <c r="AJ335" s="136"/>
      <c r="AK335" s="144"/>
    </row>
    <row r="336" spans="1:77" ht="66" customHeight="1" x14ac:dyDescent="0.2">
      <c r="A336" s="133"/>
      <c r="B336" s="67"/>
      <c r="C336" s="67"/>
      <c r="D336" s="67"/>
      <c r="E336" s="67"/>
      <c r="F336" s="71"/>
      <c r="G336" s="78"/>
      <c r="H336" s="512" t="s">
        <v>1019</v>
      </c>
      <c r="I336" s="66">
        <v>1903009</v>
      </c>
      <c r="J336" s="518" t="s">
        <v>1020</v>
      </c>
      <c r="K336" s="66">
        <v>1903009</v>
      </c>
      <c r="L336" s="518" t="s">
        <v>1021</v>
      </c>
      <c r="M336" s="96">
        <v>190300900</v>
      </c>
      <c r="N336" s="217" t="s">
        <v>1022</v>
      </c>
      <c r="O336" s="96">
        <v>190300900</v>
      </c>
      <c r="P336" s="217" t="s">
        <v>1023</v>
      </c>
      <c r="Q336" s="88" t="s">
        <v>71</v>
      </c>
      <c r="R336" s="88">
        <v>600</v>
      </c>
      <c r="S336" s="613" t="s">
        <v>1024</v>
      </c>
      <c r="T336" s="615" t="s">
        <v>1025</v>
      </c>
      <c r="U336" s="615" t="s">
        <v>1026</v>
      </c>
      <c r="V336" s="137"/>
      <c r="W336" s="137"/>
      <c r="X336" s="137"/>
      <c r="Y336" s="137"/>
      <c r="Z336" s="110">
        <v>38000000</v>
      </c>
      <c r="AA336" s="257"/>
      <c r="AB336" s="137"/>
      <c r="AC336" s="137"/>
      <c r="AD336" s="258"/>
      <c r="AE336" s="137"/>
      <c r="AF336" s="150">
        <f>40000000-40000000</f>
        <v>0</v>
      </c>
      <c r="AG336" s="137"/>
      <c r="AH336" s="137"/>
      <c r="AI336" s="138">
        <f t="shared" ref="AI336:AI394" si="138">+V336+W336+X336+Y336+Z336+AA336+AB336+AC336+AD336+AE336+AF336+AG336+AH336</f>
        <v>38000000</v>
      </c>
      <c r="AJ336" s="138" t="s">
        <v>1027</v>
      </c>
      <c r="AK336" s="59" t="s">
        <v>1417</v>
      </c>
    </row>
    <row r="337" spans="1:37" s="4" customFormat="1" ht="47.25" customHeight="1" x14ac:dyDescent="0.2">
      <c r="A337" s="55"/>
      <c r="B337" s="92"/>
      <c r="C337" s="92"/>
      <c r="D337" s="92"/>
      <c r="E337" s="92"/>
      <c r="F337" s="95"/>
      <c r="G337" s="77"/>
      <c r="H337" s="518" t="s">
        <v>1028</v>
      </c>
      <c r="I337" s="68">
        <v>1903031</v>
      </c>
      <c r="J337" s="518" t="s">
        <v>1029</v>
      </c>
      <c r="K337" s="68">
        <v>1903031</v>
      </c>
      <c r="L337" s="518" t="s">
        <v>1029</v>
      </c>
      <c r="M337" s="96">
        <v>190303100</v>
      </c>
      <c r="N337" s="217" t="s">
        <v>1030</v>
      </c>
      <c r="O337" s="96">
        <v>190303100</v>
      </c>
      <c r="P337" s="217" t="s">
        <v>1030</v>
      </c>
      <c r="Q337" s="88" t="s">
        <v>55</v>
      </c>
      <c r="R337" s="88">
        <v>12</v>
      </c>
      <c r="S337" s="613"/>
      <c r="T337" s="615"/>
      <c r="U337" s="615"/>
      <c r="V337" s="110"/>
      <c r="W337" s="110"/>
      <c r="X337" s="110"/>
      <c r="Y337" s="110"/>
      <c r="Z337" s="232">
        <v>74000000</v>
      </c>
      <c r="AA337" s="255"/>
      <c r="AB337" s="110"/>
      <c r="AC337" s="110"/>
      <c r="AD337" s="256"/>
      <c r="AE337" s="110"/>
      <c r="AF337" s="153"/>
      <c r="AG337" s="110"/>
      <c r="AH337" s="110"/>
      <c r="AI337" s="218">
        <f>+V337+W337+X337+Y337+Z337+AA337+AB337+AC337+AD337+AE337+AF337+AG337+AH337</f>
        <v>74000000</v>
      </c>
      <c r="AJ337" s="138" t="s">
        <v>1027</v>
      </c>
      <c r="AK337" s="59" t="s">
        <v>1417</v>
      </c>
    </row>
    <row r="338" spans="1:37" ht="83.25" customHeight="1" x14ac:dyDescent="0.2">
      <c r="A338" s="133"/>
      <c r="B338" s="67"/>
      <c r="C338" s="67"/>
      <c r="D338" s="67"/>
      <c r="E338" s="67"/>
      <c r="F338" s="71"/>
      <c r="G338" s="78"/>
      <c r="H338" s="512" t="s">
        <v>1031</v>
      </c>
      <c r="I338" s="66">
        <v>1903023</v>
      </c>
      <c r="J338" s="518" t="s">
        <v>1032</v>
      </c>
      <c r="K338" s="66">
        <v>1903023</v>
      </c>
      <c r="L338" s="518" t="s">
        <v>1032</v>
      </c>
      <c r="M338" s="96">
        <v>190302300</v>
      </c>
      <c r="N338" s="217" t="s">
        <v>1033</v>
      </c>
      <c r="O338" s="96">
        <v>190302300</v>
      </c>
      <c r="P338" s="217" t="s">
        <v>1033</v>
      </c>
      <c r="Q338" s="88" t="s">
        <v>55</v>
      </c>
      <c r="R338" s="96">
        <v>12</v>
      </c>
      <c r="S338" s="613"/>
      <c r="T338" s="615"/>
      <c r="U338" s="615"/>
      <c r="V338" s="137"/>
      <c r="W338" s="137"/>
      <c r="X338" s="137"/>
      <c r="Y338" s="137"/>
      <c r="Z338" s="110">
        <v>28000000</v>
      </c>
      <c r="AA338" s="257"/>
      <c r="AB338" s="137"/>
      <c r="AC338" s="137"/>
      <c r="AD338" s="258"/>
      <c r="AE338" s="137"/>
      <c r="AF338" s="57"/>
      <c r="AG338" s="137"/>
      <c r="AH338" s="137"/>
      <c r="AI338" s="138">
        <f t="shared" si="138"/>
        <v>28000000</v>
      </c>
      <c r="AJ338" s="138" t="s">
        <v>1027</v>
      </c>
      <c r="AK338" s="59" t="s">
        <v>1417</v>
      </c>
    </row>
    <row r="339" spans="1:37" ht="175.5" customHeight="1" x14ac:dyDescent="0.2">
      <c r="A339" s="133"/>
      <c r="B339" s="67"/>
      <c r="C339" s="67"/>
      <c r="D339" s="67"/>
      <c r="E339" s="67"/>
      <c r="F339" s="71"/>
      <c r="G339" s="78"/>
      <c r="H339" s="512" t="s">
        <v>1034</v>
      </c>
      <c r="I339" s="66" t="s">
        <v>50</v>
      </c>
      <c r="J339" s="518" t="s">
        <v>1035</v>
      </c>
      <c r="K339" s="68">
        <v>1903050</v>
      </c>
      <c r="L339" s="518" t="s">
        <v>1036</v>
      </c>
      <c r="M339" s="66" t="s">
        <v>50</v>
      </c>
      <c r="N339" s="217" t="s">
        <v>1037</v>
      </c>
      <c r="O339" s="96">
        <v>190305000</v>
      </c>
      <c r="P339" s="217" t="s">
        <v>1038</v>
      </c>
      <c r="Q339" s="88" t="s">
        <v>55</v>
      </c>
      <c r="R339" s="96">
        <v>12</v>
      </c>
      <c r="S339" s="613"/>
      <c r="T339" s="615"/>
      <c r="U339" s="615"/>
      <c r="V339" s="137"/>
      <c r="W339" s="137"/>
      <c r="X339" s="137"/>
      <c r="Y339" s="137"/>
      <c r="Z339" s="110">
        <v>28000000</v>
      </c>
      <c r="AA339" s="294"/>
      <c r="AB339" s="137"/>
      <c r="AC339" s="137"/>
      <c r="AD339" s="258"/>
      <c r="AE339" s="137"/>
      <c r="AF339" s="57"/>
      <c r="AG339" s="137"/>
      <c r="AH339" s="137"/>
      <c r="AI339" s="138">
        <f t="shared" si="138"/>
        <v>28000000</v>
      </c>
      <c r="AJ339" s="138" t="s">
        <v>1027</v>
      </c>
      <c r="AK339" s="59" t="s">
        <v>1417</v>
      </c>
    </row>
    <row r="340" spans="1:37" ht="144" customHeight="1" x14ac:dyDescent="0.2">
      <c r="A340" s="133"/>
      <c r="B340" s="67"/>
      <c r="C340" s="67"/>
      <c r="D340" s="67"/>
      <c r="E340" s="67"/>
      <c r="F340" s="71"/>
      <c r="G340" s="78"/>
      <c r="H340" s="512" t="s">
        <v>1019</v>
      </c>
      <c r="I340" s="66" t="s">
        <v>50</v>
      </c>
      <c r="J340" s="518" t="s">
        <v>1039</v>
      </c>
      <c r="K340" s="68">
        <v>1903038</v>
      </c>
      <c r="L340" s="518" t="s">
        <v>1040</v>
      </c>
      <c r="M340" s="66" t="s">
        <v>50</v>
      </c>
      <c r="N340" s="516" t="s">
        <v>1041</v>
      </c>
      <c r="O340" s="68">
        <v>190303801</v>
      </c>
      <c r="P340" s="516" t="s">
        <v>1042</v>
      </c>
      <c r="Q340" s="88" t="s">
        <v>55</v>
      </c>
      <c r="R340" s="68">
        <v>1</v>
      </c>
      <c r="S340" s="613"/>
      <c r="T340" s="615"/>
      <c r="U340" s="615"/>
      <c r="V340" s="137"/>
      <c r="W340" s="137"/>
      <c r="X340" s="137"/>
      <c r="Y340" s="137"/>
      <c r="Z340" s="110">
        <v>48000000</v>
      </c>
      <c r="AA340" s="257"/>
      <c r="AB340" s="137"/>
      <c r="AC340" s="137"/>
      <c r="AD340" s="258"/>
      <c r="AE340" s="137"/>
      <c r="AF340" s="57"/>
      <c r="AG340" s="137"/>
      <c r="AH340" s="295">
        <f>842700000+2000000</f>
        <v>844700000</v>
      </c>
      <c r="AI340" s="138">
        <f t="shared" si="138"/>
        <v>892700000</v>
      </c>
      <c r="AJ340" s="138" t="s">
        <v>1027</v>
      </c>
      <c r="AK340" s="59" t="s">
        <v>1417</v>
      </c>
    </row>
    <row r="341" spans="1:37" ht="120.75" customHeight="1" x14ac:dyDescent="0.2">
      <c r="A341" s="133"/>
      <c r="B341" s="67"/>
      <c r="C341" s="67"/>
      <c r="D341" s="67"/>
      <c r="E341" s="67"/>
      <c r="F341" s="71"/>
      <c r="G341" s="78"/>
      <c r="H341" s="512" t="s">
        <v>1043</v>
      </c>
      <c r="I341" s="66">
        <v>1903038</v>
      </c>
      <c r="J341" s="518" t="s">
        <v>1040</v>
      </c>
      <c r="K341" s="66">
        <v>1903038</v>
      </c>
      <c r="L341" s="518" t="s">
        <v>1040</v>
      </c>
      <c r="M341" s="96">
        <v>190303801</v>
      </c>
      <c r="N341" s="516" t="s">
        <v>1044</v>
      </c>
      <c r="O341" s="96">
        <v>190303801</v>
      </c>
      <c r="P341" s="516" t="s">
        <v>1044</v>
      </c>
      <c r="Q341" s="88" t="s">
        <v>55</v>
      </c>
      <c r="R341" s="96">
        <v>11</v>
      </c>
      <c r="S341" s="613"/>
      <c r="T341" s="615"/>
      <c r="U341" s="615"/>
      <c r="V341" s="137"/>
      <c r="W341" s="137"/>
      <c r="X341" s="137"/>
      <c r="Y341" s="137"/>
      <c r="Z341" s="295">
        <v>19000000</v>
      </c>
      <c r="AA341" s="257"/>
      <c r="AB341" s="137"/>
      <c r="AC341" s="137"/>
      <c r="AD341" s="258"/>
      <c r="AE341" s="137"/>
      <c r="AF341" s="57"/>
      <c r="AG341" s="137"/>
      <c r="AH341" s="137"/>
      <c r="AI341" s="138">
        <f t="shared" si="138"/>
        <v>19000000</v>
      </c>
      <c r="AJ341" s="138" t="s">
        <v>1027</v>
      </c>
      <c r="AK341" s="59" t="s">
        <v>1417</v>
      </c>
    </row>
    <row r="342" spans="1:37" ht="78.75" customHeight="1" x14ac:dyDescent="0.2">
      <c r="A342" s="133"/>
      <c r="B342" s="67"/>
      <c r="C342" s="67"/>
      <c r="D342" s="67"/>
      <c r="E342" s="67"/>
      <c r="F342" s="71"/>
      <c r="G342" s="78"/>
      <c r="H342" s="512" t="s">
        <v>1028</v>
      </c>
      <c r="I342" s="66">
        <v>1903027</v>
      </c>
      <c r="J342" s="518" t="s">
        <v>1045</v>
      </c>
      <c r="K342" s="66">
        <v>1903027</v>
      </c>
      <c r="L342" s="518" t="s">
        <v>1045</v>
      </c>
      <c r="M342" s="96">
        <v>190302700</v>
      </c>
      <c r="N342" s="217" t="s">
        <v>1046</v>
      </c>
      <c r="O342" s="96">
        <v>190302700</v>
      </c>
      <c r="P342" s="217" t="s">
        <v>1046</v>
      </c>
      <c r="Q342" s="88" t="s">
        <v>55</v>
      </c>
      <c r="R342" s="96">
        <v>5</v>
      </c>
      <c r="S342" s="613"/>
      <c r="T342" s="615"/>
      <c r="U342" s="615"/>
      <c r="V342" s="137"/>
      <c r="W342" s="137"/>
      <c r="X342" s="137"/>
      <c r="Y342" s="137"/>
      <c r="Z342" s="295">
        <v>19000000</v>
      </c>
      <c r="AA342" s="257"/>
      <c r="AB342" s="137"/>
      <c r="AC342" s="137"/>
      <c r="AD342" s="258"/>
      <c r="AE342" s="137"/>
      <c r="AF342" s="57"/>
      <c r="AG342" s="137"/>
      <c r="AH342" s="137"/>
      <c r="AI342" s="138">
        <f t="shared" si="138"/>
        <v>19000000</v>
      </c>
      <c r="AJ342" s="138" t="s">
        <v>1027</v>
      </c>
      <c r="AK342" s="59" t="s">
        <v>1417</v>
      </c>
    </row>
    <row r="343" spans="1:37" ht="69" customHeight="1" x14ac:dyDescent="0.2">
      <c r="A343" s="133"/>
      <c r="B343" s="67"/>
      <c r="C343" s="67"/>
      <c r="D343" s="67"/>
      <c r="E343" s="67"/>
      <c r="F343" s="71"/>
      <c r="G343" s="78"/>
      <c r="H343" s="512" t="s">
        <v>1047</v>
      </c>
      <c r="I343" s="66">
        <v>1903011</v>
      </c>
      <c r="J343" s="518" t="s">
        <v>1048</v>
      </c>
      <c r="K343" s="66">
        <v>1903011</v>
      </c>
      <c r="L343" s="518" t="s">
        <v>1048</v>
      </c>
      <c r="M343" s="96">
        <v>190301100</v>
      </c>
      <c r="N343" s="217" t="s">
        <v>1049</v>
      </c>
      <c r="O343" s="96">
        <v>190301100</v>
      </c>
      <c r="P343" s="217" t="s">
        <v>1050</v>
      </c>
      <c r="Q343" s="88" t="s">
        <v>55</v>
      </c>
      <c r="R343" s="96">
        <v>140</v>
      </c>
      <c r="S343" s="613"/>
      <c r="T343" s="615"/>
      <c r="U343" s="615"/>
      <c r="V343" s="137"/>
      <c r="W343" s="137"/>
      <c r="X343" s="137"/>
      <c r="Y343" s="137"/>
      <c r="Z343" s="110">
        <v>19000000</v>
      </c>
      <c r="AA343" s="257"/>
      <c r="AB343" s="137"/>
      <c r="AC343" s="137"/>
      <c r="AD343" s="258"/>
      <c r="AE343" s="137"/>
      <c r="AF343" s="57"/>
      <c r="AG343" s="137"/>
      <c r="AH343" s="137"/>
      <c r="AI343" s="138">
        <f t="shared" si="138"/>
        <v>19000000</v>
      </c>
      <c r="AJ343" s="138" t="s">
        <v>1027</v>
      </c>
      <c r="AK343" s="59" t="s">
        <v>1417</v>
      </c>
    </row>
    <row r="344" spans="1:37" ht="110.25" customHeight="1" x14ac:dyDescent="0.2">
      <c r="A344" s="133"/>
      <c r="B344" s="67"/>
      <c r="C344" s="67"/>
      <c r="D344" s="67"/>
      <c r="E344" s="67"/>
      <c r="F344" s="71"/>
      <c r="G344" s="517"/>
      <c r="H344" s="512" t="s">
        <v>1051</v>
      </c>
      <c r="I344" s="66">
        <v>1903001</v>
      </c>
      <c r="J344" s="512" t="s">
        <v>99</v>
      </c>
      <c r="K344" s="66">
        <v>1903001</v>
      </c>
      <c r="L344" s="512" t="s">
        <v>99</v>
      </c>
      <c r="M344" s="88">
        <v>190300100</v>
      </c>
      <c r="N344" s="76" t="s">
        <v>1052</v>
      </c>
      <c r="O344" s="88">
        <v>190300100</v>
      </c>
      <c r="P344" s="76" t="s">
        <v>1052</v>
      </c>
      <c r="Q344" s="88" t="s">
        <v>55</v>
      </c>
      <c r="R344" s="88">
        <v>1</v>
      </c>
      <c r="S344" s="613" t="s">
        <v>1053</v>
      </c>
      <c r="T344" s="614" t="s">
        <v>1054</v>
      </c>
      <c r="U344" s="614" t="s">
        <v>1055</v>
      </c>
      <c r="V344" s="137"/>
      <c r="W344" s="137"/>
      <c r="X344" s="137"/>
      <c r="Y344" s="137"/>
      <c r="Z344" s="137">
        <v>81470000</v>
      </c>
      <c r="AA344" s="257"/>
      <c r="AB344" s="137"/>
      <c r="AC344" s="137"/>
      <c r="AD344" s="258"/>
      <c r="AE344" s="137"/>
      <c r="AF344" s="150"/>
      <c r="AG344" s="137"/>
      <c r="AH344" s="137"/>
      <c r="AI344" s="138">
        <f t="shared" si="138"/>
        <v>81470000</v>
      </c>
      <c r="AJ344" s="138" t="s">
        <v>1027</v>
      </c>
      <c r="AK344" s="59" t="s">
        <v>1417</v>
      </c>
    </row>
    <row r="345" spans="1:37" ht="81.75" customHeight="1" x14ac:dyDescent="0.2">
      <c r="A345" s="133"/>
      <c r="B345" s="67"/>
      <c r="C345" s="67"/>
      <c r="D345" s="67"/>
      <c r="E345" s="67"/>
      <c r="F345" s="71"/>
      <c r="G345" s="517"/>
      <c r="H345" s="512" t="s">
        <v>1056</v>
      </c>
      <c r="I345" s="66">
        <v>1903015</v>
      </c>
      <c r="J345" s="512" t="s">
        <v>1057</v>
      </c>
      <c r="K345" s="66">
        <v>1903015</v>
      </c>
      <c r="L345" s="512" t="s">
        <v>1057</v>
      </c>
      <c r="M345" s="88">
        <v>190301500</v>
      </c>
      <c r="N345" s="510" t="s">
        <v>1058</v>
      </c>
      <c r="O345" s="88">
        <v>190301500</v>
      </c>
      <c r="P345" s="510" t="s">
        <v>1058</v>
      </c>
      <c r="Q345" s="88" t="s">
        <v>55</v>
      </c>
      <c r="R345" s="88">
        <v>12</v>
      </c>
      <c r="S345" s="613"/>
      <c r="T345" s="614"/>
      <c r="U345" s="614"/>
      <c r="V345" s="137"/>
      <c r="W345" s="137"/>
      <c r="X345" s="137"/>
      <c r="Y345" s="137"/>
      <c r="Z345" s="137">
        <v>211530000</v>
      </c>
      <c r="AA345" s="257"/>
      <c r="AB345" s="137"/>
      <c r="AC345" s="137"/>
      <c r="AD345" s="258"/>
      <c r="AE345" s="137"/>
      <c r="AF345" s="150"/>
      <c r="AG345" s="137"/>
      <c r="AH345" s="529"/>
      <c r="AI345" s="138">
        <f t="shared" si="138"/>
        <v>211530000</v>
      </c>
      <c r="AJ345" s="138" t="s">
        <v>1027</v>
      </c>
      <c r="AK345" s="59" t="s">
        <v>1417</v>
      </c>
    </row>
    <row r="346" spans="1:37" ht="134.25" customHeight="1" x14ac:dyDescent="0.2">
      <c r="A346" s="133"/>
      <c r="B346" s="67"/>
      <c r="C346" s="67"/>
      <c r="D346" s="67"/>
      <c r="E346" s="67"/>
      <c r="F346" s="71"/>
      <c r="G346" s="517"/>
      <c r="H346" s="512" t="s">
        <v>1059</v>
      </c>
      <c r="I346" s="66">
        <v>1903012</v>
      </c>
      <c r="J346" s="512" t="s">
        <v>1060</v>
      </c>
      <c r="K346" s="66">
        <v>1903012</v>
      </c>
      <c r="L346" s="512" t="s">
        <v>1060</v>
      </c>
      <c r="M346" s="88">
        <v>190301200</v>
      </c>
      <c r="N346" s="510" t="s">
        <v>1061</v>
      </c>
      <c r="O346" s="88">
        <v>190301200</v>
      </c>
      <c r="P346" s="510" t="s">
        <v>1061</v>
      </c>
      <c r="Q346" s="88" t="s">
        <v>55</v>
      </c>
      <c r="R346" s="88">
        <v>4000</v>
      </c>
      <c r="S346" s="613" t="s">
        <v>1062</v>
      </c>
      <c r="T346" s="614" t="s">
        <v>1063</v>
      </c>
      <c r="U346" s="614" t="s">
        <v>1064</v>
      </c>
      <c r="V346" s="137"/>
      <c r="W346" s="137"/>
      <c r="X346" s="137"/>
      <c r="Y346" s="137">
        <f>100000000-100000000</f>
        <v>0</v>
      </c>
      <c r="Z346" s="203">
        <f>610901448+25000000</f>
        <v>635901448</v>
      </c>
      <c r="AA346" s="296"/>
      <c r="AB346" s="137"/>
      <c r="AC346" s="137"/>
      <c r="AD346" s="258"/>
      <c r="AE346" s="137"/>
      <c r="AF346" s="150">
        <f>243062000-243062000+90734569</f>
        <v>90734569</v>
      </c>
      <c r="AG346" s="257"/>
      <c r="AH346" s="578">
        <v>33078292</v>
      </c>
      <c r="AI346" s="314">
        <f t="shared" si="138"/>
        <v>759714309</v>
      </c>
      <c r="AJ346" s="138" t="s">
        <v>1027</v>
      </c>
      <c r="AK346" s="59" t="s">
        <v>1417</v>
      </c>
    </row>
    <row r="347" spans="1:37" ht="77.25" customHeight="1" x14ac:dyDescent="0.2">
      <c r="A347" s="133"/>
      <c r="B347" s="67"/>
      <c r="C347" s="67"/>
      <c r="D347" s="67"/>
      <c r="E347" s="67"/>
      <c r="F347" s="71"/>
      <c r="G347" s="517"/>
      <c r="H347" s="512" t="s">
        <v>1065</v>
      </c>
      <c r="I347" s="66">
        <v>1903016</v>
      </c>
      <c r="J347" s="512" t="s">
        <v>1066</v>
      </c>
      <c r="K347" s="66">
        <v>1903016</v>
      </c>
      <c r="L347" s="512" t="s">
        <v>1066</v>
      </c>
      <c r="M347" s="88">
        <v>190301600</v>
      </c>
      <c r="N347" s="76" t="s">
        <v>1067</v>
      </c>
      <c r="O347" s="88">
        <v>190301600</v>
      </c>
      <c r="P347" s="76" t="s">
        <v>1067</v>
      </c>
      <c r="Q347" s="88" t="s">
        <v>55</v>
      </c>
      <c r="R347" s="88">
        <v>240</v>
      </c>
      <c r="S347" s="613"/>
      <c r="T347" s="614"/>
      <c r="U347" s="614"/>
      <c r="V347" s="137"/>
      <c r="W347" s="137"/>
      <c r="X347" s="137"/>
      <c r="Y347" s="137"/>
      <c r="Z347" s="203">
        <v>94000000</v>
      </c>
      <c r="AA347" s="257"/>
      <c r="AB347" s="137"/>
      <c r="AC347" s="137"/>
      <c r="AD347" s="258"/>
      <c r="AE347" s="137"/>
      <c r="AF347" s="150"/>
      <c r="AG347" s="137"/>
      <c r="AH347" s="285"/>
      <c r="AI347" s="138">
        <f t="shared" si="138"/>
        <v>94000000</v>
      </c>
      <c r="AJ347" s="138" t="s">
        <v>1027</v>
      </c>
      <c r="AK347" s="59" t="s">
        <v>1417</v>
      </c>
    </row>
    <row r="348" spans="1:37" ht="75" customHeight="1" x14ac:dyDescent="0.2">
      <c r="A348" s="133"/>
      <c r="B348" s="67"/>
      <c r="C348" s="67"/>
      <c r="D348" s="67"/>
      <c r="E348" s="67"/>
      <c r="F348" s="71"/>
      <c r="G348" s="517"/>
      <c r="H348" s="512" t="s">
        <v>1047</v>
      </c>
      <c r="I348" s="66">
        <v>1903011</v>
      </c>
      <c r="J348" s="512" t="s">
        <v>1048</v>
      </c>
      <c r="K348" s="66">
        <v>1903011</v>
      </c>
      <c r="L348" s="512" t="s">
        <v>1048</v>
      </c>
      <c r="M348" s="88">
        <v>190301101</v>
      </c>
      <c r="N348" s="510" t="s">
        <v>1068</v>
      </c>
      <c r="O348" s="88">
        <v>190301101</v>
      </c>
      <c r="P348" s="510" t="s">
        <v>1068</v>
      </c>
      <c r="Q348" s="88" t="s">
        <v>55</v>
      </c>
      <c r="R348" s="88">
        <v>12</v>
      </c>
      <c r="S348" s="613"/>
      <c r="T348" s="614"/>
      <c r="U348" s="614"/>
      <c r="V348" s="137"/>
      <c r="W348" s="137"/>
      <c r="X348" s="137"/>
      <c r="Y348" s="137"/>
      <c r="Z348" s="203">
        <v>94000000</v>
      </c>
      <c r="AA348" s="257"/>
      <c r="AB348" s="137"/>
      <c r="AC348" s="137"/>
      <c r="AD348" s="258"/>
      <c r="AE348" s="137"/>
      <c r="AF348" s="150"/>
      <c r="AG348" s="137"/>
      <c r="AH348" s="137"/>
      <c r="AI348" s="138">
        <f t="shared" si="138"/>
        <v>94000000</v>
      </c>
      <c r="AJ348" s="138" t="s">
        <v>1027</v>
      </c>
      <c r="AK348" s="59" t="s">
        <v>1417</v>
      </c>
    </row>
    <row r="349" spans="1:37" ht="86.25" customHeight="1" x14ac:dyDescent="0.2">
      <c r="A349" s="133"/>
      <c r="B349" s="67"/>
      <c r="C349" s="67"/>
      <c r="D349" s="67"/>
      <c r="E349" s="67"/>
      <c r="F349" s="66"/>
      <c r="G349" s="517"/>
      <c r="H349" s="512" t="s">
        <v>1047</v>
      </c>
      <c r="I349" s="66">
        <v>1903034</v>
      </c>
      <c r="J349" s="512" t="s">
        <v>118</v>
      </c>
      <c r="K349" s="66">
        <v>1903034</v>
      </c>
      <c r="L349" s="512" t="s">
        <v>118</v>
      </c>
      <c r="M349" s="88">
        <v>190303400</v>
      </c>
      <c r="N349" s="510" t="s">
        <v>1069</v>
      </c>
      <c r="O349" s="88">
        <v>190303400</v>
      </c>
      <c r="P349" s="510" t="s">
        <v>1069</v>
      </c>
      <c r="Q349" s="88" t="s">
        <v>55</v>
      </c>
      <c r="R349" s="96">
        <v>12</v>
      </c>
      <c r="S349" s="517" t="s">
        <v>1070</v>
      </c>
      <c r="T349" s="510" t="s">
        <v>1071</v>
      </c>
      <c r="U349" s="510" t="s">
        <v>1072</v>
      </c>
      <c r="V349" s="137"/>
      <c r="W349" s="137"/>
      <c r="X349" s="137"/>
      <c r="Y349" s="137"/>
      <c r="Z349" s="137"/>
      <c r="AA349" s="296"/>
      <c r="AB349" s="137"/>
      <c r="AC349" s="137"/>
      <c r="AD349" s="258"/>
      <c r="AE349" s="137"/>
      <c r="AF349" s="150">
        <v>96954000</v>
      </c>
      <c r="AG349" s="137"/>
      <c r="AH349" s="137"/>
      <c r="AI349" s="138">
        <f t="shared" si="138"/>
        <v>96954000</v>
      </c>
      <c r="AJ349" s="138" t="s">
        <v>1027</v>
      </c>
      <c r="AK349" s="59" t="s">
        <v>1417</v>
      </c>
    </row>
    <row r="350" spans="1:37" ht="75" customHeight="1" x14ac:dyDescent="0.2">
      <c r="A350" s="133"/>
      <c r="B350" s="67"/>
      <c r="C350" s="67"/>
      <c r="D350" s="67"/>
      <c r="E350" s="67"/>
      <c r="F350" s="66"/>
      <c r="G350" s="517"/>
      <c r="H350" s="512" t="s">
        <v>1073</v>
      </c>
      <c r="I350" s="66">
        <v>1903045</v>
      </c>
      <c r="J350" s="512" t="s">
        <v>1074</v>
      </c>
      <c r="K350" s="66">
        <v>1903045</v>
      </c>
      <c r="L350" s="512" t="s">
        <v>1074</v>
      </c>
      <c r="M350" s="88">
        <v>190304500</v>
      </c>
      <c r="N350" s="76" t="s">
        <v>1075</v>
      </c>
      <c r="O350" s="88">
        <v>190304500</v>
      </c>
      <c r="P350" s="76" t="s">
        <v>1075</v>
      </c>
      <c r="Q350" s="88" t="s">
        <v>71</v>
      </c>
      <c r="R350" s="96">
        <v>725</v>
      </c>
      <c r="S350" s="613" t="s">
        <v>1076</v>
      </c>
      <c r="T350" s="614" t="s">
        <v>1077</v>
      </c>
      <c r="U350" s="614" t="s">
        <v>1078</v>
      </c>
      <c r="V350" s="137"/>
      <c r="W350" s="137"/>
      <c r="X350" s="137"/>
      <c r="Y350" s="137"/>
      <c r="Z350" s="137"/>
      <c r="AA350" s="296"/>
      <c r="AB350" s="137"/>
      <c r="AC350" s="137"/>
      <c r="AD350" s="258"/>
      <c r="AE350" s="137"/>
      <c r="AF350" s="153">
        <v>19636000</v>
      </c>
      <c r="AG350" s="137"/>
      <c r="AH350" s="137"/>
      <c r="AI350" s="138">
        <f t="shared" si="138"/>
        <v>19636000</v>
      </c>
      <c r="AJ350" s="138" t="s">
        <v>1027</v>
      </c>
      <c r="AK350" s="59" t="s">
        <v>1417</v>
      </c>
    </row>
    <row r="351" spans="1:37" ht="95.25" customHeight="1" x14ac:dyDescent="0.2">
      <c r="A351" s="133"/>
      <c r="B351" s="67"/>
      <c r="C351" s="67"/>
      <c r="D351" s="67"/>
      <c r="E351" s="67"/>
      <c r="F351" s="66"/>
      <c r="G351" s="517"/>
      <c r="H351" s="512" t="s">
        <v>1051</v>
      </c>
      <c r="I351" s="66">
        <v>1903001</v>
      </c>
      <c r="J351" s="512" t="s">
        <v>99</v>
      </c>
      <c r="K351" s="66">
        <v>1903001</v>
      </c>
      <c r="L351" s="512" t="s">
        <v>99</v>
      </c>
      <c r="M351" s="88">
        <v>190300100</v>
      </c>
      <c r="N351" s="76" t="s">
        <v>1052</v>
      </c>
      <c r="O351" s="88">
        <v>190300100</v>
      </c>
      <c r="P351" s="76" t="s">
        <v>1052</v>
      </c>
      <c r="Q351" s="88" t="s">
        <v>55</v>
      </c>
      <c r="R351" s="66">
        <v>1</v>
      </c>
      <c r="S351" s="613"/>
      <c r="T351" s="614"/>
      <c r="U351" s="614"/>
      <c r="V351" s="137"/>
      <c r="W351" s="137"/>
      <c r="X351" s="137"/>
      <c r="Y351" s="137"/>
      <c r="Z351" s="137"/>
      <c r="AA351" s="296"/>
      <c r="AB351" s="137"/>
      <c r="AC351" s="137"/>
      <c r="AD351" s="258"/>
      <c r="AE351" s="137"/>
      <c r="AF351" s="153">
        <v>15000000</v>
      </c>
      <c r="AG351" s="137"/>
      <c r="AH351" s="137"/>
      <c r="AI351" s="138">
        <f t="shared" si="138"/>
        <v>15000000</v>
      </c>
      <c r="AJ351" s="138" t="s">
        <v>1027</v>
      </c>
      <c r="AK351" s="59" t="s">
        <v>1417</v>
      </c>
    </row>
    <row r="352" spans="1:37" ht="71.25" customHeight="1" x14ac:dyDescent="0.2">
      <c r="A352" s="133"/>
      <c r="B352" s="67"/>
      <c r="C352" s="67"/>
      <c r="D352" s="67"/>
      <c r="E352" s="67"/>
      <c r="F352" s="66"/>
      <c r="G352" s="517"/>
      <c r="H352" s="76" t="s">
        <v>1079</v>
      </c>
      <c r="I352" s="88">
        <v>1903010</v>
      </c>
      <c r="J352" s="76" t="s">
        <v>1080</v>
      </c>
      <c r="K352" s="88">
        <v>1903010</v>
      </c>
      <c r="L352" s="76" t="s">
        <v>1080</v>
      </c>
      <c r="M352" s="88">
        <v>190301000</v>
      </c>
      <c r="N352" s="76" t="s">
        <v>1081</v>
      </c>
      <c r="O352" s="88">
        <v>190301000</v>
      </c>
      <c r="P352" s="76" t="s">
        <v>1081</v>
      </c>
      <c r="Q352" s="88" t="s">
        <v>55</v>
      </c>
      <c r="R352" s="96">
        <v>12</v>
      </c>
      <c r="S352" s="613"/>
      <c r="T352" s="614"/>
      <c r="U352" s="614"/>
      <c r="V352" s="137"/>
      <c r="W352" s="137"/>
      <c r="X352" s="137"/>
      <c r="Y352" s="137"/>
      <c r="Z352" s="137"/>
      <c r="AA352" s="296"/>
      <c r="AB352" s="137"/>
      <c r="AC352" s="137"/>
      <c r="AD352" s="258"/>
      <c r="AE352" s="137"/>
      <c r="AF352" s="153">
        <v>15000000</v>
      </c>
      <c r="AG352" s="137"/>
      <c r="AH352" s="137"/>
      <c r="AI352" s="138">
        <f t="shared" si="138"/>
        <v>15000000</v>
      </c>
      <c r="AJ352" s="138" t="s">
        <v>1027</v>
      </c>
      <c r="AK352" s="59" t="s">
        <v>1417</v>
      </c>
    </row>
    <row r="353" spans="1:37" ht="76.5" customHeight="1" x14ac:dyDescent="0.2">
      <c r="A353" s="133"/>
      <c r="B353" s="67"/>
      <c r="C353" s="67"/>
      <c r="D353" s="67"/>
      <c r="E353" s="67"/>
      <c r="F353" s="66"/>
      <c r="G353" s="517"/>
      <c r="H353" s="512" t="s">
        <v>1082</v>
      </c>
      <c r="I353" s="66">
        <v>1903011</v>
      </c>
      <c r="J353" s="512" t="s">
        <v>1048</v>
      </c>
      <c r="K353" s="66">
        <v>1903011</v>
      </c>
      <c r="L353" s="512" t="s">
        <v>1048</v>
      </c>
      <c r="M353" s="88">
        <v>190301101</v>
      </c>
      <c r="N353" s="510" t="s">
        <v>1068</v>
      </c>
      <c r="O353" s="88">
        <v>190301101</v>
      </c>
      <c r="P353" s="510" t="s">
        <v>1068</v>
      </c>
      <c r="Q353" s="88" t="s">
        <v>55</v>
      </c>
      <c r="R353" s="375">
        <v>12</v>
      </c>
      <c r="S353" s="613"/>
      <c r="T353" s="614"/>
      <c r="U353" s="614"/>
      <c r="V353" s="137"/>
      <c r="W353" s="137"/>
      <c r="X353" s="137"/>
      <c r="Y353" s="137"/>
      <c r="Z353" s="137"/>
      <c r="AA353" s="296"/>
      <c r="AB353" s="137"/>
      <c r="AC353" s="137"/>
      <c r="AD353" s="258"/>
      <c r="AE353" s="137"/>
      <c r="AF353" s="153">
        <v>15000000</v>
      </c>
      <c r="AG353" s="137"/>
      <c r="AH353" s="137"/>
      <c r="AI353" s="138">
        <f t="shared" si="138"/>
        <v>15000000</v>
      </c>
      <c r="AJ353" s="138" t="s">
        <v>1027</v>
      </c>
      <c r="AK353" s="59" t="s">
        <v>1417</v>
      </c>
    </row>
    <row r="354" spans="1:37" ht="58.5" customHeight="1" x14ac:dyDescent="0.2">
      <c r="A354" s="133"/>
      <c r="B354" s="67"/>
      <c r="C354" s="67"/>
      <c r="D354" s="67"/>
      <c r="E354" s="67"/>
      <c r="F354" s="66"/>
      <c r="G354" s="517"/>
      <c r="H354" s="512" t="s">
        <v>1083</v>
      </c>
      <c r="I354" s="66">
        <v>1903047</v>
      </c>
      <c r="J354" s="512" t="s">
        <v>1084</v>
      </c>
      <c r="K354" s="66">
        <v>1903047</v>
      </c>
      <c r="L354" s="512" t="s">
        <v>1084</v>
      </c>
      <c r="M354" s="88">
        <v>190304701</v>
      </c>
      <c r="N354" s="76" t="s">
        <v>1085</v>
      </c>
      <c r="O354" s="88">
        <v>190304701</v>
      </c>
      <c r="P354" s="76" t="s">
        <v>1085</v>
      </c>
      <c r="Q354" s="88" t="s">
        <v>55</v>
      </c>
      <c r="R354" s="96">
        <v>1</v>
      </c>
      <c r="S354" s="613" t="s">
        <v>1086</v>
      </c>
      <c r="T354" s="614" t="s">
        <v>1087</v>
      </c>
      <c r="U354" s="614" t="s">
        <v>1088</v>
      </c>
      <c r="V354" s="137"/>
      <c r="W354" s="137"/>
      <c r="X354" s="137"/>
      <c r="Y354" s="137"/>
      <c r="Z354" s="137"/>
      <c r="AA354" s="417">
        <f>15000000-5000000</f>
        <v>10000000</v>
      </c>
      <c r="AB354" s="137"/>
      <c r="AC354" s="137"/>
      <c r="AD354" s="258"/>
      <c r="AE354" s="137"/>
      <c r="AF354" s="150"/>
      <c r="AG354" s="137"/>
      <c r="AH354" s="137"/>
      <c r="AI354" s="138">
        <f t="shared" si="138"/>
        <v>10000000</v>
      </c>
      <c r="AJ354" s="138" t="s">
        <v>1027</v>
      </c>
      <c r="AK354" s="59" t="s">
        <v>1417</v>
      </c>
    </row>
    <row r="355" spans="1:37" ht="90.75" customHeight="1" x14ac:dyDescent="0.2">
      <c r="A355" s="133"/>
      <c r="B355" s="67"/>
      <c r="C355" s="67"/>
      <c r="D355" s="67"/>
      <c r="E355" s="67"/>
      <c r="F355" s="66"/>
      <c r="G355" s="517"/>
      <c r="H355" s="512" t="s">
        <v>1089</v>
      </c>
      <c r="I355" s="66">
        <v>1903019</v>
      </c>
      <c r="J355" s="512" t="s">
        <v>1090</v>
      </c>
      <c r="K355" s="66">
        <v>1903019</v>
      </c>
      <c r="L355" s="512" t="s">
        <v>1090</v>
      </c>
      <c r="M355" s="88">
        <v>190301900</v>
      </c>
      <c r="N355" s="76" t="s">
        <v>1091</v>
      </c>
      <c r="O355" s="88">
        <v>190301900</v>
      </c>
      <c r="P355" s="76" t="s">
        <v>1091</v>
      </c>
      <c r="Q355" s="88" t="s">
        <v>55</v>
      </c>
      <c r="R355" s="96">
        <v>75</v>
      </c>
      <c r="S355" s="613"/>
      <c r="T355" s="614"/>
      <c r="U355" s="614"/>
      <c r="V355" s="137"/>
      <c r="W355" s="137"/>
      <c r="X355" s="137"/>
      <c r="Y355" s="137"/>
      <c r="Z355" s="137"/>
      <c r="AA355" s="417">
        <f>55000000-27918995</f>
        <v>27081005</v>
      </c>
      <c r="AB355" s="418"/>
      <c r="AC355" s="137"/>
      <c r="AD355" s="258"/>
      <c r="AE355" s="137"/>
      <c r="AF355" s="150"/>
      <c r="AG355" s="137"/>
      <c r="AH355" s="137"/>
      <c r="AI355" s="138">
        <f t="shared" si="138"/>
        <v>27081005</v>
      </c>
      <c r="AJ355" s="138" t="s">
        <v>1027</v>
      </c>
      <c r="AK355" s="59" t="s">
        <v>1417</v>
      </c>
    </row>
    <row r="356" spans="1:37" ht="88.5" customHeight="1" x14ac:dyDescent="0.2">
      <c r="A356" s="133"/>
      <c r="B356" s="67"/>
      <c r="C356" s="67"/>
      <c r="D356" s="67"/>
      <c r="E356" s="67"/>
      <c r="F356" s="66"/>
      <c r="G356" s="517"/>
      <c r="H356" s="512" t="s">
        <v>1092</v>
      </c>
      <c r="I356" s="66">
        <v>1903028</v>
      </c>
      <c r="J356" s="512" t="s">
        <v>1093</v>
      </c>
      <c r="K356" s="66">
        <v>1903028</v>
      </c>
      <c r="L356" s="512" t="s">
        <v>1093</v>
      </c>
      <c r="M356" s="88">
        <v>190302800</v>
      </c>
      <c r="N356" s="510" t="s">
        <v>1094</v>
      </c>
      <c r="O356" s="88">
        <v>190302800</v>
      </c>
      <c r="P356" s="510" t="s">
        <v>1094</v>
      </c>
      <c r="Q356" s="88" t="s">
        <v>55</v>
      </c>
      <c r="R356" s="96">
        <v>250</v>
      </c>
      <c r="S356" s="613"/>
      <c r="T356" s="614"/>
      <c r="U356" s="614"/>
      <c r="V356" s="137"/>
      <c r="W356" s="137"/>
      <c r="X356" s="137"/>
      <c r="Y356" s="137"/>
      <c r="Z356" s="137"/>
      <c r="AA356" s="417">
        <f>40000000-26000000</f>
        <v>14000000</v>
      </c>
      <c r="AB356" s="137"/>
      <c r="AC356" s="137"/>
      <c r="AD356" s="258"/>
      <c r="AE356" s="137"/>
      <c r="AF356" s="150"/>
      <c r="AG356" s="137"/>
      <c r="AH356" s="137"/>
      <c r="AI356" s="138">
        <f t="shared" si="138"/>
        <v>14000000</v>
      </c>
      <c r="AJ356" s="138" t="s">
        <v>1027</v>
      </c>
      <c r="AK356" s="59" t="s">
        <v>1417</v>
      </c>
    </row>
    <row r="357" spans="1:37" ht="85.5" customHeight="1" x14ac:dyDescent="0.2">
      <c r="A357" s="133"/>
      <c r="B357" s="67"/>
      <c r="C357" s="67"/>
      <c r="D357" s="67"/>
      <c r="E357" s="67"/>
      <c r="F357" s="66"/>
      <c r="G357" s="517"/>
      <c r="H357" s="512" t="s">
        <v>1056</v>
      </c>
      <c r="I357" s="66">
        <v>1903025</v>
      </c>
      <c r="J357" s="512" t="s">
        <v>1095</v>
      </c>
      <c r="K357" s="66">
        <v>1903025</v>
      </c>
      <c r="L357" s="512" t="s">
        <v>1095</v>
      </c>
      <c r="M357" s="88">
        <v>190302500</v>
      </c>
      <c r="N357" s="76" t="s">
        <v>1096</v>
      </c>
      <c r="O357" s="88">
        <v>190302500</v>
      </c>
      <c r="P357" s="76" t="s">
        <v>1096</v>
      </c>
      <c r="Q357" s="205" t="s">
        <v>55</v>
      </c>
      <c r="R357" s="96">
        <v>12</v>
      </c>
      <c r="S357" s="613"/>
      <c r="T357" s="614"/>
      <c r="U357" s="614"/>
      <c r="V357" s="137"/>
      <c r="W357" s="137"/>
      <c r="X357" s="137"/>
      <c r="Y357" s="137"/>
      <c r="Z357" s="137"/>
      <c r="AA357" s="417">
        <v>40000000</v>
      </c>
      <c r="AB357" s="137"/>
      <c r="AC357" s="137"/>
      <c r="AD357" s="258"/>
      <c r="AE357" s="137"/>
      <c r="AF357" s="150"/>
      <c r="AG357" s="137"/>
      <c r="AH357" s="137"/>
      <c r="AI357" s="138">
        <f t="shared" si="138"/>
        <v>40000000</v>
      </c>
      <c r="AJ357" s="138" t="s">
        <v>1027</v>
      </c>
      <c r="AK357" s="59" t="s">
        <v>1417</v>
      </c>
    </row>
    <row r="358" spans="1:37" ht="31.5" customHeight="1" x14ac:dyDescent="0.2">
      <c r="A358" s="133"/>
      <c r="B358" s="67"/>
      <c r="C358" s="67"/>
      <c r="D358" s="67"/>
      <c r="E358" s="67"/>
      <c r="F358" s="141">
        <v>1905</v>
      </c>
      <c r="G358" s="65" t="s">
        <v>796</v>
      </c>
      <c r="H358" s="179"/>
      <c r="I358" s="179"/>
      <c r="J358" s="140"/>
      <c r="K358" s="139"/>
      <c r="L358" s="140"/>
      <c r="M358" s="140"/>
      <c r="N358" s="135"/>
      <c r="O358" s="141"/>
      <c r="P358" s="135"/>
      <c r="Q358" s="142"/>
      <c r="R358" s="141"/>
      <c r="S358" s="143"/>
      <c r="T358" s="135"/>
      <c r="U358" s="135"/>
      <c r="V358" s="297">
        <f>SUM(V359:V387)</f>
        <v>0</v>
      </c>
      <c r="W358" s="297">
        <f t="shared" ref="W358:AH358" si="139">SUM(W359:W387)</f>
        <v>0</v>
      </c>
      <c r="X358" s="297">
        <f t="shared" si="139"/>
        <v>0</v>
      </c>
      <c r="Y358" s="297">
        <f t="shared" si="139"/>
        <v>0</v>
      </c>
      <c r="Z358" s="297">
        <f t="shared" si="139"/>
        <v>3279598376.4899998</v>
      </c>
      <c r="AA358" s="298">
        <f t="shared" si="139"/>
        <v>0</v>
      </c>
      <c r="AB358" s="297">
        <f t="shared" si="139"/>
        <v>0</v>
      </c>
      <c r="AC358" s="297">
        <f t="shared" si="139"/>
        <v>0</v>
      </c>
      <c r="AD358" s="299">
        <f t="shared" si="139"/>
        <v>0</v>
      </c>
      <c r="AE358" s="297">
        <f t="shared" si="139"/>
        <v>0</v>
      </c>
      <c r="AF358" s="297">
        <f>SUM(AF359:AF387)</f>
        <v>1551904376</v>
      </c>
      <c r="AG358" s="297">
        <f t="shared" si="139"/>
        <v>0</v>
      </c>
      <c r="AH358" s="297">
        <f t="shared" si="139"/>
        <v>392854357</v>
      </c>
      <c r="AI358" s="297">
        <f>SUM(AI359:AI387)</f>
        <v>5224357109.4899998</v>
      </c>
      <c r="AJ358" s="297"/>
      <c r="AK358" s="300"/>
    </row>
    <row r="359" spans="1:37" ht="159.75" customHeight="1" x14ac:dyDescent="0.2">
      <c r="A359" s="133"/>
      <c r="B359" s="67"/>
      <c r="C359" s="67"/>
      <c r="D359" s="67"/>
      <c r="E359" s="67"/>
      <c r="F359" s="71"/>
      <c r="G359" s="517"/>
      <c r="H359" s="512" t="s">
        <v>1031</v>
      </c>
      <c r="I359" s="66">
        <v>1905028</v>
      </c>
      <c r="J359" s="512" t="s">
        <v>1097</v>
      </c>
      <c r="K359" s="66">
        <v>1905028</v>
      </c>
      <c r="L359" s="512" t="s">
        <v>1097</v>
      </c>
      <c r="M359" s="88">
        <v>190502800</v>
      </c>
      <c r="N359" s="510" t="s">
        <v>1098</v>
      </c>
      <c r="O359" s="88">
        <v>190502800</v>
      </c>
      <c r="P359" s="510" t="s">
        <v>1098</v>
      </c>
      <c r="Q359" s="517" t="s">
        <v>55</v>
      </c>
      <c r="R359" s="96">
        <v>12</v>
      </c>
      <c r="S359" s="613" t="s">
        <v>1099</v>
      </c>
      <c r="T359" s="614" t="s">
        <v>1100</v>
      </c>
      <c r="U359" s="614" t="s">
        <v>1101</v>
      </c>
      <c r="V359" s="137"/>
      <c r="W359" s="137"/>
      <c r="X359" s="137"/>
      <c r="Y359" s="137"/>
      <c r="Z359" s="110">
        <v>38000000</v>
      </c>
      <c r="AA359" s="257"/>
      <c r="AB359" s="137"/>
      <c r="AC359" s="137"/>
      <c r="AD359" s="258"/>
      <c r="AE359" s="137"/>
      <c r="AF359" s="150"/>
      <c r="AG359" s="137"/>
      <c r="AH359" s="137"/>
      <c r="AI359" s="138">
        <f t="shared" si="138"/>
        <v>38000000</v>
      </c>
      <c r="AJ359" s="138" t="s">
        <v>1027</v>
      </c>
      <c r="AK359" s="59" t="s">
        <v>1417</v>
      </c>
    </row>
    <row r="360" spans="1:37" ht="114.75" customHeight="1" x14ac:dyDescent="0.2">
      <c r="A360" s="133"/>
      <c r="B360" s="67"/>
      <c r="C360" s="67"/>
      <c r="D360" s="67"/>
      <c r="E360" s="67"/>
      <c r="F360" s="71"/>
      <c r="G360" s="517"/>
      <c r="H360" s="512" t="s">
        <v>1031</v>
      </c>
      <c r="I360" s="66">
        <v>1905031</v>
      </c>
      <c r="J360" s="512" t="s">
        <v>1102</v>
      </c>
      <c r="K360" s="66">
        <v>1905031</v>
      </c>
      <c r="L360" s="512" t="s">
        <v>1102</v>
      </c>
      <c r="M360" s="66">
        <v>190503100</v>
      </c>
      <c r="N360" s="510" t="s">
        <v>1103</v>
      </c>
      <c r="O360" s="66">
        <v>190503100</v>
      </c>
      <c r="P360" s="510" t="s">
        <v>1103</v>
      </c>
      <c r="Q360" s="88" t="s">
        <v>55</v>
      </c>
      <c r="R360" s="96">
        <v>12</v>
      </c>
      <c r="S360" s="613"/>
      <c r="T360" s="614"/>
      <c r="U360" s="614"/>
      <c r="V360" s="137"/>
      <c r="W360" s="137"/>
      <c r="X360" s="137"/>
      <c r="Y360" s="137"/>
      <c r="Z360" s="110">
        <v>38000000</v>
      </c>
      <c r="AA360" s="257"/>
      <c r="AB360" s="137"/>
      <c r="AC360" s="137"/>
      <c r="AD360" s="258"/>
      <c r="AE360" s="137"/>
      <c r="AF360" s="150"/>
      <c r="AG360" s="137"/>
      <c r="AH360" s="137"/>
      <c r="AI360" s="138">
        <f t="shared" si="138"/>
        <v>38000000</v>
      </c>
      <c r="AJ360" s="138" t="s">
        <v>1027</v>
      </c>
      <c r="AK360" s="59" t="s">
        <v>1417</v>
      </c>
    </row>
    <row r="361" spans="1:37" ht="73.5" customHeight="1" x14ac:dyDescent="0.2">
      <c r="A361" s="133"/>
      <c r="B361" s="67"/>
      <c r="C361" s="67"/>
      <c r="D361" s="67"/>
      <c r="E361" s="67"/>
      <c r="F361" s="71"/>
      <c r="G361" s="517"/>
      <c r="H361" s="512" t="s">
        <v>1104</v>
      </c>
      <c r="I361" s="66">
        <v>1905019</v>
      </c>
      <c r="J361" s="512" t="s">
        <v>1105</v>
      </c>
      <c r="K361" s="66">
        <v>1905019</v>
      </c>
      <c r="L361" s="512" t="s">
        <v>1105</v>
      </c>
      <c r="M361" s="66">
        <v>190501900</v>
      </c>
      <c r="N361" s="510" t="s">
        <v>350</v>
      </c>
      <c r="O361" s="66">
        <v>190501900</v>
      </c>
      <c r="P361" s="510" t="s">
        <v>350</v>
      </c>
      <c r="Q361" s="88" t="s">
        <v>55</v>
      </c>
      <c r="R361" s="96">
        <v>60</v>
      </c>
      <c r="S361" s="613" t="s">
        <v>1106</v>
      </c>
      <c r="T361" s="614" t="s">
        <v>1107</v>
      </c>
      <c r="U361" s="614" t="s">
        <v>1108</v>
      </c>
      <c r="V361" s="137"/>
      <c r="W361" s="137"/>
      <c r="X361" s="137"/>
      <c r="Y361" s="137"/>
      <c r="Z361" s="301">
        <v>20000000</v>
      </c>
      <c r="AA361" s="257"/>
      <c r="AB361" s="137"/>
      <c r="AC361" s="137"/>
      <c r="AD361" s="258"/>
      <c r="AE361" s="137"/>
      <c r="AF361" s="150"/>
      <c r="AG361" s="137"/>
      <c r="AH361" s="137"/>
      <c r="AI361" s="138">
        <f t="shared" si="138"/>
        <v>20000000</v>
      </c>
      <c r="AJ361" s="138" t="s">
        <v>1027</v>
      </c>
      <c r="AK361" s="59" t="s">
        <v>1417</v>
      </c>
    </row>
    <row r="362" spans="1:37" ht="152.25" customHeight="1" x14ac:dyDescent="0.2">
      <c r="A362" s="133"/>
      <c r="B362" s="67"/>
      <c r="C362" s="67"/>
      <c r="D362" s="67"/>
      <c r="E362" s="67"/>
      <c r="F362" s="71"/>
      <c r="G362" s="517"/>
      <c r="H362" s="512" t="s">
        <v>1109</v>
      </c>
      <c r="I362" s="66" t="s">
        <v>1110</v>
      </c>
      <c r="J362" s="512" t="s">
        <v>1111</v>
      </c>
      <c r="K362" s="66">
        <v>1905031</v>
      </c>
      <c r="L362" s="512" t="s">
        <v>1112</v>
      </c>
      <c r="M362" s="66" t="s">
        <v>1110</v>
      </c>
      <c r="N362" s="510" t="s">
        <v>1113</v>
      </c>
      <c r="O362" s="66">
        <v>190503100</v>
      </c>
      <c r="P362" s="510" t="s">
        <v>1114</v>
      </c>
      <c r="Q362" s="517" t="s">
        <v>55</v>
      </c>
      <c r="R362" s="88">
        <v>11</v>
      </c>
      <c r="S362" s="613"/>
      <c r="T362" s="614"/>
      <c r="U362" s="614"/>
      <c r="V362" s="137"/>
      <c r="W362" s="137"/>
      <c r="X362" s="137"/>
      <c r="Y362" s="137"/>
      <c r="Z362" s="301">
        <v>20000000</v>
      </c>
      <c r="AA362" s="257"/>
      <c r="AB362" s="137"/>
      <c r="AC362" s="137"/>
      <c r="AD362" s="258"/>
      <c r="AE362" s="137"/>
      <c r="AF362" s="150"/>
      <c r="AG362" s="137"/>
      <c r="AH362" s="137"/>
      <c r="AI362" s="138">
        <f t="shared" si="138"/>
        <v>20000000</v>
      </c>
      <c r="AJ362" s="138" t="s">
        <v>1027</v>
      </c>
      <c r="AK362" s="59" t="s">
        <v>1417</v>
      </c>
    </row>
    <row r="363" spans="1:37" ht="112.5" customHeight="1" x14ac:dyDescent="0.2">
      <c r="A363" s="133"/>
      <c r="B363" s="67"/>
      <c r="C363" s="67"/>
      <c r="D363" s="67"/>
      <c r="E363" s="67"/>
      <c r="F363" s="71"/>
      <c r="G363" s="517"/>
      <c r="H363" s="512" t="s">
        <v>1115</v>
      </c>
      <c r="I363" s="66" t="s">
        <v>50</v>
      </c>
      <c r="J363" s="512" t="s">
        <v>1116</v>
      </c>
      <c r="K363" s="66">
        <v>1905015</v>
      </c>
      <c r="L363" s="512" t="s">
        <v>252</v>
      </c>
      <c r="M363" s="66" t="s">
        <v>50</v>
      </c>
      <c r="N363" s="76" t="s">
        <v>1117</v>
      </c>
      <c r="O363" s="66">
        <v>190501500</v>
      </c>
      <c r="P363" s="76" t="s">
        <v>254</v>
      </c>
      <c r="Q363" s="88" t="s">
        <v>55</v>
      </c>
      <c r="R363" s="96">
        <v>1</v>
      </c>
      <c r="S363" s="613"/>
      <c r="T363" s="614"/>
      <c r="U363" s="614"/>
      <c r="V363" s="137"/>
      <c r="W363" s="137"/>
      <c r="X363" s="137"/>
      <c r="Y363" s="137"/>
      <c r="Z363" s="301">
        <v>20000000</v>
      </c>
      <c r="AA363" s="257"/>
      <c r="AB363" s="137"/>
      <c r="AC363" s="137"/>
      <c r="AD363" s="258"/>
      <c r="AE363" s="137"/>
      <c r="AF363" s="150"/>
      <c r="AG363" s="137"/>
      <c r="AH363" s="137"/>
      <c r="AI363" s="138">
        <f t="shared" si="138"/>
        <v>20000000</v>
      </c>
      <c r="AJ363" s="138" t="s">
        <v>1027</v>
      </c>
      <c r="AK363" s="59" t="s">
        <v>1417</v>
      </c>
    </row>
    <row r="364" spans="1:37" ht="120.75" customHeight="1" x14ac:dyDescent="0.2">
      <c r="A364" s="133"/>
      <c r="B364" s="67"/>
      <c r="C364" s="67"/>
      <c r="D364" s="67"/>
      <c r="E364" s="67"/>
      <c r="F364" s="71"/>
      <c r="G364" s="517"/>
      <c r="H364" s="512" t="s">
        <v>1034</v>
      </c>
      <c r="I364" s="66" t="s">
        <v>50</v>
      </c>
      <c r="J364" s="512" t="s">
        <v>1118</v>
      </c>
      <c r="K364" s="66">
        <v>1905024</v>
      </c>
      <c r="L364" s="512" t="s">
        <v>1119</v>
      </c>
      <c r="M364" s="66" t="s">
        <v>50</v>
      </c>
      <c r="N364" s="76" t="s">
        <v>1120</v>
      </c>
      <c r="O364" s="66">
        <v>190502400</v>
      </c>
      <c r="P364" s="76" t="s">
        <v>1121</v>
      </c>
      <c r="Q364" s="88" t="s">
        <v>71</v>
      </c>
      <c r="R364" s="96">
        <v>3</v>
      </c>
      <c r="S364" s="613"/>
      <c r="T364" s="614"/>
      <c r="U364" s="614"/>
      <c r="V364" s="137"/>
      <c r="W364" s="137"/>
      <c r="X364" s="137"/>
      <c r="Y364" s="137"/>
      <c r="Z364" s="301">
        <v>64000000</v>
      </c>
      <c r="AA364" s="257"/>
      <c r="AB364" s="137"/>
      <c r="AC364" s="137"/>
      <c r="AD364" s="258"/>
      <c r="AE364" s="137"/>
      <c r="AF364" s="150"/>
      <c r="AG364" s="137"/>
      <c r="AH364" s="137"/>
      <c r="AI364" s="138">
        <f t="shared" si="138"/>
        <v>64000000</v>
      </c>
      <c r="AJ364" s="138" t="s">
        <v>1027</v>
      </c>
      <c r="AK364" s="59" t="s">
        <v>1417</v>
      </c>
    </row>
    <row r="365" spans="1:37" ht="78" customHeight="1" x14ac:dyDescent="0.2">
      <c r="A365" s="133"/>
      <c r="B365" s="67"/>
      <c r="C365" s="67"/>
      <c r="D365" s="67"/>
      <c r="E365" s="67"/>
      <c r="F365" s="71"/>
      <c r="G365" s="517"/>
      <c r="H365" s="512" t="s">
        <v>1122</v>
      </c>
      <c r="I365" s="66" t="s">
        <v>50</v>
      </c>
      <c r="J365" s="512" t="s">
        <v>1123</v>
      </c>
      <c r="K365" s="66">
        <v>1905015</v>
      </c>
      <c r="L365" s="512" t="s">
        <v>252</v>
      </c>
      <c r="M365" s="66" t="s">
        <v>50</v>
      </c>
      <c r="N365" s="76" t="s">
        <v>1124</v>
      </c>
      <c r="O365" s="66">
        <v>190501500</v>
      </c>
      <c r="P365" s="76" t="s">
        <v>254</v>
      </c>
      <c r="Q365" s="517" t="s">
        <v>71</v>
      </c>
      <c r="R365" s="96">
        <v>4</v>
      </c>
      <c r="S365" s="613"/>
      <c r="T365" s="614"/>
      <c r="U365" s="614"/>
      <c r="V365" s="137"/>
      <c r="W365" s="137"/>
      <c r="X365" s="137"/>
      <c r="Y365" s="137"/>
      <c r="Z365" s="301">
        <v>20000000</v>
      </c>
      <c r="AA365" s="257"/>
      <c r="AB365" s="137"/>
      <c r="AC365" s="137"/>
      <c r="AD365" s="258"/>
      <c r="AE365" s="137"/>
      <c r="AF365" s="153"/>
      <c r="AG365" s="137"/>
      <c r="AH365" s="137"/>
      <c r="AI365" s="138">
        <f t="shared" si="138"/>
        <v>20000000</v>
      </c>
      <c r="AJ365" s="138" t="s">
        <v>1027</v>
      </c>
      <c r="AK365" s="59" t="s">
        <v>1417</v>
      </c>
    </row>
    <row r="366" spans="1:37" ht="79.5" customHeight="1" x14ac:dyDescent="0.2">
      <c r="A366" s="133"/>
      <c r="B366" s="67"/>
      <c r="C366" s="67"/>
      <c r="D366" s="67"/>
      <c r="E366" s="67"/>
      <c r="F366" s="71"/>
      <c r="G366" s="517"/>
      <c r="H366" s="512" t="s">
        <v>1034</v>
      </c>
      <c r="I366" s="66" t="s">
        <v>50</v>
      </c>
      <c r="J366" s="512" t="s">
        <v>1125</v>
      </c>
      <c r="K366" s="66">
        <v>1905024</v>
      </c>
      <c r="L366" s="512" t="s">
        <v>1119</v>
      </c>
      <c r="M366" s="66" t="s">
        <v>50</v>
      </c>
      <c r="N366" s="76" t="s">
        <v>1126</v>
      </c>
      <c r="O366" s="88">
        <v>190502400</v>
      </c>
      <c r="P366" s="76" t="s">
        <v>1121</v>
      </c>
      <c r="Q366" s="88" t="s">
        <v>71</v>
      </c>
      <c r="R366" s="88">
        <v>4</v>
      </c>
      <c r="S366" s="613"/>
      <c r="T366" s="614"/>
      <c r="U366" s="614"/>
      <c r="V366" s="137"/>
      <c r="W366" s="137"/>
      <c r="X366" s="137"/>
      <c r="Y366" s="137"/>
      <c r="Z366" s="301">
        <v>28000000</v>
      </c>
      <c r="AA366" s="257"/>
      <c r="AB366" s="137"/>
      <c r="AC366" s="137"/>
      <c r="AD366" s="258"/>
      <c r="AE366" s="137"/>
      <c r="AF366" s="150"/>
      <c r="AG366" s="137"/>
      <c r="AH366" s="137"/>
      <c r="AI366" s="138">
        <f t="shared" si="138"/>
        <v>28000000</v>
      </c>
      <c r="AJ366" s="138" t="s">
        <v>1027</v>
      </c>
      <c r="AK366" s="59" t="s">
        <v>1417</v>
      </c>
    </row>
    <row r="367" spans="1:37" ht="127.5" customHeight="1" x14ac:dyDescent="0.2">
      <c r="A367" s="133"/>
      <c r="B367" s="67"/>
      <c r="C367" s="67"/>
      <c r="D367" s="67"/>
      <c r="E367" s="67"/>
      <c r="F367" s="71"/>
      <c r="G367" s="517"/>
      <c r="H367" s="512" t="s">
        <v>1073</v>
      </c>
      <c r="I367" s="66" t="s">
        <v>50</v>
      </c>
      <c r="J367" s="512" t="s">
        <v>1127</v>
      </c>
      <c r="K367" s="66">
        <v>1905024</v>
      </c>
      <c r="L367" s="512" t="s">
        <v>1119</v>
      </c>
      <c r="M367" s="66" t="s">
        <v>50</v>
      </c>
      <c r="N367" s="76" t="s">
        <v>1128</v>
      </c>
      <c r="O367" s="88">
        <v>190502401</v>
      </c>
      <c r="P367" s="76" t="s">
        <v>1129</v>
      </c>
      <c r="Q367" s="88" t="s">
        <v>55</v>
      </c>
      <c r="R367" s="88">
        <v>12</v>
      </c>
      <c r="S367" s="613"/>
      <c r="T367" s="614"/>
      <c r="U367" s="614"/>
      <c r="V367" s="137"/>
      <c r="W367" s="137"/>
      <c r="X367" s="137"/>
      <c r="Y367" s="137"/>
      <c r="Z367" s="301">
        <v>28000000</v>
      </c>
      <c r="AA367" s="257"/>
      <c r="AB367" s="137"/>
      <c r="AC367" s="137"/>
      <c r="AD367" s="258"/>
      <c r="AE367" s="137"/>
      <c r="AF367" s="150"/>
      <c r="AG367" s="137"/>
      <c r="AH367" s="137"/>
      <c r="AI367" s="138">
        <f t="shared" si="138"/>
        <v>28000000</v>
      </c>
      <c r="AJ367" s="138" t="s">
        <v>1027</v>
      </c>
      <c r="AK367" s="59" t="s">
        <v>1417</v>
      </c>
    </row>
    <row r="368" spans="1:37" ht="120.75" customHeight="1" x14ac:dyDescent="0.2">
      <c r="A368" s="133"/>
      <c r="B368" s="67"/>
      <c r="C368" s="67"/>
      <c r="D368" s="67"/>
      <c r="E368" s="67"/>
      <c r="F368" s="71"/>
      <c r="G368" s="212"/>
      <c r="H368" s="512" t="s">
        <v>797</v>
      </c>
      <c r="I368" s="66">
        <v>1905021</v>
      </c>
      <c r="J368" s="512" t="s">
        <v>798</v>
      </c>
      <c r="K368" s="66">
        <v>1905021</v>
      </c>
      <c r="L368" s="512" t="s">
        <v>798</v>
      </c>
      <c r="M368" s="88">
        <v>190502100</v>
      </c>
      <c r="N368" s="76" t="s">
        <v>799</v>
      </c>
      <c r="O368" s="88">
        <v>190502100</v>
      </c>
      <c r="P368" s="76" t="s">
        <v>799</v>
      </c>
      <c r="Q368" s="517" t="s">
        <v>55</v>
      </c>
      <c r="R368" s="88">
        <v>12</v>
      </c>
      <c r="S368" s="613" t="s">
        <v>1130</v>
      </c>
      <c r="T368" s="614" t="s">
        <v>1131</v>
      </c>
      <c r="U368" s="614" t="s">
        <v>1132</v>
      </c>
      <c r="V368" s="137"/>
      <c r="W368" s="137"/>
      <c r="X368" s="137"/>
      <c r="Y368" s="137"/>
      <c r="Z368" s="301">
        <v>105000000</v>
      </c>
      <c r="AA368" s="257"/>
      <c r="AB368" s="137"/>
      <c r="AC368" s="137"/>
      <c r="AD368" s="258"/>
      <c r="AE368" s="137"/>
      <c r="AF368" s="150"/>
      <c r="AG368" s="137"/>
      <c r="AH368" s="137"/>
      <c r="AI368" s="138">
        <f t="shared" si="138"/>
        <v>105000000</v>
      </c>
      <c r="AJ368" s="138" t="s">
        <v>1027</v>
      </c>
      <c r="AK368" s="59" t="s">
        <v>1417</v>
      </c>
    </row>
    <row r="369" spans="1:37" ht="156" customHeight="1" x14ac:dyDescent="0.2">
      <c r="A369" s="133"/>
      <c r="B369" s="67"/>
      <c r="C369" s="67"/>
      <c r="D369" s="67"/>
      <c r="E369" s="67"/>
      <c r="F369" s="71"/>
      <c r="G369" s="517"/>
      <c r="H369" s="512" t="s">
        <v>1109</v>
      </c>
      <c r="I369" s="66" t="s">
        <v>50</v>
      </c>
      <c r="J369" s="512" t="s">
        <v>1133</v>
      </c>
      <c r="K369" s="66">
        <v>1905021</v>
      </c>
      <c r="L369" s="512" t="s">
        <v>1134</v>
      </c>
      <c r="M369" s="66" t="s">
        <v>50</v>
      </c>
      <c r="N369" s="510" t="s">
        <v>1113</v>
      </c>
      <c r="O369" s="66">
        <v>190502100</v>
      </c>
      <c r="P369" s="510" t="s">
        <v>1135</v>
      </c>
      <c r="Q369" s="517" t="s">
        <v>55</v>
      </c>
      <c r="R369" s="88">
        <v>11</v>
      </c>
      <c r="S369" s="613"/>
      <c r="T369" s="614"/>
      <c r="U369" s="614"/>
      <c r="V369" s="137"/>
      <c r="W369" s="137"/>
      <c r="X369" s="137"/>
      <c r="Y369" s="137"/>
      <c r="Z369" s="301">
        <v>56000000</v>
      </c>
      <c r="AA369" s="257"/>
      <c r="AB369" s="137"/>
      <c r="AC369" s="137"/>
      <c r="AD369" s="258"/>
      <c r="AE369" s="137"/>
      <c r="AF369" s="150"/>
      <c r="AG369" s="137"/>
      <c r="AH369" s="137"/>
      <c r="AI369" s="138">
        <f t="shared" si="138"/>
        <v>56000000</v>
      </c>
      <c r="AJ369" s="138" t="s">
        <v>1027</v>
      </c>
      <c r="AK369" s="59" t="s">
        <v>1417</v>
      </c>
    </row>
    <row r="370" spans="1:37" ht="129.75" customHeight="1" x14ac:dyDescent="0.2">
      <c r="A370" s="133"/>
      <c r="B370" s="67"/>
      <c r="C370" s="67"/>
      <c r="D370" s="67"/>
      <c r="E370" s="67"/>
      <c r="F370" s="71"/>
      <c r="G370" s="517"/>
      <c r="H370" s="512" t="s">
        <v>1056</v>
      </c>
      <c r="I370" s="73">
        <v>1905020</v>
      </c>
      <c r="J370" s="512" t="s">
        <v>1136</v>
      </c>
      <c r="K370" s="73">
        <v>1905020</v>
      </c>
      <c r="L370" s="512" t="s">
        <v>1136</v>
      </c>
      <c r="M370" s="88">
        <v>190502000</v>
      </c>
      <c r="N370" s="76" t="s">
        <v>1137</v>
      </c>
      <c r="O370" s="88">
        <v>190502000</v>
      </c>
      <c r="P370" s="76" t="s">
        <v>1137</v>
      </c>
      <c r="Q370" s="88" t="s">
        <v>55</v>
      </c>
      <c r="R370" s="96">
        <v>12</v>
      </c>
      <c r="S370" s="613" t="s">
        <v>1138</v>
      </c>
      <c r="T370" s="614" t="s">
        <v>1139</v>
      </c>
      <c r="U370" s="614" t="s">
        <v>1140</v>
      </c>
      <c r="V370" s="137"/>
      <c r="W370" s="137"/>
      <c r="X370" s="137"/>
      <c r="Y370" s="137"/>
      <c r="Z370" s="302">
        <v>38000000</v>
      </c>
      <c r="AA370" s="257"/>
      <c r="AB370" s="137"/>
      <c r="AC370" s="137"/>
      <c r="AD370" s="258"/>
      <c r="AE370" s="137"/>
      <c r="AF370" s="150"/>
      <c r="AG370" s="137"/>
      <c r="AH370" s="137"/>
      <c r="AI370" s="138">
        <f t="shared" si="138"/>
        <v>38000000</v>
      </c>
      <c r="AJ370" s="138" t="s">
        <v>1027</v>
      </c>
      <c r="AK370" s="59" t="s">
        <v>1417</v>
      </c>
    </row>
    <row r="371" spans="1:37" ht="183" customHeight="1" x14ac:dyDescent="0.2">
      <c r="A371" s="133"/>
      <c r="B371" s="67"/>
      <c r="C371" s="67"/>
      <c r="D371" s="67"/>
      <c r="E371" s="67"/>
      <c r="F371" s="71"/>
      <c r="G371" s="212"/>
      <c r="H371" s="512" t="s">
        <v>805</v>
      </c>
      <c r="I371" s="73">
        <v>1905022</v>
      </c>
      <c r="J371" s="512" t="s">
        <v>806</v>
      </c>
      <c r="K371" s="73">
        <v>1905022</v>
      </c>
      <c r="L371" s="512" t="s">
        <v>806</v>
      </c>
      <c r="M371" s="88">
        <v>190502200</v>
      </c>
      <c r="N371" s="76" t="s">
        <v>807</v>
      </c>
      <c r="O371" s="88">
        <v>190502200</v>
      </c>
      <c r="P371" s="76" t="s">
        <v>807</v>
      </c>
      <c r="Q371" s="88" t="s">
        <v>55</v>
      </c>
      <c r="R371" s="96">
        <v>12</v>
      </c>
      <c r="S371" s="613"/>
      <c r="T371" s="614"/>
      <c r="U371" s="614"/>
      <c r="V371" s="137"/>
      <c r="W371" s="137"/>
      <c r="X371" s="137"/>
      <c r="Y371" s="137"/>
      <c r="Z371" s="302">
        <v>57000000</v>
      </c>
      <c r="AA371" s="257"/>
      <c r="AB371" s="137"/>
      <c r="AC371" s="137"/>
      <c r="AD371" s="258"/>
      <c r="AE371" s="137"/>
      <c r="AF371" s="150"/>
      <c r="AG371" s="137"/>
      <c r="AH371" s="137"/>
      <c r="AI371" s="138">
        <f t="shared" si="138"/>
        <v>57000000</v>
      </c>
      <c r="AJ371" s="138" t="s">
        <v>1027</v>
      </c>
      <c r="AK371" s="59" t="s">
        <v>1417</v>
      </c>
    </row>
    <row r="372" spans="1:37" ht="96" customHeight="1" x14ac:dyDescent="0.2">
      <c r="A372" s="133"/>
      <c r="B372" s="67"/>
      <c r="C372" s="67"/>
      <c r="D372" s="67"/>
      <c r="E372" s="67"/>
      <c r="F372" s="71"/>
      <c r="G372" s="212"/>
      <c r="H372" s="512" t="s">
        <v>1056</v>
      </c>
      <c r="I372" s="66" t="s">
        <v>50</v>
      </c>
      <c r="J372" s="512" t="s">
        <v>1141</v>
      </c>
      <c r="K372" s="66">
        <v>1905015</v>
      </c>
      <c r="L372" s="512" t="s">
        <v>252</v>
      </c>
      <c r="M372" s="66" t="s">
        <v>50</v>
      </c>
      <c r="N372" s="76" t="s">
        <v>1142</v>
      </c>
      <c r="O372" s="66" t="s">
        <v>1143</v>
      </c>
      <c r="P372" s="76" t="s">
        <v>1144</v>
      </c>
      <c r="Q372" s="88" t="s">
        <v>55</v>
      </c>
      <c r="R372" s="88">
        <v>1</v>
      </c>
      <c r="S372" s="613"/>
      <c r="T372" s="614"/>
      <c r="U372" s="614"/>
      <c r="V372" s="137"/>
      <c r="W372" s="137"/>
      <c r="X372" s="137"/>
      <c r="Y372" s="110">
        <f>100000000-100000000</f>
        <v>0</v>
      </c>
      <c r="Z372" s="302">
        <v>58000000</v>
      </c>
      <c r="AA372" s="257"/>
      <c r="AB372" s="137"/>
      <c r="AC372" s="137"/>
      <c r="AD372" s="258"/>
      <c r="AE372" s="137"/>
      <c r="AF372" s="150"/>
      <c r="AG372" s="137"/>
      <c r="AH372" s="137"/>
      <c r="AI372" s="138">
        <f t="shared" si="138"/>
        <v>58000000</v>
      </c>
      <c r="AJ372" s="138" t="s">
        <v>1027</v>
      </c>
      <c r="AK372" s="59" t="s">
        <v>1417</v>
      </c>
    </row>
    <row r="373" spans="1:37" ht="120" customHeight="1" x14ac:dyDescent="0.2">
      <c r="A373" s="133"/>
      <c r="B373" s="67"/>
      <c r="C373" s="67"/>
      <c r="D373" s="67"/>
      <c r="E373" s="67"/>
      <c r="F373" s="71"/>
      <c r="G373" s="212"/>
      <c r="H373" s="512" t="s">
        <v>1145</v>
      </c>
      <c r="I373" s="66">
        <v>1905023</v>
      </c>
      <c r="J373" s="512" t="s">
        <v>1146</v>
      </c>
      <c r="K373" s="66">
        <v>1905023</v>
      </c>
      <c r="L373" s="512" t="s">
        <v>1146</v>
      </c>
      <c r="M373" s="88">
        <v>190502300</v>
      </c>
      <c r="N373" s="76" t="s">
        <v>1147</v>
      </c>
      <c r="O373" s="88">
        <v>190502300</v>
      </c>
      <c r="P373" s="76" t="s">
        <v>1147</v>
      </c>
      <c r="Q373" s="88" t="s">
        <v>55</v>
      </c>
      <c r="R373" s="88">
        <v>12</v>
      </c>
      <c r="S373" s="613" t="s">
        <v>1148</v>
      </c>
      <c r="T373" s="614" t="s">
        <v>1149</v>
      </c>
      <c r="U373" s="614" t="s">
        <v>1150</v>
      </c>
      <c r="V373" s="137"/>
      <c r="W373" s="137"/>
      <c r="X373" s="137"/>
      <c r="Y373" s="137"/>
      <c r="Z373" s="302">
        <v>105000000</v>
      </c>
      <c r="AA373" s="257"/>
      <c r="AB373" s="137"/>
      <c r="AC373" s="137"/>
      <c r="AD373" s="258"/>
      <c r="AE373" s="137"/>
      <c r="AF373" s="150"/>
      <c r="AG373" s="137"/>
      <c r="AH373" s="137"/>
      <c r="AI373" s="138">
        <f t="shared" si="138"/>
        <v>105000000</v>
      </c>
      <c r="AJ373" s="138" t="s">
        <v>1027</v>
      </c>
      <c r="AK373" s="59" t="s">
        <v>1417</v>
      </c>
    </row>
    <row r="374" spans="1:37" ht="134.25" customHeight="1" x14ac:dyDescent="0.2">
      <c r="A374" s="133"/>
      <c r="B374" s="67"/>
      <c r="C374" s="67"/>
      <c r="D374" s="67"/>
      <c r="E374" s="67"/>
      <c r="F374" s="71"/>
      <c r="G374" s="78"/>
      <c r="H374" s="512" t="s">
        <v>1031</v>
      </c>
      <c r="I374" s="66">
        <v>1905031</v>
      </c>
      <c r="J374" s="512" t="s">
        <v>1102</v>
      </c>
      <c r="K374" s="66">
        <v>1905031</v>
      </c>
      <c r="L374" s="512" t="s">
        <v>1102</v>
      </c>
      <c r="M374" s="66">
        <v>190503100</v>
      </c>
      <c r="N374" s="510" t="s">
        <v>1103</v>
      </c>
      <c r="O374" s="66">
        <v>190503100</v>
      </c>
      <c r="P374" s="510" t="s">
        <v>1103</v>
      </c>
      <c r="Q374" s="88" t="s">
        <v>55</v>
      </c>
      <c r="R374" s="88">
        <v>12</v>
      </c>
      <c r="S374" s="613"/>
      <c r="T374" s="614"/>
      <c r="U374" s="614"/>
      <c r="V374" s="137"/>
      <c r="W374" s="137"/>
      <c r="X374" s="137"/>
      <c r="Y374" s="137"/>
      <c r="Z374" s="302">
        <v>76000000</v>
      </c>
      <c r="AA374" s="257"/>
      <c r="AB374" s="137"/>
      <c r="AC374" s="137"/>
      <c r="AD374" s="258"/>
      <c r="AE374" s="137"/>
      <c r="AF374" s="150"/>
      <c r="AG374" s="137"/>
      <c r="AH374" s="137"/>
      <c r="AI374" s="138">
        <f t="shared" si="138"/>
        <v>76000000</v>
      </c>
      <c r="AJ374" s="138" t="s">
        <v>1027</v>
      </c>
      <c r="AK374" s="59" t="s">
        <v>1417</v>
      </c>
    </row>
    <row r="375" spans="1:37" ht="122.25" customHeight="1" x14ac:dyDescent="0.2">
      <c r="A375" s="133"/>
      <c r="B375" s="67"/>
      <c r="C375" s="67"/>
      <c r="D375" s="67"/>
      <c r="E375" s="67"/>
      <c r="F375" s="71"/>
      <c r="G375" s="212"/>
      <c r="H375" s="512" t="s">
        <v>1151</v>
      </c>
      <c r="I375" s="66">
        <v>1905012</v>
      </c>
      <c r="J375" s="512" t="s">
        <v>1152</v>
      </c>
      <c r="K375" s="66">
        <v>1905012</v>
      </c>
      <c r="L375" s="512" t="s">
        <v>1152</v>
      </c>
      <c r="M375" s="88">
        <v>190501200</v>
      </c>
      <c r="N375" s="76" t="s">
        <v>1152</v>
      </c>
      <c r="O375" s="88">
        <v>190501200</v>
      </c>
      <c r="P375" s="76" t="s">
        <v>1152</v>
      </c>
      <c r="Q375" s="88" t="s">
        <v>55</v>
      </c>
      <c r="R375" s="88">
        <v>1</v>
      </c>
      <c r="S375" s="613" t="s">
        <v>1153</v>
      </c>
      <c r="T375" s="614" t="s">
        <v>1154</v>
      </c>
      <c r="U375" s="614" t="s">
        <v>1155</v>
      </c>
      <c r="V375" s="137"/>
      <c r="W375" s="137"/>
      <c r="X375" s="137"/>
      <c r="Y375" s="137"/>
      <c r="Z375" s="110">
        <v>20000000</v>
      </c>
      <c r="AA375" s="257"/>
      <c r="AB375" s="137"/>
      <c r="AC375" s="137"/>
      <c r="AD375" s="258"/>
      <c r="AE375" s="137"/>
      <c r="AF375" s="150"/>
      <c r="AG375" s="137"/>
      <c r="AH375" s="206"/>
      <c r="AI375" s="138">
        <f t="shared" si="138"/>
        <v>20000000</v>
      </c>
      <c r="AJ375" s="138" t="s">
        <v>1027</v>
      </c>
      <c r="AK375" s="59" t="s">
        <v>1417</v>
      </c>
    </row>
    <row r="376" spans="1:37" ht="180" customHeight="1" x14ac:dyDescent="0.2">
      <c r="A376" s="133"/>
      <c r="B376" s="67"/>
      <c r="C376" s="67"/>
      <c r="D376" s="67"/>
      <c r="E376" s="67"/>
      <c r="F376" s="71"/>
      <c r="G376" s="212"/>
      <c r="H376" s="512" t="s">
        <v>1156</v>
      </c>
      <c r="I376" s="66">
        <v>1905026</v>
      </c>
      <c r="J376" s="512" t="s">
        <v>1157</v>
      </c>
      <c r="K376" s="66">
        <v>1905026</v>
      </c>
      <c r="L376" s="512" t="s">
        <v>1157</v>
      </c>
      <c r="M376" s="88">
        <v>190502600</v>
      </c>
      <c r="N376" s="76" t="s">
        <v>1158</v>
      </c>
      <c r="O376" s="88">
        <v>190502600</v>
      </c>
      <c r="P376" s="76" t="s">
        <v>1158</v>
      </c>
      <c r="Q376" s="517" t="s">
        <v>55</v>
      </c>
      <c r="R376" s="88">
        <v>12</v>
      </c>
      <c r="S376" s="613"/>
      <c r="T376" s="614"/>
      <c r="U376" s="614"/>
      <c r="V376" s="137"/>
      <c r="W376" s="137"/>
      <c r="X376" s="137"/>
      <c r="Y376" s="137"/>
      <c r="Z376" s="110">
        <v>58000000</v>
      </c>
      <c r="AA376" s="257"/>
      <c r="AB376" s="137"/>
      <c r="AC376" s="137"/>
      <c r="AD376" s="258"/>
      <c r="AE376" s="137"/>
      <c r="AF376" s="153"/>
      <c r="AG376" s="137"/>
      <c r="AH376" s="206"/>
      <c r="AI376" s="138">
        <f t="shared" si="138"/>
        <v>58000000</v>
      </c>
      <c r="AJ376" s="138" t="s">
        <v>1027</v>
      </c>
      <c r="AK376" s="59" t="s">
        <v>1417</v>
      </c>
    </row>
    <row r="377" spans="1:37" ht="150" customHeight="1" x14ac:dyDescent="0.2">
      <c r="A377" s="133"/>
      <c r="B377" s="67"/>
      <c r="C377" s="67"/>
      <c r="D377" s="67"/>
      <c r="E377" s="67"/>
      <c r="F377" s="71"/>
      <c r="G377" s="517"/>
      <c r="H377" s="512" t="s">
        <v>1151</v>
      </c>
      <c r="I377" s="66">
        <v>1905027</v>
      </c>
      <c r="J377" s="512" t="s">
        <v>1159</v>
      </c>
      <c r="K377" s="66">
        <v>1905027</v>
      </c>
      <c r="L377" s="512" t="s">
        <v>1159</v>
      </c>
      <c r="M377" s="88">
        <v>190502700</v>
      </c>
      <c r="N377" s="510" t="s">
        <v>1160</v>
      </c>
      <c r="O377" s="88">
        <v>190502700</v>
      </c>
      <c r="P377" s="510" t="s">
        <v>1160</v>
      </c>
      <c r="Q377" s="88" t="s">
        <v>55</v>
      </c>
      <c r="R377" s="88">
        <v>12</v>
      </c>
      <c r="S377" s="613"/>
      <c r="T377" s="614"/>
      <c r="U377" s="614"/>
      <c r="V377" s="137"/>
      <c r="W377" s="137"/>
      <c r="X377" s="137"/>
      <c r="Y377" s="137"/>
      <c r="Z377" s="110">
        <v>75000000</v>
      </c>
      <c r="AA377" s="303"/>
      <c r="AB377" s="137"/>
      <c r="AC377" s="137"/>
      <c r="AD377" s="258"/>
      <c r="AE377" s="137"/>
      <c r="AF377" s="153">
        <f>20000000-13438000-6562000</f>
        <v>0</v>
      </c>
      <c r="AG377" s="137"/>
      <c r="AH377" s="137"/>
      <c r="AI377" s="138">
        <f t="shared" si="138"/>
        <v>75000000</v>
      </c>
      <c r="AJ377" s="138" t="s">
        <v>1027</v>
      </c>
      <c r="AK377" s="59" t="s">
        <v>1417</v>
      </c>
    </row>
    <row r="378" spans="1:37" ht="108.75" customHeight="1" x14ac:dyDescent="0.2">
      <c r="A378" s="133"/>
      <c r="B378" s="67"/>
      <c r="C378" s="67"/>
      <c r="D378" s="67"/>
      <c r="E378" s="67"/>
      <c r="F378" s="71"/>
      <c r="G378" s="212"/>
      <c r="H378" s="512" t="s">
        <v>1161</v>
      </c>
      <c r="I378" s="66" t="s">
        <v>50</v>
      </c>
      <c r="J378" s="512" t="s">
        <v>1123</v>
      </c>
      <c r="K378" s="66" t="s">
        <v>1162</v>
      </c>
      <c r="L378" s="512" t="s">
        <v>376</v>
      </c>
      <c r="M378" s="66" t="s">
        <v>50</v>
      </c>
      <c r="N378" s="76" t="s">
        <v>1124</v>
      </c>
      <c r="O378" s="88" t="s">
        <v>1163</v>
      </c>
      <c r="P378" s="76" t="s">
        <v>254</v>
      </c>
      <c r="Q378" s="517" t="s">
        <v>71</v>
      </c>
      <c r="R378" s="88">
        <v>4</v>
      </c>
      <c r="S378" s="613" t="s">
        <v>1164</v>
      </c>
      <c r="T378" s="614" t="s">
        <v>1165</v>
      </c>
      <c r="U378" s="614" t="s">
        <v>1166</v>
      </c>
      <c r="V378" s="137"/>
      <c r="W378" s="137"/>
      <c r="X378" s="137"/>
      <c r="Y378" s="137"/>
      <c r="Z378" s="110">
        <v>95000000</v>
      </c>
      <c r="AA378" s="257"/>
      <c r="AB378" s="137"/>
      <c r="AC378" s="137"/>
      <c r="AD378" s="258"/>
      <c r="AE378" s="137"/>
      <c r="AF378" s="153"/>
      <c r="AG378" s="137"/>
      <c r="AH378" s="137"/>
      <c r="AI378" s="138">
        <f t="shared" si="138"/>
        <v>95000000</v>
      </c>
      <c r="AJ378" s="138" t="s">
        <v>1027</v>
      </c>
      <c r="AK378" s="59" t="s">
        <v>1417</v>
      </c>
    </row>
    <row r="379" spans="1:37" ht="187.5" customHeight="1" x14ac:dyDescent="0.2">
      <c r="A379" s="133"/>
      <c r="B379" s="67"/>
      <c r="C379" s="67"/>
      <c r="D379" s="67"/>
      <c r="E379" s="67"/>
      <c r="F379" s="71"/>
      <c r="G379" s="517"/>
      <c r="H379" s="512" t="s">
        <v>1156</v>
      </c>
      <c r="I379" s="66">
        <v>1905026</v>
      </c>
      <c r="J379" s="512" t="s">
        <v>1157</v>
      </c>
      <c r="K379" s="66">
        <v>1905026</v>
      </c>
      <c r="L379" s="512" t="s">
        <v>1157</v>
      </c>
      <c r="M379" s="88">
        <v>190502600</v>
      </c>
      <c r="N379" s="76" t="s">
        <v>1158</v>
      </c>
      <c r="O379" s="88">
        <v>190502600</v>
      </c>
      <c r="P379" s="76" t="s">
        <v>1158</v>
      </c>
      <c r="Q379" s="517" t="s">
        <v>55</v>
      </c>
      <c r="R379" s="66">
        <v>12</v>
      </c>
      <c r="S379" s="613"/>
      <c r="T379" s="614"/>
      <c r="U379" s="614"/>
      <c r="V379" s="137"/>
      <c r="W379" s="137"/>
      <c r="X379" s="137"/>
      <c r="Y379" s="137"/>
      <c r="Z379" s="137">
        <v>96000000</v>
      </c>
      <c r="AA379" s="257"/>
      <c r="AB379" s="133"/>
      <c r="AC379" s="137"/>
      <c r="AD379" s="258"/>
      <c r="AE379" s="137"/>
      <c r="AF379" s="137">
        <v>130000000</v>
      </c>
      <c r="AG379" s="137"/>
      <c r="AH379" s="110">
        <v>210707393</v>
      </c>
      <c r="AI379" s="138">
        <f t="shared" si="138"/>
        <v>436707393</v>
      </c>
      <c r="AJ379" s="138" t="s">
        <v>1027</v>
      </c>
      <c r="AK379" s="304" t="s">
        <v>1417</v>
      </c>
    </row>
    <row r="380" spans="1:37" ht="79.5" customHeight="1" x14ac:dyDescent="0.2">
      <c r="A380" s="133"/>
      <c r="B380" s="67"/>
      <c r="C380" s="67"/>
      <c r="D380" s="67"/>
      <c r="E380" s="67"/>
      <c r="F380" s="71"/>
      <c r="G380" s="517"/>
      <c r="H380" s="512" t="s">
        <v>1034</v>
      </c>
      <c r="I380" s="66">
        <v>1905014</v>
      </c>
      <c r="J380" s="512" t="s">
        <v>99</v>
      </c>
      <c r="K380" s="66">
        <v>1905014</v>
      </c>
      <c r="L380" s="512" t="s">
        <v>99</v>
      </c>
      <c r="M380" s="66">
        <v>190501400</v>
      </c>
      <c r="N380" s="510" t="s">
        <v>556</v>
      </c>
      <c r="O380" s="66">
        <v>190501400</v>
      </c>
      <c r="P380" s="510" t="s">
        <v>556</v>
      </c>
      <c r="Q380" s="88" t="s">
        <v>55</v>
      </c>
      <c r="R380" s="88">
        <v>12</v>
      </c>
      <c r="S380" s="613" t="s">
        <v>1167</v>
      </c>
      <c r="T380" s="614" t="s">
        <v>1168</v>
      </c>
      <c r="U380" s="614" t="s">
        <v>1169</v>
      </c>
      <c r="V380" s="137"/>
      <c r="W380" s="137"/>
      <c r="X380" s="137"/>
      <c r="Y380" s="137"/>
      <c r="Z380" s="137">
        <v>43000000</v>
      </c>
      <c r="AA380" s="257"/>
      <c r="AB380" s="137"/>
      <c r="AC380" s="137"/>
      <c r="AD380" s="258"/>
      <c r="AE380" s="137"/>
      <c r="AF380" s="150"/>
      <c r="AG380" s="137"/>
      <c r="AH380" s="137"/>
      <c r="AI380" s="138">
        <f t="shared" si="138"/>
        <v>43000000</v>
      </c>
      <c r="AJ380" s="138" t="s">
        <v>1027</v>
      </c>
      <c r="AK380" s="59" t="s">
        <v>1417</v>
      </c>
    </row>
    <row r="381" spans="1:37" ht="166.5" customHeight="1" x14ac:dyDescent="0.2">
      <c r="A381" s="133"/>
      <c r="B381" s="67"/>
      <c r="C381" s="67"/>
      <c r="D381" s="67"/>
      <c r="E381" s="67"/>
      <c r="F381" s="71"/>
      <c r="G381" s="517"/>
      <c r="H381" s="512" t="s">
        <v>1156</v>
      </c>
      <c r="I381" s="88">
        <v>1905026</v>
      </c>
      <c r="J381" s="512" t="s">
        <v>1170</v>
      </c>
      <c r="K381" s="66">
        <v>1905026</v>
      </c>
      <c r="L381" s="512" t="s">
        <v>1170</v>
      </c>
      <c r="M381" s="88">
        <v>190502600</v>
      </c>
      <c r="N381" s="76" t="s">
        <v>1158</v>
      </c>
      <c r="O381" s="88">
        <v>190502600</v>
      </c>
      <c r="P381" s="76" t="s">
        <v>1158</v>
      </c>
      <c r="Q381" s="517" t="s">
        <v>55</v>
      </c>
      <c r="R381" s="66">
        <v>12</v>
      </c>
      <c r="S381" s="613"/>
      <c r="T381" s="614"/>
      <c r="U381" s="614"/>
      <c r="V381" s="137"/>
      <c r="W381" s="137"/>
      <c r="X381" s="137"/>
      <c r="Y381" s="137"/>
      <c r="Z381" s="137"/>
      <c r="AA381" s="257"/>
      <c r="AB381" s="137"/>
      <c r="AC381" s="137"/>
      <c r="AD381" s="258"/>
      <c r="AE381" s="137"/>
      <c r="AF381" s="150"/>
      <c r="AG381" s="137"/>
      <c r="AH381" s="153">
        <v>182146964</v>
      </c>
      <c r="AI381" s="138">
        <f t="shared" si="138"/>
        <v>182146964</v>
      </c>
      <c r="AJ381" s="138" t="s">
        <v>1027</v>
      </c>
      <c r="AK381" s="59" t="s">
        <v>1417</v>
      </c>
    </row>
    <row r="382" spans="1:37" ht="188.25" customHeight="1" x14ac:dyDescent="0.2">
      <c r="A382" s="133"/>
      <c r="B382" s="67"/>
      <c r="C382" s="67"/>
      <c r="D382" s="67"/>
      <c r="E382" s="67"/>
      <c r="F382" s="71"/>
      <c r="G382" s="78"/>
      <c r="H382" s="512" t="s">
        <v>1156</v>
      </c>
      <c r="I382" s="66">
        <v>1905026</v>
      </c>
      <c r="J382" s="512" t="s">
        <v>1157</v>
      </c>
      <c r="K382" s="66">
        <v>1905026</v>
      </c>
      <c r="L382" s="512" t="s">
        <v>1157</v>
      </c>
      <c r="M382" s="88">
        <v>190502600</v>
      </c>
      <c r="N382" s="76" t="s">
        <v>1158</v>
      </c>
      <c r="O382" s="88">
        <v>190502600</v>
      </c>
      <c r="P382" s="76" t="s">
        <v>1158</v>
      </c>
      <c r="Q382" s="517" t="s">
        <v>55</v>
      </c>
      <c r="R382" s="66">
        <v>12</v>
      </c>
      <c r="S382" s="517" t="s">
        <v>1171</v>
      </c>
      <c r="T382" s="510" t="s">
        <v>1172</v>
      </c>
      <c r="U382" s="510" t="s">
        <v>1173</v>
      </c>
      <c r="V382" s="137"/>
      <c r="W382" s="137"/>
      <c r="X382" s="137"/>
      <c r="Y382" s="137"/>
      <c r="Z382" s="137"/>
      <c r="AA382" s="417"/>
      <c r="AB382" s="137"/>
      <c r="AC382" s="137"/>
      <c r="AD382" s="258"/>
      <c r="AE382" s="137"/>
      <c r="AF382" s="150">
        <f>500000000-398675151+36000000+100000000+10000000+252675151+600000000</f>
        <v>1100000000</v>
      </c>
      <c r="AG382" s="137"/>
      <c r="AH382" s="137">
        <v>0</v>
      </c>
      <c r="AI382" s="138">
        <f t="shared" si="138"/>
        <v>1100000000</v>
      </c>
      <c r="AJ382" s="138" t="s">
        <v>1027</v>
      </c>
      <c r="AK382" s="59" t="s">
        <v>1417</v>
      </c>
    </row>
    <row r="383" spans="1:37" ht="120" customHeight="1" x14ac:dyDescent="0.2">
      <c r="A383" s="133"/>
      <c r="B383" s="67"/>
      <c r="C383" s="67"/>
      <c r="D383" s="67"/>
      <c r="E383" s="67"/>
      <c r="F383" s="71"/>
      <c r="G383" s="517"/>
      <c r="H383" s="512" t="s">
        <v>1043</v>
      </c>
      <c r="I383" s="66">
        <v>1905029</v>
      </c>
      <c r="J383" s="512" t="s">
        <v>1174</v>
      </c>
      <c r="K383" s="66">
        <v>1905030</v>
      </c>
      <c r="L383" s="512" t="s">
        <v>1175</v>
      </c>
      <c r="M383" s="456">
        <v>190502900</v>
      </c>
      <c r="N383" s="76" t="s">
        <v>1176</v>
      </c>
      <c r="O383" s="88">
        <v>190503000</v>
      </c>
      <c r="P383" s="76" t="s">
        <v>1176</v>
      </c>
      <c r="Q383" s="88" t="s">
        <v>55</v>
      </c>
      <c r="R383" s="88">
        <v>60</v>
      </c>
      <c r="S383" s="517" t="s">
        <v>1177</v>
      </c>
      <c r="T383" s="510" t="s">
        <v>1178</v>
      </c>
      <c r="U383" s="510" t="s">
        <v>1179</v>
      </c>
      <c r="V383" s="137"/>
      <c r="W383" s="137"/>
      <c r="X383" s="137"/>
      <c r="Y383" s="137"/>
      <c r="Z383" s="137">
        <v>20000000</v>
      </c>
      <c r="AA383" s="257"/>
      <c r="AB383" s="137"/>
      <c r="AC383" s="137"/>
      <c r="AD383" s="258"/>
      <c r="AE383" s="137"/>
      <c r="AF383" s="150"/>
      <c r="AG383" s="137"/>
      <c r="AH383" s="137"/>
      <c r="AI383" s="138">
        <f t="shared" si="138"/>
        <v>20000000</v>
      </c>
      <c r="AJ383" s="138" t="s">
        <v>1027</v>
      </c>
      <c r="AK383" s="59" t="s">
        <v>1417</v>
      </c>
    </row>
    <row r="384" spans="1:37" ht="93.75" customHeight="1" x14ac:dyDescent="0.2">
      <c r="A384" s="133"/>
      <c r="B384" s="67"/>
      <c r="C384" s="67"/>
      <c r="D384" s="67"/>
      <c r="E384" s="67"/>
      <c r="F384" s="71"/>
      <c r="G384" s="517"/>
      <c r="H384" s="512" t="s">
        <v>1083</v>
      </c>
      <c r="I384" s="66">
        <v>1905025</v>
      </c>
      <c r="J384" s="512" t="s">
        <v>1180</v>
      </c>
      <c r="K384" s="66">
        <v>1905025</v>
      </c>
      <c r="L384" s="512" t="s">
        <v>1180</v>
      </c>
      <c r="M384" s="88">
        <v>190502500</v>
      </c>
      <c r="N384" s="76" t="s">
        <v>1181</v>
      </c>
      <c r="O384" s="88">
        <v>190502500</v>
      </c>
      <c r="P384" s="76" t="s">
        <v>1181</v>
      </c>
      <c r="Q384" s="88" t="s">
        <v>55</v>
      </c>
      <c r="R384" s="88">
        <v>12</v>
      </c>
      <c r="S384" s="517" t="s">
        <v>1182</v>
      </c>
      <c r="T384" s="510" t="s">
        <v>1183</v>
      </c>
      <c r="U384" s="510" t="s">
        <v>1184</v>
      </c>
      <c r="V384" s="137"/>
      <c r="W384" s="137"/>
      <c r="X384" s="137"/>
      <c r="Y384" s="137"/>
      <c r="Z384" s="137">
        <v>84414100</v>
      </c>
      <c r="AA384" s="257"/>
      <c r="AB384" s="137"/>
      <c r="AC384" s="137"/>
      <c r="AD384" s="258"/>
      <c r="AE384" s="137"/>
      <c r="AF384" s="150"/>
      <c r="AG384" s="137"/>
      <c r="AH384" s="137"/>
      <c r="AI384" s="138">
        <f t="shared" si="138"/>
        <v>84414100</v>
      </c>
      <c r="AJ384" s="138" t="s">
        <v>1027</v>
      </c>
      <c r="AK384" s="59" t="s">
        <v>1417</v>
      </c>
    </row>
    <row r="385" spans="1:77" ht="86.25" customHeight="1" x14ac:dyDescent="0.2">
      <c r="A385" s="133"/>
      <c r="B385" s="67"/>
      <c r="C385" s="67"/>
      <c r="D385" s="67"/>
      <c r="E385" s="67"/>
      <c r="F385" s="71"/>
      <c r="G385" s="78"/>
      <c r="H385" s="512" t="s">
        <v>1047</v>
      </c>
      <c r="I385" s="66">
        <v>1905015</v>
      </c>
      <c r="J385" s="512" t="s">
        <v>252</v>
      </c>
      <c r="K385" s="66">
        <v>1905015</v>
      </c>
      <c r="L385" s="512" t="s">
        <v>252</v>
      </c>
      <c r="M385" s="66">
        <v>190501503</v>
      </c>
      <c r="N385" s="510" t="s">
        <v>1185</v>
      </c>
      <c r="O385" s="66">
        <v>190501503</v>
      </c>
      <c r="P385" s="510" t="s">
        <v>1185</v>
      </c>
      <c r="Q385" s="88" t="s">
        <v>55</v>
      </c>
      <c r="R385" s="88">
        <v>15</v>
      </c>
      <c r="S385" s="517" t="s">
        <v>1186</v>
      </c>
      <c r="T385" s="510" t="s">
        <v>1187</v>
      </c>
      <c r="U385" s="510" t="s">
        <v>1188</v>
      </c>
      <c r="V385" s="137"/>
      <c r="W385" s="137"/>
      <c r="X385" s="137"/>
      <c r="Y385" s="137">
        <f>100000000-100000000</f>
        <v>0</v>
      </c>
      <c r="Z385" s="203">
        <v>320000000</v>
      </c>
      <c r="AA385" s="257"/>
      <c r="AB385" s="137"/>
      <c r="AC385" s="137"/>
      <c r="AD385" s="258"/>
      <c r="AE385" s="137"/>
      <c r="AF385" s="150"/>
      <c r="AG385" s="137"/>
      <c r="AH385" s="137"/>
      <c r="AI385" s="138">
        <f t="shared" si="138"/>
        <v>320000000</v>
      </c>
      <c r="AJ385" s="138" t="s">
        <v>1027</v>
      </c>
      <c r="AK385" s="59" t="s">
        <v>1417</v>
      </c>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row>
    <row r="386" spans="1:77" ht="63.75" customHeight="1" x14ac:dyDescent="0.2">
      <c r="A386" s="133"/>
      <c r="B386" s="67"/>
      <c r="C386" s="67"/>
      <c r="D386" s="67"/>
      <c r="E386" s="67"/>
      <c r="F386" s="66"/>
      <c r="G386" s="517"/>
      <c r="H386" s="512" t="s">
        <v>1189</v>
      </c>
      <c r="I386" s="66" t="s">
        <v>50</v>
      </c>
      <c r="J386" s="512" t="s">
        <v>1190</v>
      </c>
      <c r="K386" s="66" t="s">
        <v>1191</v>
      </c>
      <c r="L386" s="512" t="s">
        <v>1192</v>
      </c>
      <c r="M386" s="66" t="s">
        <v>50</v>
      </c>
      <c r="N386" s="510" t="s">
        <v>1193</v>
      </c>
      <c r="O386" s="66" t="s">
        <v>1194</v>
      </c>
      <c r="P386" s="510" t="s">
        <v>1195</v>
      </c>
      <c r="Q386" s="88" t="s">
        <v>55</v>
      </c>
      <c r="R386" s="88">
        <v>1</v>
      </c>
      <c r="S386" s="517" t="s">
        <v>1196</v>
      </c>
      <c r="T386" s="510" t="s">
        <v>1197</v>
      </c>
      <c r="U386" s="510" t="s">
        <v>1198</v>
      </c>
      <c r="V386" s="137"/>
      <c r="W386" s="137"/>
      <c r="X386" s="137"/>
      <c r="Y386" s="137"/>
      <c r="Z386" s="137"/>
      <c r="AA386" s="305"/>
      <c r="AB386" s="137"/>
      <c r="AC386" s="137"/>
      <c r="AD386" s="258"/>
      <c r="AE386" s="137"/>
      <c r="AF386" s="150">
        <f>300000000+21904376</f>
        <v>321904376</v>
      </c>
      <c r="AG386" s="137"/>
      <c r="AH386" s="137"/>
      <c r="AI386" s="138">
        <f t="shared" si="138"/>
        <v>321904376</v>
      </c>
      <c r="AJ386" s="138" t="s">
        <v>1027</v>
      </c>
      <c r="AK386" s="59" t="s">
        <v>1417</v>
      </c>
    </row>
    <row r="387" spans="1:77" ht="88.5" customHeight="1" x14ac:dyDescent="0.2">
      <c r="A387" s="133"/>
      <c r="B387" s="67"/>
      <c r="C387" s="67"/>
      <c r="D387" s="67"/>
      <c r="E387" s="67"/>
      <c r="F387" s="71"/>
      <c r="G387" s="517"/>
      <c r="H387" s="512" t="s">
        <v>1028</v>
      </c>
      <c r="I387" s="73">
        <v>1905031</v>
      </c>
      <c r="J387" s="512" t="s">
        <v>1102</v>
      </c>
      <c r="K387" s="73">
        <v>1905031</v>
      </c>
      <c r="L387" s="512" t="s">
        <v>1102</v>
      </c>
      <c r="M387" s="73">
        <v>190503100</v>
      </c>
      <c r="N387" s="510" t="s">
        <v>1103</v>
      </c>
      <c r="O387" s="66">
        <v>190503100</v>
      </c>
      <c r="P387" s="510" t="s">
        <v>1103</v>
      </c>
      <c r="Q387" s="88" t="s">
        <v>55</v>
      </c>
      <c r="R387" s="88">
        <v>12</v>
      </c>
      <c r="S387" s="517" t="s">
        <v>1199</v>
      </c>
      <c r="T387" s="510" t="s">
        <v>1200</v>
      </c>
      <c r="U387" s="510" t="s">
        <v>1201</v>
      </c>
      <c r="V387" s="137"/>
      <c r="W387" s="137"/>
      <c r="X387" s="137"/>
      <c r="Y387" s="137"/>
      <c r="Z387" s="137">
        <f>1263850000+433334276.49</f>
        <v>1697184276.49</v>
      </c>
      <c r="AA387" s="257"/>
      <c r="AB387" s="137"/>
      <c r="AC387" s="137"/>
      <c r="AD387" s="258"/>
      <c r="AE387" s="137"/>
      <c r="AF387" s="150"/>
      <c r="AG387" s="137"/>
      <c r="AH387" s="137"/>
      <c r="AI387" s="138">
        <f t="shared" si="138"/>
        <v>1697184276.49</v>
      </c>
      <c r="AJ387" s="138" t="s">
        <v>1027</v>
      </c>
      <c r="AK387" s="59" t="s">
        <v>1417</v>
      </c>
    </row>
    <row r="388" spans="1:77" ht="33.75" customHeight="1" x14ac:dyDescent="0.2">
      <c r="A388" s="133"/>
      <c r="B388" s="67"/>
      <c r="C388" s="67"/>
      <c r="D388" s="67"/>
      <c r="E388" s="67"/>
      <c r="F388" s="141">
        <v>1906</v>
      </c>
      <c r="G388" s="65" t="s">
        <v>165</v>
      </c>
      <c r="H388" s="179"/>
      <c r="I388" s="179"/>
      <c r="J388" s="140"/>
      <c r="K388" s="139"/>
      <c r="L388" s="140"/>
      <c r="M388" s="140"/>
      <c r="N388" s="135"/>
      <c r="O388" s="141"/>
      <c r="P388" s="135"/>
      <c r="Q388" s="142"/>
      <c r="R388" s="141"/>
      <c r="S388" s="143"/>
      <c r="T388" s="135"/>
      <c r="U388" s="135"/>
      <c r="V388" s="136">
        <f t="shared" ref="V388:AG388" si="140">SUM(V389:V394)</f>
        <v>0</v>
      </c>
      <c r="W388" s="136">
        <f t="shared" si="140"/>
        <v>0</v>
      </c>
      <c r="X388" s="136">
        <f t="shared" si="140"/>
        <v>0</v>
      </c>
      <c r="Y388" s="136">
        <f t="shared" si="140"/>
        <v>400000000</v>
      </c>
      <c r="Z388" s="136">
        <f>SUM(Z389:Z398)</f>
        <v>2224028029</v>
      </c>
      <c r="AA388" s="306">
        <f>SUM(AA389:AA398)</f>
        <v>35151756555</v>
      </c>
      <c r="AB388" s="136">
        <f t="shared" si="140"/>
        <v>0</v>
      </c>
      <c r="AC388" s="136">
        <f t="shared" si="140"/>
        <v>0</v>
      </c>
      <c r="AD388" s="307">
        <f t="shared" si="140"/>
        <v>0</v>
      </c>
      <c r="AE388" s="136">
        <f t="shared" si="140"/>
        <v>0</v>
      </c>
      <c r="AF388" s="136">
        <f>SUM(AF389:AF398)</f>
        <v>230390000</v>
      </c>
      <c r="AG388" s="136">
        <f t="shared" si="140"/>
        <v>0</v>
      </c>
      <c r="AH388" s="136">
        <f>SUM(AH389:AH398)</f>
        <v>1361612640</v>
      </c>
      <c r="AI388" s="136">
        <f>SUM(AI389:AI398)</f>
        <v>39367787224</v>
      </c>
      <c r="AJ388" s="136"/>
      <c r="AK388" s="144"/>
    </row>
    <row r="389" spans="1:77" ht="93" customHeight="1" x14ac:dyDescent="0.2">
      <c r="A389" s="133"/>
      <c r="B389" s="67"/>
      <c r="C389" s="67"/>
      <c r="D389" s="67"/>
      <c r="E389" s="67"/>
      <c r="F389" s="71"/>
      <c r="G389" s="517"/>
      <c r="H389" s="512" t="s">
        <v>1083</v>
      </c>
      <c r="I389" s="66">
        <v>1906032</v>
      </c>
      <c r="J389" s="512" t="s">
        <v>1202</v>
      </c>
      <c r="K389" s="66">
        <v>1906032</v>
      </c>
      <c r="L389" s="512" t="s">
        <v>1202</v>
      </c>
      <c r="M389" s="88">
        <v>190603200</v>
      </c>
      <c r="N389" s="510" t="s">
        <v>1203</v>
      </c>
      <c r="O389" s="88">
        <v>190603200</v>
      </c>
      <c r="P389" s="510" t="s">
        <v>1203</v>
      </c>
      <c r="Q389" s="88" t="s">
        <v>71</v>
      </c>
      <c r="R389" s="96">
        <v>1500</v>
      </c>
      <c r="S389" s="613" t="s">
        <v>1204</v>
      </c>
      <c r="T389" s="614" t="s">
        <v>1205</v>
      </c>
      <c r="U389" s="614" t="s">
        <v>1206</v>
      </c>
      <c r="V389" s="137"/>
      <c r="W389" s="137"/>
      <c r="X389" s="137"/>
      <c r="Y389" s="137"/>
      <c r="Z389" s="137"/>
      <c r="AA389" s="308">
        <v>0</v>
      </c>
      <c r="AB389" s="137"/>
      <c r="AC389" s="137"/>
      <c r="AD389" s="258"/>
      <c r="AE389" s="137"/>
      <c r="AF389" s="150"/>
      <c r="AG389" s="137"/>
      <c r="AH389" s="137"/>
      <c r="AI389" s="138">
        <f t="shared" si="138"/>
        <v>0</v>
      </c>
      <c r="AJ389" s="138" t="s">
        <v>1027</v>
      </c>
      <c r="AK389" s="59" t="s">
        <v>1417</v>
      </c>
    </row>
    <row r="390" spans="1:77" ht="87.75" customHeight="1" x14ac:dyDescent="0.2">
      <c r="A390" s="133"/>
      <c r="B390" s="67"/>
      <c r="C390" s="67"/>
      <c r="D390" s="67"/>
      <c r="E390" s="67"/>
      <c r="F390" s="71"/>
      <c r="G390" s="517"/>
      <c r="H390" s="512" t="s">
        <v>1207</v>
      </c>
      <c r="I390" s="66" t="s">
        <v>50</v>
      </c>
      <c r="J390" s="518" t="s">
        <v>1208</v>
      </c>
      <c r="K390" s="68">
        <v>1906023</v>
      </c>
      <c r="L390" s="518" t="s">
        <v>1209</v>
      </c>
      <c r="M390" s="66" t="s">
        <v>50</v>
      </c>
      <c r="N390" s="510" t="s">
        <v>1210</v>
      </c>
      <c r="O390" s="68">
        <v>190602300</v>
      </c>
      <c r="P390" s="510" t="s">
        <v>1211</v>
      </c>
      <c r="Q390" s="88" t="s">
        <v>55</v>
      </c>
      <c r="R390" s="96">
        <v>19899</v>
      </c>
      <c r="S390" s="613"/>
      <c r="T390" s="614"/>
      <c r="U390" s="614"/>
      <c r="V390" s="137"/>
      <c r="W390" s="137"/>
      <c r="X390" s="137"/>
      <c r="Y390" s="137"/>
      <c r="Z390" s="137"/>
      <c r="AA390" s="296">
        <f>31408028135-56769013</f>
        <v>31351259122</v>
      </c>
      <c r="AB390" s="137"/>
      <c r="AC390" s="137"/>
      <c r="AD390" s="258"/>
      <c r="AE390" s="137"/>
      <c r="AF390" s="150">
        <v>0</v>
      </c>
      <c r="AG390" s="137"/>
      <c r="AH390" s="137"/>
      <c r="AI390" s="138">
        <f>+V390+W390+X390+Y390+Z390+AA390+AB390+AC390+AD390+AE390+AF390+AG390+AH390</f>
        <v>31351259122</v>
      </c>
      <c r="AJ390" s="138" t="s">
        <v>1027</v>
      </c>
      <c r="AK390" s="59" t="s">
        <v>1417</v>
      </c>
    </row>
    <row r="391" spans="1:77" ht="83.25" customHeight="1" x14ac:dyDescent="0.2">
      <c r="A391" s="133"/>
      <c r="B391" s="67"/>
      <c r="C391" s="67"/>
      <c r="D391" s="67"/>
      <c r="E391" s="67"/>
      <c r="F391" s="66"/>
      <c r="G391" s="517"/>
      <c r="H391" s="512" t="s">
        <v>1207</v>
      </c>
      <c r="I391" s="66" t="s">
        <v>50</v>
      </c>
      <c r="J391" s="518" t="s">
        <v>1212</v>
      </c>
      <c r="K391" s="97">
        <v>1906023</v>
      </c>
      <c r="L391" s="518" t="s">
        <v>1209</v>
      </c>
      <c r="M391" s="66" t="s">
        <v>50</v>
      </c>
      <c r="N391" s="76" t="s">
        <v>1213</v>
      </c>
      <c r="O391" s="96">
        <v>190602301</v>
      </c>
      <c r="P391" s="76" t="s">
        <v>1214</v>
      </c>
      <c r="Q391" s="88" t="s">
        <v>55</v>
      </c>
      <c r="R391" s="96">
        <v>60</v>
      </c>
      <c r="S391" s="613" t="s">
        <v>1215</v>
      </c>
      <c r="T391" s="614" t="s">
        <v>1216</v>
      </c>
      <c r="U391" s="614" t="s">
        <v>1217</v>
      </c>
      <c r="V391" s="137"/>
      <c r="W391" s="137"/>
      <c r="X391" s="137"/>
      <c r="Y391" s="137"/>
      <c r="Z391" s="137"/>
      <c r="AA391" s="296">
        <v>115688008</v>
      </c>
      <c r="AB391" s="137"/>
      <c r="AC391" s="137"/>
      <c r="AD391" s="258"/>
      <c r="AE391" s="137"/>
      <c r="AF391" s="150"/>
      <c r="AG391" s="137"/>
      <c r="AH391" s="110">
        <v>1361612640</v>
      </c>
      <c r="AI391" s="138">
        <f t="shared" si="138"/>
        <v>1477300648</v>
      </c>
      <c r="AJ391" s="138" t="s">
        <v>1027</v>
      </c>
      <c r="AK391" s="59" t="s">
        <v>1417</v>
      </c>
    </row>
    <row r="392" spans="1:77" ht="147" customHeight="1" x14ac:dyDescent="0.2">
      <c r="A392" s="133"/>
      <c r="B392" s="67"/>
      <c r="C392" s="67"/>
      <c r="D392" s="67"/>
      <c r="E392" s="67"/>
      <c r="F392" s="66"/>
      <c r="G392" s="517"/>
      <c r="H392" s="512" t="s">
        <v>1207</v>
      </c>
      <c r="I392" s="66" t="s">
        <v>50</v>
      </c>
      <c r="J392" s="512" t="s">
        <v>1218</v>
      </c>
      <c r="K392" s="414">
        <v>1906025</v>
      </c>
      <c r="L392" s="512" t="s">
        <v>1219</v>
      </c>
      <c r="M392" s="66" t="s">
        <v>50</v>
      </c>
      <c r="N392" s="76" t="s">
        <v>1220</v>
      </c>
      <c r="O392" s="97">
        <v>190602500</v>
      </c>
      <c r="P392" s="76" t="s">
        <v>1221</v>
      </c>
      <c r="Q392" s="88" t="s">
        <v>55</v>
      </c>
      <c r="R392" s="96">
        <v>100</v>
      </c>
      <c r="S392" s="613"/>
      <c r="T392" s="614"/>
      <c r="U392" s="614"/>
      <c r="V392" s="137"/>
      <c r="W392" s="137"/>
      <c r="X392" s="137"/>
      <c r="Y392" s="110">
        <f>100000000+300000000</f>
        <v>400000000</v>
      </c>
      <c r="Z392" s="110">
        <v>2224028029</v>
      </c>
      <c r="AA392" s="309"/>
      <c r="AB392" s="137"/>
      <c r="AC392" s="137"/>
      <c r="AD392" s="258"/>
      <c r="AE392" s="137"/>
      <c r="AF392" s="150"/>
      <c r="AG392" s="137"/>
      <c r="AH392" s="137"/>
      <c r="AI392" s="138">
        <f t="shared" si="138"/>
        <v>2624028029</v>
      </c>
      <c r="AJ392" s="138" t="s">
        <v>1027</v>
      </c>
      <c r="AK392" s="59" t="s">
        <v>1417</v>
      </c>
    </row>
    <row r="393" spans="1:77" ht="95.25" customHeight="1" x14ac:dyDescent="0.2">
      <c r="A393" s="133"/>
      <c r="B393" s="67"/>
      <c r="C393" s="67"/>
      <c r="D393" s="67"/>
      <c r="E393" s="67"/>
      <c r="F393" s="66"/>
      <c r="G393" s="517"/>
      <c r="H393" s="512" t="s">
        <v>1207</v>
      </c>
      <c r="I393" s="66" t="s">
        <v>50</v>
      </c>
      <c r="J393" s="512" t="s">
        <v>1222</v>
      </c>
      <c r="K393" s="414">
        <v>1906025</v>
      </c>
      <c r="L393" s="512" t="s">
        <v>1219</v>
      </c>
      <c r="M393" s="66" t="s">
        <v>50</v>
      </c>
      <c r="N393" s="76" t="s">
        <v>1223</v>
      </c>
      <c r="O393" s="97">
        <v>190602500</v>
      </c>
      <c r="P393" s="76" t="s">
        <v>1221</v>
      </c>
      <c r="Q393" s="88" t="s">
        <v>55</v>
      </c>
      <c r="R393" s="96">
        <v>100</v>
      </c>
      <c r="S393" s="613"/>
      <c r="T393" s="614"/>
      <c r="U393" s="614"/>
      <c r="V393" s="137"/>
      <c r="W393" s="137"/>
      <c r="X393" s="137"/>
      <c r="Y393" s="110"/>
      <c r="Z393" s="110"/>
      <c r="AA393" s="255">
        <v>3684809425</v>
      </c>
      <c r="AB393" s="137"/>
      <c r="AC393" s="137"/>
      <c r="AD393" s="258"/>
      <c r="AE393" s="137"/>
      <c r="AF393" s="150"/>
      <c r="AG393" s="137"/>
      <c r="AH393" s="137"/>
      <c r="AI393" s="138">
        <f t="shared" si="138"/>
        <v>3684809425</v>
      </c>
      <c r="AJ393" s="138" t="s">
        <v>1027</v>
      </c>
      <c r="AK393" s="59" t="s">
        <v>1417</v>
      </c>
    </row>
    <row r="394" spans="1:77" ht="95.25" customHeight="1" x14ac:dyDescent="0.2">
      <c r="A394" s="133"/>
      <c r="B394" s="67"/>
      <c r="C394" s="67"/>
      <c r="D394" s="67"/>
      <c r="E394" s="67"/>
      <c r="F394" s="66"/>
      <c r="G394" s="517"/>
      <c r="H394" s="512" t="s">
        <v>1224</v>
      </c>
      <c r="I394" s="66">
        <v>1906029</v>
      </c>
      <c r="J394" s="512" t="s">
        <v>1225</v>
      </c>
      <c r="K394" s="66">
        <v>1906029</v>
      </c>
      <c r="L394" s="512" t="s">
        <v>1225</v>
      </c>
      <c r="M394" s="88">
        <v>190602900</v>
      </c>
      <c r="N394" s="76" t="s">
        <v>1226</v>
      </c>
      <c r="O394" s="88">
        <v>190602900</v>
      </c>
      <c r="P394" s="76" t="s">
        <v>1226</v>
      </c>
      <c r="Q394" s="88" t="s">
        <v>55</v>
      </c>
      <c r="R394" s="96">
        <v>40</v>
      </c>
      <c r="S394" s="613" t="s">
        <v>1227</v>
      </c>
      <c r="T394" s="614" t="s">
        <v>1228</v>
      </c>
      <c r="U394" s="614" t="s">
        <v>1229</v>
      </c>
      <c r="V394" s="137"/>
      <c r="W394" s="137"/>
      <c r="X394" s="137"/>
      <c r="Y394" s="137"/>
      <c r="Z394" s="137"/>
      <c r="AA394" s="296"/>
      <c r="AB394" s="137"/>
      <c r="AC394" s="137"/>
      <c r="AD394" s="258"/>
      <c r="AE394" s="137"/>
      <c r="AF394" s="153">
        <v>150390000</v>
      </c>
      <c r="AG394" s="137"/>
      <c r="AH394" s="137"/>
      <c r="AI394" s="138">
        <f t="shared" si="138"/>
        <v>150390000</v>
      </c>
      <c r="AJ394" s="138" t="s">
        <v>1027</v>
      </c>
      <c r="AK394" s="59" t="s">
        <v>1417</v>
      </c>
    </row>
    <row r="395" spans="1:77" s="4" customFormat="1" ht="87.75" customHeight="1" x14ac:dyDescent="0.2">
      <c r="A395" s="55"/>
      <c r="B395" s="92"/>
      <c r="C395" s="92"/>
      <c r="D395" s="92"/>
      <c r="E395" s="92"/>
      <c r="F395" s="95"/>
      <c r="G395" s="91"/>
      <c r="H395" s="518" t="s">
        <v>1083</v>
      </c>
      <c r="I395" s="68">
        <v>1906032</v>
      </c>
      <c r="J395" s="518" t="s">
        <v>1202</v>
      </c>
      <c r="K395" s="68">
        <v>1906032</v>
      </c>
      <c r="L395" s="518" t="s">
        <v>1202</v>
      </c>
      <c r="M395" s="96">
        <v>190603200</v>
      </c>
      <c r="N395" s="516" t="s">
        <v>1203</v>
      </c>
      <c r="O395" s="96">
        <v>190603200</v>
      </c>
      <c r="P395" s="516" t="s">
        <v>1203</v>
      </c>
      <c r="Q395" s="96" t="s">
        <v>71</v>
      </c>
      <c r="R395" s="96">
        <v>1500</v>
      </c>
      <c r="S395" s="613"/>
      <c r="T395" s="614"/>
      <c r="U395" s="614"/>
      <c r="V395" s="110"/>
      <c r="W395" s="110"/>
      <c r="X395" s="110"/>
      <c r="Y395" s="110"/>
      <c r="Z395" s="110"/>
      <c r="AA395" s="308"/>
      <c r="AB395" s="110"/>
      <c r="AC395" s="110"/>
      <c r="AD395" s="256"/>
      <c r="AE395" s="110"/>
      <c r="AF395" s="153">
        <v>20000000</v>
      </c>
      <c r="AG395" s="110"/>
      <c r="AH395" s="110"/>
      <c r="AI395" s="218">
        <f>+V395+W395+X395+Y395+Z395+AA395+AB395+AC395+AD395+AE395+AF395+AG395+AH395</f>
        <v>20000000</v>
      </c>
      <c r="AJ395" s="138" t="s">
        <v>1027</v>
      </c>
      <c r="AK395" s="59" t="s">
        <v>1417</v>
      </c>
    </row>
    <row r="396" spans="1:77" ht="119.25" customHeight="1" x14ac:dyDescent="0.2">
      <c r="A396" s="133"/>
      <c r="B396" s="67"/>
      <c r="C396" s="67"/>
      <c r="D396" s="67"/>
      <c r="E396" s="67"/>
      <c r="F396" s="66"/>
      <c r="G396" s="517"/>
      <c r="H396" s="512" t="s">
        <v>1230</v>
      </c>
      <c r="I396" s="66">
        <v>1906005</v>
      </c>
      <c r="J396" s="512" t="s">
        <v>1231</v>
      </c>
      <c r="K396" s="66">
        <v>1906005</v>
      </c>
      <c r="L396" s="512" t="s">
        <v>1231</v>
      </c>
      <c r="M396" s="88">
        <v>190600500</v>
      </c>
      <c r="N396" s="76" t="s">
        <v>1231</v>
      </c>
      <c r="O396" s="88">
        <v>190600500</v>
      </c>
      <c r="P396" s="76" t="s">
        <v>1231</v>
      </c>
      <c r="Q396" s="88" t="s">
        <v>71</v>
      </c>
      <c r="R396" s="96">
        <v>2</v>
      </c>
      <c r="S396" s="613"/>
      <c r="T396" s="614"/>
      <c r="U396" s="614"/>
      <c r="V396" s="137"/>
      <c r="W396" s="137"/>
      <c r="X396" s="137"/>
      <c r="Y396" s="137"/>
      <c r="Z396" s="137"/>
      <c r="AA396" s="296"/>
      <c r="AB396" s="137"/>
      <c r="AC396" s="137"/>
      <c r="AD396" s="258"/>
      <c r="AE396" s="137"/>
      <c r="AF396" s="150">
        <v>20000000</v>
      </c>
      <c r="AG396" s="137"/>
      <c r="AH396" s="137"/>
      <c r="AI396" s="218">
        <f>+V396+W396+X396+Y396+Z396+AA396+AB396+AC396+AD396+AE396+AF396+AG396+AH396</f>
        <v>20000000</v>
      </c>
      <c r="AJ396" s="138" t="s">
        <v>1027</v>
      </c>
      <c r="AK396" s="59" t="s">
        <v>1417</v>
      </c>
    </row>
    <row r="397" spans="1:77" ht="96.75" customHeight="1" x14ac:dyDescent="0.2">
      <c r="A397" s="133"/>
      <c r="B397" s="67"/>
      <c r="C397" s="67"/>
      <c r="D397" s="67"/>
      <c r="E397" s="67"/>
      <c r="F397" s="66"/>
      <c r="G397" s="517"/>
      <c r="H397" s="512" t="s">
        <v>1028</v>
      </c>
      <c r="I397" s="66">
        <v>1906022</v>
      </c>
      <c r="J397" s="512" t="s">
        <v>1232</v>
      </c>
      <c r="K397" s="66">
        <v>1906022</v>
      </c>
      <c r="L397" s="512" t="s">
        <v>1232</v>
      </c>
      <c r="M397" s="88">
        <v>190602200</v>
      </c>
      <c r="N397" s="76" t="s">
        <v>1233</v>
      </c>
      <c r="O397" s="88">
        <v>190602200</v>
      </c>
      <c r="P397" s="76" t="s">
        <v>1233</v>
      </c>
      <c r="Q397" s="88" t="s">
        <v>71</v>
      </c>
      <c r="R397" s="96">
        <v>1</v>
      </c>
      <c r="S397" s="613"/>
      <c r="T397" s="614"/>
      <c r="U397" s="614"/>
      <c r="V397" s="137"/>
      <c r="W397" s="137"/>
      <c r="X397" s="137"/>
      <c r="Y397" s="137"/>
      <c r="Z397" s="137"/>
      <c r="AA397" s="296"/>
      <c r="AB397" s="137"/>
      <c r="AC397" s="137"/>
      <c r="AD397" s="258"/>
      <c r="AE397" s="137"/>
      <c r="AF397" s="150">
        <v>20000000</v>
      </c>
      <c r="AG397" s="137"/>
      <c r="AH397" s="137"/>
      <c r="AI397" s="218">
        <f>+V397+W397+X397+Y397+Z397+AA397+AB397+AC397+AD397+AE397+AF397+AG397+AH397</f>
        <v>20000000</v>
      </c>
      <c r="AJ397" s="138" t="s">
        <v>1027</v>
      </c>
      <c r="AK397" s="59" t="s">
        <v>1417</v>
      </c>
    </row>
    <row r="398" spans="1:77" ht="94.5" customHeight="1" x14ac:dyDescent="0.2">
      <c r="A398" s="133"/>
      <c r="B398" s="67"/>
      <c r="C398" s="67"/>
      <c r="D398" s="67"/>
      <c r="E398" s="67"/>
      <c r="F398" s="66"/>
      <c r="G398" s="517"/>
      <c r="H398" s="512" t="s">
        <v>1207</v>
      </c>
      <c r="I398" s="66" t="s">
        <v>50</v>
      </c>
      <c r="J398" s="518" t="s">
        <v>1212</v>
      </c>
      <c r="K398" s="97">
        <v>1906023</v>
      </c>
      <c r="L398" s="518" t="s">
        <v>1234</v>
      </c>
      <c r="M398" s="66" t="s">
        <v>50</v>
      </c>
      <c r="N398" s="76" t="s">
        <v>1235</v>
      </c>
      <c r="O398" s="96">
        <v>190602301</v>
      </c>
      <c r="P398" s="76" t="s">
        <v>1214</v>
      </c>
      <c r="Q398" s="88" t="s">
        <v>55</v>
      </c>
      <c r="R398" s="96">
        <v>40</v>
      </c>
      <c r="S398" s="613"/>
      <c r="T398" s="614"/>
      <c r="U398" s="614"/>
      <c r="V398" s="137"/>
      <c r="W398" s="137"/>
      <c r="X398" s="137"/>
      <c r="Y398" s="137"/>
      <c r="Z398" s="137"/>
      <c r="AA398" s="296"/>
      <c r="AB398" s="137"/>
      <c r="AC398" s="137"/>
      <c r="AD398" s="258"/>
      <c r="AE398" s="137"/>
      <c r="AF398" s="150">
        <v>20000000</v>
      </c>
      <c r="AG398" s="137"/>
      <c r="AH398" s="137"/>
      <c r="AI398" s="218">
        <f>+V398+W398+X398+Y398+Z398+AA398+AB398+AC398+AD398+AE398+AF398+AG398+AH398</f>
        <v>20000000</v>
      </c>
      <c r="AJ398" s="138" t="s">
        <v>1027</v>
      </c>
      <c r="AK398" s="59" t="s">
        <v>1417</v>
      </c>
    </row>
    <row r="399" spans="1:77" s="7" customFormat="1" ht="16.5" customHeight="1" x14ac:dyDescent="0.25">
      <c r="A399" s="457"/>
      <c r="B399" s="457"/>
      <c r="C399" s="457"/>
      <c r="D399" s="457"/>
      <c r="E399" s="457"/>
      <c r="F399" s="457"/>
      <c r="G399" s="457"/>
      <c r="H399" s="458"/>
      <c r="I399" s="457"/>
      <c r="J399" s="457"/>
      <c r="K399" s="457"/>
      <c r="L399" s="457"/>
      <c r="M399" s="457"/>
      <c r="N399" s="457"/>
      <c r="O399" s="457"/>
      <c r="P399" s="457"/>
      <c r="Q399" s="459"/>
      <c r="R399" s="457"/>
      <c r="S399" s="459"/>
      <c r="T399" s="459"/>
      <c r="U399" s="459"/>
      <c r="V399" s="460"/>
      <c r="W399" s="460"/>
      <c r="X399" s="460"/>
      <c r="Y399" s="460"/>
      <c r="Z399" s="460"/>
      <c r="AA399" s="460"/>
      <c r="AB399" s="460"/>
      <c r="AC399" s="460"/>
      <c r="AD399" s="460"/>
      <c r="AE399" s="460"/>
      <c r="AF399" s="460"/>
      <c r="AG399" s="460"/>
      <c r="AH399" s="460"/>
      <c r="AI399" s="460"/>
      <c r="AJ399" s="460"/>
      <c r="AK399" s="460"/>
    </row>
    <row r="400" spans="1:77" s="404" customFormat="1" ht="29.25" customHeight="1" x14ac:dyDescent="0.25">
      <c r="A400" s="41" t="s">
        <v>1236</v>
      </c>
      <c r="B400" s="41"/>
      <c r="C400" s="41"/>
      <c r="D400" s="41"/>
      <c r="E400" s="41"/>
      <c r="F400" s="42"/>
      <c r="G400" s="43"/>
      <c r="H400" s="383"/>
      <c r="I400" s="383"/>
      <c r="J400" s="383"/>
      <c r="K400" s="386"/>
      <c r="L400" s="383"/>
      <c r="M400" s="383"/>
      <c r="N400" s="388"/>
      <c r="O400" s="387"/>
      <c r="P400" s="388"/>
      <c r="Q400" s="389"/>
      <c r="R400" s="387"/>
      <c r="S400" s="43"/>
      <c r="T400" s="388"/>
      <c r="U400" s="388"/>
      <c r="V400" s="384">
        <f t="shared" ref="V400:AI400" si="141">+V401+V419+V427</f>
        <v>0</v>
      </c>
      <c r="W400" s="384">
        <f t="shared" si="141"/>
        <v>0</v>
      </c>
      <c r="X400" s="384">
        <f t="shared" si="141"/>
        <v>0</v>
      </c>
      <c r="Y400" s="384">
        <f t="shared" si="141"/>
        <v>0</v>
      </c>
      <c r="Z400" s="384">
        <f t="shared" si="141"/>
        <v>0</v>
      </c>
      <c r="AA400" s="384">
        <f t="shared" si="141"/>
        <v>0</v>
      </c>
      <c r="AB400" s="384">
        <f t="shared" si="141"/>
        <v>0</v>
      </c>
      <c r="AC400" s="384">
        <f t="shared" si="141"/>
        <v>0</v>
      </c>
      <c r="AD400" s="384">
        <f t="shared" si="141"/>
        <v>0</v>
      </c>
      <c r="AE400" s="384">
        <f t="shared" si="141"/>
        <v>0</v>
      </c>
      <c r="AF400" s="384">
        <f t="shared" si="141"/>
        <v>896000000</v>
      </c>
      <c r="AG400" s="384">
        <f t="shared" si="141"/>
        <v>0</v>
      </c>
      <c r="AH400" s="384">
        <f t="shared" si="141"/>
        <v>0</v>
      </c>
      <c r="AI400" s="384">
        <f t="shared" si="141"/>
        <v>896000000</v>
      </c>
      <c r="AJ400" s="384"/>
      <c r="AK400" s="385"/>
      <c r="AL400" s="403"/>
      <c r="AM400" s="403"/>
      <c r="AN400" s="403"/>
      <c r="AO400" s="403"/>
      <c r="AP400" s="403"/>
      <c r="AQ400" s="403"/>
      <c r="AR400" s="403"/>
      <c r="AS400" s="403"/>
      <c r="AT400" s="403"/>
      <c r="AU400" s="403"/>
      <c r="AV400" s="403"/>
      <c r="AW400" s="403"/>
      <c r="AX400" s="403"/>
      <c r="AY400" s="403"/>
      <c r="AZ400" s="403"/>
      <c r="BA400" s="403"/>
      <c r="BB400" s="403"/>
      <c r="BC400" s="403"/>
      <c r="BD400" s="403"/>
      <c r="BE400" s="403"/>
      <c r="BF400" s="403"/>
      <c r="BG400" s="403"/>
      <c r="BH400" s="403"/>
      <c r="BI400" s="403"/>
      <c r="BJ400" s="403"/>
      <c r="BK400" s="403"/>
      <c r="BL400" s="403"/>
      <c r="BM400" s="403"/>
      <c r="BN400" s="403"/>
      <c r="BO400" s="403"/>
      <c r="BP400" s="403"/>
      <c r="BQ400" s="403"/>
      <c r="BR400" s="403"/>
      <c r="BS400" s="403"/>
      <c r="BT400" s="403"/>
      <c r="BU400" s="403"/>
      <c r="BV400" s="403"/>
      <c r="BW400" s="403"/>
      <c r="BX400" s="403"/>
      <c r="BY400" s="403"/>
    </row>
    <row r="401" spans="1:77" s="9" customFormat="1" ht="21.75" customHeight="1" x14ac:dyDescent="0.25">
      <c r="A401" s="115"/>
      <c r="B401" s="116">
        <v>1</v>
      </c>
      <c r="C401" s="116"/>
      <c r="D401" s="61" t="s">
        <v>152</v>
      </c>
      <c r="E401" s="163"/>
      <c r="F401" s="61"/>
      <c r="G401" s="61"/>
      <c r="H401" s="61"/>
      <c r="I401" s="61"/>
      <c r="J401" s="118"/>
      <c r="K401" s="117"/>
      <c r="L401" s="118"/>
      <c r="M401" s="118"/>
      <c r="N401" s="119"/>
      <c r="O401" s="116"/>
      <c r="P401" s="119"/>
      <c r="Q401" s="120"/>
      <c r="R401" s="116"/>
      <c r="S401" s="121"/>
      <c r="T401" s="119"/>
      <c r="U401" s="119"/>
      <c r="V401" s="310">
        <f>V402</f>
        <v>0</v>
      </c>
      <c r="W401" s="310">
        <f t="shared" ref="W401:AH401" si="142">W402</f>
        <v>0</v>
      </c>
      <c r="X401" s="310">
        <f t="shared" si="142"/>
        <v>0</v>
      </c>
      <c r="Y401" s="310">
        <f t="shared" si="142"/>
        <v>0</v>
      </c>
      <c r="Z401" s="310">
        <f t="shared" si="142"/>
        <v>0</v>
      </c>
      <c r="AA401" s="310">
        <f t="shared" si="142"/>
        <v>0</v>
      </c>
      <c r="AB401" s="310">
        <f t="shared" si="142"/>
        <v>0</v>
      </c>
      <c r="AC401" s="310">
        <f t="shared" si="142"/>
        <v>0</v>
      </c>
      <c r="AD401" s="310">
        <f t="shared" si="142"/>
        <v>0</v>
      </c>
      <c r="AE401" s="310">
        <f t="shared" si="142"/>
        <v>0</v>
      </c>
      <c r="AF401" s="310">
        <f t="shared" si="142"/>
        <v>520000000</v>
      </c>
      <c r="AG401" s="310">
        <f t="shared" si="142"/>
        <v>0</v>
      </c>
      <c r="AH401" s="310">
        <f t="shared" si="142"/>
        <v>0</v>
      </c>
      <c r="AI401" s="310">
        <f>AI402</f>
        <v>520000000</v>
      </c>
      <c r="AJ401" s="310"/>
      <c r="AK401" s="311"/>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row>
    <row r="402" spans="1:77" s="9" customFormat="1" ht="27.75" customHeight="1" x14ac:dyDescent="0.25">
      <c r="A402" s="115"/>
      <c r="B402" s="67"/>
      <c r="C402" s="67"/>
      <c r="D402" s="64">
        <v>23</v>
      </c>
      <c r="E402" s="62" t="s">
        <v>1237</v>
      </c>
      <c r="F402" s="62"/>
      <c r="G402" s="123"/>
      <c r="H402" s="124"/>
      <c r="I402" s="124"/>
      <c r="J402" s="126"/>
      <c r="K402" s="125"/>
      <c r="L402" s="126"/>
      <c r="M402" s="126"/>
      <c r="N402" s="128"/>
      <c r="O402" s="127"/>
      <c r="P402" s="128"/>
      <c r="Q402" s="129"/>
      <c r="R402" s="127"/>
      <c r="S402" s="199"/>
      <c r="T402" s="131"/>
      <c r="U402" s="131"/>
      <c r="V402" s="132">
        <f>V403+V413</f>
        <v>0</v>
      </c>
      <c r="W402" s="132">
        <f t="shared" ref="W402:AI402" si="143">W403+W413</f>
        <v>0</v>
      </c>
      <c r="X402" s="132">
        <f t="shared" si="143"/>
        <v>0</v>
      </c>
      <c r="Y402" s="132">
        <f t="shared" si="143"/>
        <v>0</v>
      </c>
      <c r="Z402" s="132">
        <f t="shared" si="143"/>
        <v>0</v>
      </c>
      <c r="AA402" s="132">
        <f t="shared" si="143"/>
        <v>0</v>
      </c>
      <c r="AB402" s="132">
        <f t="shared" si="143"/>
        <v>0</v>
      </c>
      <c r="AC402" s="132">
        <f t="shared" si="143"/>
        <v>0</v>
      </c>
      <c r="AD402" s="132">
        <f t="shared" si="143"/>
        <v>0</v>
      </c>
      <c r="AE402" s="132">
        <f t="shared" si="143"/>
        <v>0</v>
      </c>
      <c r="AF402" s="132">
        <f t="shared" si="143"/>
        <v>520000000</v>
      </c>
      <c r="AG402" s="132">
        <f t="shared" si="143"/>
        <v>0</v>
      </c>
      <c r="AH402" s="132">
        <f t="shared" si="143"/>
        <v>0</v>
      </c>
      <c r="AI402" s="132">
        <f t="shared" si="143"/>
        <v>520000000</v>
      </c>
      <c r="AJ402" s="132"/>
      <c r="AK402" s="157"/>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row>
    <row r="403" spans="1:77" s="9" customFormat="1" ht="35.25" customHeight="1" x14ac:dyDescent="0.25">
      <c r="A403" s="115"/>
      <c r="B403" s="67"/>
      <c r="C403" s="67"/>
      <c r="D403" s="67"/>
      <c r="E403" s="67"/>
      <c r="F403" s="134">
        <v>2301</v>
      </c>
      <c r="G403" s="65" t="s">
        <v>1238</v>
      </c>
      <c r="H403" s="190"/>
      <c r="I403" s="190"/>
      <c r="J403" s="179"/>
      <c r="K403" s="190"/>
      <c r="L403" s="179"/>
      <c r="M403" s="179"/>
      <c r="N403" s="312"/>
      <c r="O403" s="134"/>
      <c r="P403" s="312"/>
      <c r="Q403" s="142"/>
      <c r="R403" s="134"/>
      <c r="S403" s="143"/>
      <c r="T403" s="312"/>
      <c r="U403" s="312"/>
      <c r="V403" s="136">
        <f>SUM(V404:V412)</f>
        <v>0</v>
      </c>
      <c r="W403" s="136">
        <f t="shared" ref="W403:AI403" si="144">SUM(W404:W412)</f>
        <v>0</v>
      </c>
      <c r="X403" s="136">
        <f t="shared" si="144"/>
        <v>0</v>
      </c>
      <c r="Y403" s="136">
        <f t="shared" si="144"/>
        <v>0</v>
      </c>
      <c r="Z403" s="136">
        <f t="shared" si="144"/>
        <v>0</v>
      </c>
      <c r="AA403" s="136">
        <f t="shared" si="144"/>
        <v>0</v>
      </c>
      <c r="AB403" s="136">
        <f t="shared" si="144"/>
        <v>0</v>
      </c>
      <c r="AC403" s="136">
        <f t="shared" si="144"/>
        <v>0</v>
      </c>
      <c r="AD403" s="136">
        <f t="shared" si="144"/>
        <v>0</v>
      </c>
      <c r="AE403" s="136">
        <f t="shared" si="144"/>
        <v>0</v>
      </c>
      <c r="AF403" s="136">
        <f t="shared" si="144"/>
        <v>374000000</v>
      </c>
      <c r="AG403" s="136">
        <f t="shared" si="144"/>
        <v>0</v>
      </c>
      <c r="AH403" s="136">
        <f t="shared" si="144"/>
        <v>0</v>
      </c>
      <c r="AI403" s="136">
        <f t="shared" si="144"/>
        <v>374000000</v>
      </c>
      <c r="AJ403" s="533">
        <f>SUM(AJ404:AJ412)</f>
        <v>0</v>
      </c>
      <c r="AK403" s="144">
        <f>SUM(AK404:AK412)</f>
        <v>0</v>
      </c>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row>
    <row r="404" spans="1:77" ht="75" customHeight="1" x14ac:dyDescent="0.2">
      <c r="A404" s="133"/>
      <c r="B404" s="67"/>
      <c r="C404" s="67"/>
      <c r="D404" s="67"/>
      <c r="E404" s="67"/>
      <c r="F404" s="71"/>
      <c r="G404" s="517"/>
      <c r="H404" s="607" t="s">
        <v>1239</v>
      </c>
      <c r="I404" s="611">
        <v>2301024</v>
      </c>
      <c r="J404" s="606" t="s">
        <v>1240</v>
      </c>
      <c r="K404" s="611">
        <v>2301024</v>
      </c>
      <c r="L404" s="606" t="s">
        <v>1240</v>
      </c>
      <c r="M404" s="88">
        <v>230102401</v>
      </c>
      <c r="N404" s="510" t="s">
        <v>1241</v>
      </c>
      <c r="O404" s="88">
        <v>230102401</v>
      </c>
      <c r="P404" s="510" t="s">
        <v>1241</v>
      </c>
      <c r="Q404" s="517" t="s">
        <v>55</v>
      </c>
      <c r="R404" s="96">
        <v>15</v>
      </c>
      <c r="S404" s="613" t="s">
        <v>1242</v>
      </c>
      <c r="T404" s="625" t="s">
        <v>1243</v>
      </c>
      <c r="U404" s="625" t="s">
        <v>1244</v>
      </c>
      <c r="V404" s="137"/>
      <c r="W404" s="137"/>
      <c r="X404" s="137"/>
      <c r="Y404" s="138"/>
      <c r="Z404" s="138"/>
      <c r="AA404" s="313"/>
      <c r="AB404" s="138"/>
      <c r="AC404" s="138"/>
      <c r="AD404" s="314"/>
      <c r="AE404" s="138"/>
      <c r="AF404" s="138">
        <v>18000000</v>
      </c>
      <c r="AG404" s="138"/>
      <c r="AH404" s="138"/>
      <c r="AI404" s="313">
        <f>+V404+W404+X404+Y404+Z404+AA404+AB404+AC404+AD404+AE404+AF404+AG404+AH404</f>
        <v>18000000</v>
      </c>
      <c r="AJ404" s="535" t="s">
        <v>1422</v>
      </c>
      <c r="AK404" s="532" t="s">
        <v>1245</v>
      </c>
    </row>
    <row r="405" spans="1:77" ht="75" customHeight="1" x14ac:dyDescent="0.2">
      <c r="A405" s="133"/>
      <c r="B405" s="67"/>
      <c r="C405" s="67"/>
      <c r="D405" s="67"/>
      <c r="E405" s="67"/>
      <c r="F405" s="71"/>
      <c r="G405" s="517"/>
      <c r="H405" s="608"/>
      <c r="I405" s="611"/>
      <c r="J405" s="606"/>
      <c r="K405" s="611"/>
      <c r="L405" s="606"/>
      <c r="M405" s="88">
        <v>230102404</v>
      </c>
      <c r="N405" s="510" t="s">
        <v>1246</v>
      </c>
      <c r="O405" s="88">
        <v>230102404</v>
      </c>
      <c r="P405" s="510" t="s">
        <v>1246</v>
      </c>
      <c r="Q405" s="91" t="s">
        <v>71</v>
      </c>
      <c r="R405" s="96">
        <v>3</v>
      </c>
      <c r="S405" s="613"/>
      <c r="T405" s="625"/>
      <c r="U405" s="625"/>
      <c r="V405" s="137"/>
      <c r="W405" s="137"/>
      <c r="X405" s="137"/>
      <c r="Y405" s="138"/>
      <c r="Z405" s="138"/>
      <c r="AA405" s="313"/>
      <c r="AB405" s="138"/>
      <c r="AC405" s="138"/>
      <c r="AD405" s="314"/>
      <c r="AE405" s="138"/>
      <c r="AF405" s="138">
        <v>100000000</v>
      </c>
      <c r="AG405" s="138"/>
      <c r="AH405" s="138"/>
      <c r="AI405" s="313">
        <f t="shared" ref="AI405:AI412" si="145">+V405+W405+X405+Y405+Z405+AA405+AB405+AC405+AD405+AE405+AF405+AG405+AH405</f>
        <v>100000000</v>
      </c>
      <c r="AJ405" s="535" t="s">
        <v>1422</v>
      </c>
      <c r="AK405" s="532" t="s">
        <v>1245</v>
      </c>
    </row>
    <row r="406" spans="1:77" ht="103.5" customHeight="1" x14ac:dyDescent="0.2">
      <c r="A406" s="133"/>
      <c r="B406" s="67"/>
      <c r="C406" s="67"/>
      <c r="D406" s="67"/>
      <c r="E406" s="67"/>
      <c r="F406" s="71"/>
      <c r="G406" s="517"/>
      <c r="H406" s="512" t="s">
        <v>1239</v>
      </c>
      <c r="I406" s="456">
        <v>2301012</v>
      </c>
      <c r="J406" s="512" t="s">
        <v>1247</v>
      </c>
      <c r="K406" s="66">
        <v>2301079</v>
      </c>
      <c r="L406" s="512" t="s">
        <v>1248</v>
      </c>
      <c r="M406" s="456">
        <v>230101204</v>
      </c>
      <c r="N406" s="510" t="s">
        <v>1249</v>
      </c>
      <c r="O406" s="88">
        <v>230107902</v>
      </c>
      <c r="P406" s="510" t="s">
        <v>1250</v>
      </c>
      <c r="Q406" s="517" t="s">
        <v>71</v>
      </c>
      <c r="R406" s="96">
        <v>13</v>
      </c>
      <c r="S406" s="613"/>
      <c r="T406" s="625"/>
      <c r="U406" s="625"/>
      <c r="V406" s="137"/>
      <c r="W406" s="137"/>
      <c r="X406" s="137"/>
      <c r="Y406" s="138"/>
      <c r="Z406" s="138"/>
      <c r="AA406" s="313"/>
      <c r="AB406" s="138"/>
      <c r="AC406" s="138"/>
      <c r="AD406" s="314"/>
      <c r="AE406" s="138"/>
      <c r="AF406" s="138">
        <v>80000000</v>
      </c>
      <c r="AG406" s="138"/>
      <c r="AH406" s="138"/>
      <c r="AI406" s="313">
        <f t="shared" si="145"/>
        <v>80000000</v>
      </c>
      <c r="AJ406" s="535" t="s">
        <v>1422</v>
      </c>
      <c r="AK406" s="532" t="s">
        <v>1245</v>
      </c>
    </row>
    <row r="407" spans="1:77" ht="96.75" customHeight="1" x14ac:dyDescent="0.2">
      <c r="A407" s="133"/>
      <c r="B407" s="67"/>
      <c r="C407" s="67"/>
      <c r="D407" s="67"/>
      <c r="E407" s="67"/>
      <c r="F407" s="71"/>
      <c r="G407" s="517"/>
      <c r="H407" s="512" t="s">
        <v>1239</v>
      </c>
      <c r="I407" s="66">
        <v>2301062</v>
      </c>
      <c r="J407" s="512" t="s">
        <v>1251</v>
      </c>
      <c r="K407" s="66">
        <v>2301062</v>
      </c>
      <c r="L407" s="512" t="s">
        <v>1251</v>
      </c>
      <c r="M407" s="88">
        <v>230106201</v>
      </c>
      <c r="N407" s="510" t="s">
        <v>1252</v>
      </c>
      <c r="O407" s="88">
        <v>230106201</v>
      </c>
      <c r="P407" s="510" t="s">
        <v>1252</v>
      </c>
      <c r="Q407" s="517" t="s">
        <v>1253</v>
      </c>
      <c r="R407" s="88">
        <v>9</v>
      </c>
      <c r="S407" s="613"/>
      <c r="T407" s="625"/>
      <c r="U407" s="625"/>
      <c r="V407" s="137"/>
      <c r="W407" s="137"/>
      <c r="X407" s="137"/>
      <c r="Y407" s="138"/>
      <c r="Z407" s="138"/>
      <c r="AA407" s="313"/>
      <c r="AB407" s="138"/>
      <c r="AC407" s="138"/>
      <c r="AD407" s="314"/>
      <c r="AE407" s="138"/>
      <c r="AF407" s="138">
        <v>50000000</v>
      </c>
      <c r="AG407" s="138"/>
      <c r="AH407" s="138"/>
      <c r="AI407" s="313">
        <f t="shared" si="145"/>
        <v>50000000</v>
      </c>
      <c r="AJ407" s="535" t="s">
        <v>1422</v>
      </c>
      <c r="AK407" s="532" t="s">
        <v>1245</v>
      </c>
    </row>
    <row r="408" spans="1:77" ht="102" customHeight="1" x14ac:dyDescent="0.2">
      <c r="A408" s="133"/>
      <c r="B408" s="67"/>
      <c r="C408" s="67"/>
      <c r="D408" s="67"/>
      <c r="E408" s="67"/>
      <c r="F408" s="71"/>
      <c r="G408" s="517"/>
      <c r="H408" s="512" t="s">
        <v>1254</v>
      </c>
      <c r="I408" s="66">
        <v>2301030</v>
      </c>
      <c r="J408" s="512" t="s">
        <v>1255</v>
      </c>
      <c r="K408" s="66">
        <v>2301030</v>
      </c>
      <c r="L408" s="512" t="s">
        <v>1255</v>
      </c>
      <c r="M408" s="88">
        <v>230103000</v>
      </c>
      <c r="N408" s="510" t="s">
        <v>1256</v>
      </c>
      <c r="O408" s="88">
        <v>230103000</v>
      </c>
      <c r="P408" s="510" t="s">
        <v>1256</v>
      </c>
      <c r="Q408" s="517" t="s">
        <v>71</v>
      </c>
      <c r="R408" s="96">
        <v>2500</v>
      </c>
      <c r="S408" s="634" t="s">
        <v>1257</v>
      </c>
      <c r="T408" s="614" t="s">
        <v>1258</v>
      </c>
      <c r="U408" s="606" t="s">
        <v>1259</v>
      </c>
      <c r="V408" s="137"/>
      <c r="W408" s="137"/>
      <c r="X408" s="137"/>
      <c r="Y408" s="138"/>
      <c r="Z408" s="138"/>
      <c r="AA408" s="313"/>
      <c r="AB408" s="138"/>
      <c r="AC408" s="138"/>
      <c r="AD408" s="314"/>
      <c r="AE408" s="138"/>
      <c r="AF408" s="138">
        <v>36000000</v>
      </c>
      <c r="AG408" s="138"/>
      <c r="AH408" s="138"/>
      <c r="AI408" s="313">
        <f t="shared" si="145"/>
        <v>36000000</v>
      </c>
      <c r="AJ408" s="535" t="s">
        <v>1422</v>
      </c>
      <c r="AK408" s="532" t="s">
        <v>1245</v>
      </c>
    </row>
    <row r="409" spans="1:77" ht="91.5" customHeight="1" x14ac:dyDescent="0.2">
      <c r="A409" s="133"/>
      <c r="B409" s="67"/>
      <c r="C409" s="67"/>
      <c r="D409" s="67"/>
      <c r="E409" s="67"/>
      <c r="F409" s="71"/>
      <c r="G409" s="517"/>
      <c r="H409" s="512" t="s">
        <v>1254</v>
      </c>
      <c r="I409" s="66">
        <v>2301015</v>
      </c>
      <c r="J409" s="512" t="s">
        <v>1260</v>
      </c>
      <c r="K409" s="66">
        <v>2301015</v>
      </c>
      <c r="L409" s="512" t="s">
        <v>1260</v>
      </c>
      <c r="M409" s="88">
        <v>230101500</v>
      </c>
      <c r="N409" s="510" t="s">
        <v>1261</v>
      </c>
      <c r="O409" s="88">
        <v>230101500</v>
      </c>
      <c r="P409" s="510" t="s">
        <v>1261</v>
      </c>
      <c r="Q409" s="517" t="s">
        <v>55</v>
      </c>
      <c r="R409" s="96">
        <v>3</v>
      </c>
      <c r="S409" s="634"/>
      <c r="T409" s="614"/>
      <c r="U409" s="606"/>
      <c r="V409" s="137"/>
      <c r="W409" s="137"/>
      <c r="X409" s="137"/>
      <c r="Y409" s="138"/>
      <c r="Z409" s="138"/>
      <c r="AA409" s="313"/>
      <c r="AB409" s="138"/>
      <c r="AC409" s="138"/>
      <c r="AD409" s="314"/>
      <c r="AE409" s="138"/>
      <c r="AF409" s="138">
        <v>18000000</v>
      </c>
      <c r="AG409" s="138"/>
      <c r="AH409" s="138"/>
      <c r="AI409" s="313">
        <f t="shared" si="145"/>
        <v>18000000</v>
      </c>
      <c r="AJ409" s="535" t="s">
        <v>1422</v>
      </c>
      <c r="AK409" s="532" t="s">
        <v>1245</v>
      </c>
    </row>
    <row r="410" spans="1:77" ht="99.75" customHeight="1" x14ac:dyDescent="0.2">
      <c r="A410" s="133"/>
      <c r="B410" s="67"/>
      <c r="C410" s="67"/>
      <c r="D410" s="67"/>
      <c r="E410" s="67"/>
      <c r="F410" s="71"/>
      <c r="G410" s="517"/>
      <c r="H410" s="512" t="s">
        <v>1254</v>
      </c>
      <c r="I410" s="66">
        <v>2301004</v>
      </c>
      <c r="J410" s="512" t="s">
        <v>252</v>
      </c>
      <c r="K410" s="66">
        <v>2301004</v>
      </c>
      <c r="L410" s="512" t="s">
        <v>252</v>
      </c>
      <c r="M410" s="456">
        <v>230200400</v>
      </c>
      <c r="N410" s="510" t="s">
        <v>254</v>
      </c>
      <c r="O410" s="88">
        <v>230100400</v>
      </c>
      <c r="P410" s="510" t="s">
        <v>254</v>
      </c>
      <c r="Q410" s="517" t="s">
        <v>55</v>
      </c>
      <c r="R410" s="96">
        <v>1</v>
      </c>
      <c r="S410" s="634"/>
      <c r="T410" s="614"/>
      <c r="U410" s="606"/>
      <c r="V410" s="137"/>
      <c r="W410" s="137"/>
      <c r="X410" s="137"/>
      <c r="Y410" s="138"/>
      <c r="Z410" s="138"/>
      <c r="AA410" s="313"/>
      <c r="AB410" s="138"/>
      <c r="AC410" s="138"/>
      <c r="AD410" s="314"/>
      <c r="AE410" s="138"/>
      <c r="AF410" s="138">
        <v>18000000</v>
      </c>
      <c r="AG410" s="138"/>
      <c r="AH410" s="138"/>
      <c r="AI410" s="313">
        <f t="shared" si="145"/>
        <v>18000000</v>
      </c>
      <c r="AJ410" s="535" t="s">
        <v>1422</v>
      </c>
      <c r="AK410" s="532" t="s">
        <v>1245</v>
      </c>
    </row>
    <row r="411" spans="1:77" ht="103.5" customHeight="1" x14ac:dyDescent="0.2">
      <c r="A411" s="133"/>
      <c r="B411" s="67"/>
      <c r="C411" s="67"/>
      <c r="D411" s="67"/>
      <c r="E411" s="67"/>
      <c r="F411" s="71"/>
      <c r="G411" s="517"/>
      <c r="H411" s="512" t="s">
        <v>1254</v>
      </c>
      <c r="I411" s="66">
        <v>2301035</v>
      </c>
      <c r="J411" s="512" t="s">
        <v>1262</v>
      </c>
      <c r="K411" s="66">
        <v>2301035</v>
      </c>
      <c r="L411" s="512" t="s">
        <v>1262</v>
      </c>
      <c r="M411" s="88">
        <v>230103500</v>
      </c>
      <c r="N411" s="510" t="s">
        <v>1263</v>
      </c>
      <c r="O411" s="88">
        <v>230103500</v>
      </c>
      <c r="P411" s="510" t="s">
        <v>1263</v>
      </c>
      <c r="Q411" s="517" t="s">
        <v>71</v>
      </c>
      <c r="R411" s="96">
        <v>20</v>
      </c>
      <c r="S411" s="634"/>
      <c r="T411" s="614"/>
      <c r="U411" s="606"/>
      <c r="V411" s="137"/>
      <c r="W411" s="137"/>
      <c r="X411" s="137"/>
      <c r="Y411" s="138"/>
      <c r="Z411" s="138"/>
      <c r="AA411" s="313"/>
      <c r="AB411" s="138"/>
      <c r="AC411" s="138"/>
      <c r="AD411" s="314"/>
      <c r="AE411" s="138"/>
      <c r="AF411" s="138">
        <v>36000000</v>
      </c>
      <c r="AG411" s="138"/>
      <c r="AH411" s="138"/>
      <c r="AI411" s="313">
        <f t="shared" si="145"/>
        <v>36000000</v>
      </c>
      <c r="AJ411" s="535" t="s">
        <v>1422</v>
      </c>
      <c r="AK411" s="532" t="s">
        <v>1245</v>
      </c>
    </row>
    <row r="412" spans="1:77" ht="103.5" customHeight="1" x14ac:dyDescent="0.2">
      <c r="A412" s="133"/>
      <c r="B412" s="67"/>
      <c r="C412" s="67"/>
      <c r="D412" s="67"/>
      <c r="E412" s="67"/>
      <c r="F412" s="71"/>
      <c r="G412" s="517"/>
      <c r="H412" s="512" t="s">
        <v>1254</v>
      </c>
      <c r="I412" s="66">
        <v>2301042</v>
      </c>
      <c r="J412" s="512" t="s">
        <v>1264</v>
      </c>
      <c r="K412" s="66">
        <v>2301042</v>
      </c>
      <c r="L412" s="512" t="s">
        <v>1264</v>
      </c>
      <c r="M412" s="88">
        <v>230104201</v>
      </c>
      <c r="N412" s="510" t="s">
        <v>1265</v>
      </c>
      <c r="O412" s="88">
        <v>230104201</v>
      </c>
      <c r="P412" s="510" t="s">
        <v>1265</v>
      </c>
      <c r="Q412" s="517" t="s">
        <v>55</v>
      </c>
      <c r="R412" s="96">
        <v>1</v>
      </c>
      <c r="S412" s="634"/>
      <c r="T412" s="614"/>
      <c r="U412" s="606"/>
      <c r="V412" s="137"/>
      <c r="W412" s="137"/>
      <c r="X412" s="137"/>
      <c r="Y412" s="138"/>
      <c r="Z412" s="138"/>
      <c r="AA412" s="313"/>
      <c r="AB412" s="138"/>
      <c r="AC412" s="138"/>
      <c r="AD412" s="314"/>
      <c r="AE412" s="138"/>
      <c r="AF412" s="138">
        <v>18000000</v>
      </c>
      <c r="AG412" s="138"/>
      <c r="AH412" s="138"/>
      <c r="AI412" s="313">
        <f t="shared" si="145"/>
        <v>18000000</v>
      </c>
      <c r="AJ412" s="535" t="s">
        <v>1422</v>
      </c>
      <c r="AK412" s="532" t="s">
        <v>1245</v>
      </c>
    </row>
    <row r="413" spans="1:77" s="9" customFormat="1" ht="25.5" customHeight="1" x14ac:dyDescent="0.25">
      <c r="A413" s="115"/>
      <c r="B413" s="67"/>
      <c r="C413" s="67"/>
      <c r="D413" s="67"/>
      <c r="E413" s="67"/>
      <c r="F413" s="134">
        <v>2302</v>
      </c>
      <c r="G413" s="65" t="s">
        <v>1418</v>
      </c>
      <c r="H413" s="65"/>
      <c r="I413" s="65"/>
      <c r="J413" s="65"/>
      <c r="K413" s="65"/>
      <c r="L413" s="65"/>
      <c r="M413" s="65"/>
      <c r="N413" s="135"/>
      <c r="O413" s="141"/>
      <c r="P413" s="135"/>
      <c r="Q413" s="142"/>
      <c r="R413" s="141"/>
      <c r="S413" s="143"/>
      <c r="T413" s="135"/>
      <c r="U413" s="135"/>
      <c r="V413" s="136">
        <f>SUM(V414:V418)</f>
        <v>0</v>
      </c>
      <c r="W413" s="136">
        <f t="shared" ref="W413:AI413" si="146">SUM(W414:W418)</f>
        <v>0</v>
      </c>
      <c r="X413" s="136">
        <f t="shared" si="146"/>
        <v>0</v>
      </c>
      <c r="Y413" s="136">
        <f t="shared" si="146"/>
        <v>0</v>
      </c>
      <c r="Z413" s="136">
        <f t="shared" si="146"/>
        <v>0</v>
      </c>
      <c r="AA413" s="136">
        <f t="shared" si="146"/>
        <v>0</v>
      </c>
      <c r="AB413" s="136">
        <f t="shared" si="146"/>
        <v>0</v>
      </c>
      <c r="AC413" s="136">
        <f t="shared" si="146"/>
        <v>0</v>
      </c>
      <c r="AD413" s="136">
        <f t="shared" si="146"/>
        <v>0</v>
      </c>
      <c r="AE413" s="136">
        <f t="shared" si="146"/>
        <v>0</v>
      </c>
      <c r="AF413" s="136">
        <f t="shared" si="146"/>
        <v>146000000</v>
      </c>
      <c r="AG413" s="136">
        <f t="shared" si="146"/>
        <v>0</v>
      </c>
      <c r="AH413" s="136">
        <f t="shared" si="146"/>
        <v>0</v>
      </c>
      <c r="AI413" s="136">
        <f t="shared" si="146"/>
        <v>146000000</v>
      </c>
      <c r="AJ413" s="536">
        <f>SUM(AJ414:AJ418)</f>
        <v>0</v>
      </c>
      <c r="AK413" s="144">
        <f>SUM(AK414:AK418)</f>
        <v>0</v>
      </c>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row>
    <row r="414" spans="1:77" ht="104.25" customHeight="1" x14ac:dyDescent="0.2">
      <c r="A414" s="133"/>
      <c r="B414" s="67"/>
      <c r="C414" s="67"/>
      <c r="D414" s="67"/>
      <c r="E414" s="67"/>
      <c r="F414" s="71"/>
      <c r="G414" s="517"/>
      <c r="H414" s="512" t="s">
        <v>1239</v>
      </c>
      <c r="I414" s="66">
        <v>2302042</v>
      </c>
      <c r="J414" s="512" t="s">
        <v>1266</v>
      </c>
      <c r="K414" s="66">
        <v>2302042</v>
      </c>
      <c r="L414" s="512" t="s">
        <v>1266</v>
      </c>
      <c r="M414" s="88">
        <v>230204200</v>
      </c>
      <c r="N414" s="510" t="s">
        <v>1267</v>
      </c>
      <c r="O414" s="88">
        <v>230204200</v>
      </c>
      <c r="P414" s="510" t="s">
        <v>1267</v>
      </c>
      <c r="Q414" s="517" t="s">
        <v>71</v>
      </c>
      <c r="R414" s="96">
        <v>1</v>
      </c>
      <c r="S414" s="632" t="s">
        <v>1268</v>
      </c>
      <c r="T414" s="606" t="s">
        <v>1269</v>
      </c>
      <c r="U414" s="606" t="s">
        <v>1270</v>
      </c>
      <c r="V414" s="137"/>
      <c r="W414" s="137"/>
      <c r="X414" s="137"/>
      <c r="Y414" s="138"/>
      <c r="Z414" s="138"/>
      <c r="AA414" s="313"/>
      <c r="AB414" s="138"/>
      <c r="AC414" s="138"/>
      <c r="AD414" s="314"/>
      <c r="AE414" s="138"/>
      <c r="AF414" s="138">
        <v>20000000</v>
      </c>
      <c r="AG414" s="138"/>
      <c r="AH414" s="138"/>
      <c r="AI414" s="313">
        <f>+V414+W414+X414+Y414+Z414+AA414+AB414+AC414+AD414+AE414+AF414+AG414+AH414</f>
        <v>20000000</v>
      </c>
      <c r="AJ414" s="535" t="s">
        <v>1422</v>
      </c>
      <c r="AK414" s="532" t="s">
        <v>1245</v>
      </c>
    </row>
    <row r="415" spans="1:77" ht="103.5" customHeight="1" x14ac:dyDescent="0.2">
      <c r="A415" s="133"/>
      <c r="B415" s="67"/>
      <c r="C415" s="67"/>
      <c r="D415" s="67"/>
      <c r="E415" s="67"/>
      <c r="F415" s="71"/>
      <c r="G415" s="517"/>
      <c r="H415" s="512" t="s">
        <v>1239</v>
      </c>
      <c r="I415" s="66">
        <v>2302022</v>
      </c>
      <c r="J415" s="512" t="s">
        <v>1271</v>
      </c>
      <c r="K415" s="66">
        <v>2302022</v>
      </c>
      <c r="L415" s="512" t="s">
        <v>1271</v>
      </c>
      <c r="M415" s="88">
        <v>230202200</v>
      </c>
      <c r="N415" s="510" t="s">
        <v>1272</v>
      </c>
      <c r="O415" s="88">
        <v>230202200</v>
      </c>
      <c r="P415" s="510" t="s">
        <v>1272</v>
      </c>
      <c r="Q415" s="517" t="s">
        <v>71</v>
      </c>
      <c r="R415" s="96">
        <v>20</v>
      </c>
      <c r="S415" s="632"/>
      <c r="T415" s="606"/>
      <c r="U415" s="606"/>
      <c r="V415" s="137"/>
      <c r="W415" s="137"/>
      <c r="X415" s="137"/>
      <c r="Y415" s="138"/>
      <c r="Z415" s="138"/>
      <c r="AA415" s="313"/>
      <c r="AB415" s="138"/>
      <c r="AC415" s="138"/>
      <c r="AD415" s="314"/>
      <c r="AE415" s="138"/>
      <c r="AF415" s="138">
        <v>36000000</v>
      </c>
      <c r="AG415" s="138"/>
      <c r="AH415" s="138"/>
      <c r="AI415" s="313">
        <f>+V415+W415+X415+Y415+Z415+AA415+AB415+AC415+AD415+AE415+AF415+AG415+AH415</f>
        <v>36000000</v>
      </c>
      <c r="AJ415" s="535" t="s">
        <v>1422</v>
      </c>
      <c r="AK415" s="532" t="s">
        <v>1245</v>
      </c>
    </row>
    <row r="416" spans="1:77" s="4" customFormat="1" ht="84" customHeight="1" x14ac:dyDescent="0.2">
      <c r="A416" s="55"/>
      <c r="B416" s="92"/>
      <c r="C416" s="92"/>
      <c r="D416" s="92"/>
      <c r="E416" s="92"/>
      <c r="F416" s="95"/>
      <c r="G416" s="91"/>
      <c r="H416" s="518" t="s">
        <v>1254</v>
      </c>
      <c r="I416" s="68">
        <v>2302021</v>
      </c>
      <c r="J416" s="518" t="s">
        <v>1273</v>
      </c>
      <c r="K416" s="68">
        <v>2302021</v>
      </c>
      <c r="L416" s="518" t="s">
        <v>1273</v>
      </c>
      <c r="M416" s="96">
        <v>230202100</v>
      </c>
      <c r="N416" s="516" t="s">
        <v>1274</v>
      </c>
      <c r="O416" s="96">
        <v>230202100</v>
      </c>
      <c r="P416" s="516" t="s">
        <v>1274</v>
      </c>
      <c r="Q416" s="91" t="s">
        <v>71</v>
      </c>
      <c r="R416" s="96">
        <v>8</v>
      </c>
      <c r="S416" s="632"/>
      <c r="T416" s="606"/>
      <c r="U416" s="606"/>
      <c r="V416" s="110"/>
      <c r="W416" s="110"/>
      <c r="X416" s="110"/>
      <c r="Y416" s="218"/>
      <c r="Z416" s="218"/>
      <c r="AA416" s="315"/>
      <c r="AB416" s="218"/>
      <c r="AC416" s="218"/>
      <c r="AD416" s="316"/>
      <c r="AE416" s="218"/>
      <c r="AF416" s="218">
        <v>50000000</v>
      </c>
      <c r="AG416" s="218"/>
      <c r="AH416" s="218"/>
      <c r="AI416" s="315">
        <f>+V416+W416+X416+Y416+Z416+AA416+AB416+AC416+AD416+AE416+AF416+AG416+AH416</f>
        <v>50000000</v>
      </c>
      <c r="AJ416" s="535" t="s">
        <v>1422</v>
      </c>
      <c r="AK416" s="532" t="s">
        <v>1245</v>
      </c>
    </row>
    <row r="417" spans="1:77" ht="114" customHeight="1" x14ac:dyDescent="0.2">
      <c r="A417" s="133"/>
      <c r="B417" s="67"/>
      <c r="C417" s="67"/>
      <c r="D417" s="67"/>
      <c r="E417" s="67"/>
      <c r="F417" s="71"/>
      <c r="G417" s="517"/>
      <c r="H417" s="512" t="s">
        <v>1275</v>
      </c>
      <c r="I417" s="66">
        <v>2302058</v>
      </c>
      <c r="J417" s="512" t="s">
        <v>1276</v>
      </c>
      <c r="K417" s="66">
        <v>2302058</v>
      </c>
      <c r="L417" s="512" t="s">
        <v>1276</v>
      </c>
      <c r="M417" s="88">
        <v>230205800</v>
      </c>
      <c r="N417" s="510" t="s">
        <v>1277</v>
      </c>
      <c r="O417" s="88">
        <v>230205800</v>
      </c>
      <c r="P417" s="510" t="s">
        <v>1277</v>
      </c>
      <c r="Q417" s="517" t="s">
        <v>71</v>
      </c>
      <c r="R417" s="96">
        <v>300</v>
      </c>
      <c r="S417" s="632"/>
      <c r="T417" s="606"/>
      <c r="U417" s="606"/>
      <c r="V417" s="137"/>
      <c r="W417" s="137"/>
      <c r="X417" s="137"/>
      <c r="Y417" s="138"/>
      <c r="Z417" s="138"/>
      <c r="AA417" s="313"/>
      <c r="AB417" s="138"/>
      <c r="AC417" s="138"/>
      <c r="AD417" s="314"/>
      <c r="AE417" s="138"/>
      <c r="AF417" s="138">
        <v>20000000</v>
      </c>
      <c r="AG417" s="138"/>
      <c r="AH417" s="138"/>
      <c r="AI417" s="313">
        <f>+V417+W417+X417+Y417+Z417+AA417+AB417+AC417+AD417+AE417+AF417+AG417+AH417</f>
        <v>20000000</v>
      </c>
      <c r="AJ417" s="535" t="s">
        <v>1422</v>
      </c>
      <c r="AK417" s="532" t="s">
        <v>1245</v>
      </c>
    </row>
    <row r="418" spans="1:77" ht="112.5" customHeight="1" x14ac:dyDescent="0.2">
      <c r="A418" s="133"/>
      <c r="B418" s="67"/>
      <c r="C418" s="67"/>
      <c r="D418" s="67"/>
      <c r="E418" s="67"/>
      <c r="F418" s="71"/>
      <c r="G418" s="517"/>
      <c r="H418" s="512" t="s">
        <v>1275</v>
      </c>
      <c r="I418" s="66">
        <v>2302068</v>
      </c>
      <c r="J418" s="512" t="s">
        <v>1278</v>
      </c>
      <c r="K418" s="66">
        <v>2302068</v>
      </c>
      <c r="L418" s="512" t="s">
        <v>1278</v>
      </c>
      <c r="M418" s="88">
        <v>230206800</v>
      </c>
      <c r="N418" s="510" t="s">
        <v>1279</v>
      </c>
      <c r="O418" s="88">
        <v>230206800</v>
      </c>
      <c r="P418" s="510" t="s">
        <v>1279</v>
      </c>
      <c r="Q418" s="517" t="s">
        <v>71</v>
      </c>
      <c r="R418" s="96">
        <v>60</v>
      </c>
      <c r="S418" s="632"/>
      <c r="T418" s="606"/>
      <c r="U418" s="606"/>
      <c r="V418" s="137"/>
      <c r="W418" s="137"/>
      <c r="X418" s="137"/>
      <c r="Y418" s="138"/>
      <c r="Z418" s="138"/>
      <c r="AA418" s="313"/>
      <c r="AB418" s="138"/>
      <c r="AC418" s="138"/>
      <c r="AD418" s="314"/>
      <c r="AE418" s="138"/>
      <c r="AF418" s="138">
        <v>20000000</v>
      </c>
      <c r="AG418" s="138"/>
      <c r="AH418" s="138"/>
      <c r="AI418" s="313">
        <f>+V418+W418+X418+Y418+Z418+AA418+AB418+AC418+AD418+AE418+AF418+AG418+AH418</f>
        <v>20000000</v>
      </c>
      <c r="AJ418" s="535" t="s">
        <v>1422</v>
      </c>
      <c r="AK418" s="532" t="s">
        <v>1245</v>
      </c>
    </row>
    <row r="419" spans="1:77" s="9" customFormat="1" ht="26.25" customHeight="1" x14ac:dyDescent="0.25">
      <c r="A419" s="115"/>
      <c r="B419" s="472">
        <v>2</v>
      </c>
      <c r="C419" s="116"/>
      <c r="D419" s="61" t="s">
        <v>421</v>
      </c>
      <c r="E419" s="163"/>
      <c r="F419" s="61"/>
      <c r="G419" s="61"/>
      <c r="H419" s="61"/>
      <c r="I419" s="61"/>
      <c r="J419" s="118"/>
      <c r="K419" s="117"/>
      <c r="L419" s="118"/>
      <c r="M419" s="118"/>
      <c r="N419" s="119"/>
      <c r="O419" s="116"/>
      <c r="P419" s="119"/>
      <c r="Q419" s="120"/>
      <c r="R419" s="116"/>
      <c r="S419" s="121"/>
      <c r="T419" s="119"/>
      <c r="U419" s="119"/>
      <c r="V419" s="310">
        <f>V420</f>
        <v>0</v>
      </c>
      <c r="W419" s="310">
        <f t="shared" ref="W419:AH419" si="147">W420</f>
        <v>0</v>
      </c>
      <c r="X419" s="310">
        <f t="shared" si="147"/>
        <v>0</v>
      </c>
      <c r="Y419" s="310">
        <f t="shared" si="147"/>
        <v>0</v>
      </c>
      <c r="Z419" s="310">
        <f t="shared" si="147"/>
        <v>0</v>
      </c>
      <c r="AA419" s="310">
        <f t="shared" si="147"/>
        <v>0</v>
      </c>
      <c r="AB419" s="310">
        <f t="shared" si="147"/>
        <v>0</v>
      </c>
      <c r="AC419" s="310">
        <f t="shared" si="147"/>
        <v>0</v>
      </c>
      <c r="AD419" s="310">
        <f t="shared" si="147"/>
        <v>0</v>
      </c>
      <c r="AE419" s="310">
        <f t="shared" si="147"/>
        <v>0</v>
      </c>
      <c r="AF419" s="310">
        <f t="shared" si="147"/>
        <v>78000000</v>
      </c>
      <c r="AG419" s="310">
        <f t="shared" si="147"/>
        <v>0</v>
      </c>
      <c r="AH419" s="310">
        <f t="shared" si="147"/>
        <v>0</v>
      </c>
      <c r="AI419" s="310">
        <f>AI420</f>
        <v>78000000</v>
      </c>
      <c r="AJ419" s="534"/>
      <c r="AK419" s="311"/>
      <c r="AL419" s="8"/>
      <c r="AM419" s="8"/>
      <c r="AN419" s="8"/>
      <c r="AO419" s="8"/>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row>
    <row r="420" spans="1:77" s="9" customFormat="1" ht="27.75" customHeight="1" x14ac:dyDescent="0.25">
      <c r="A420" s="465"/>
      <c r="B420" s="473"/>
      <c r="C420" s="466"/>
      <c r="D420" s="64">
        <v>39</v>
      </c>
      <c r="E420" s="62" t="s">
        <v>1413</v>
      </c>
      <c r="F420" s="62"/>
      <c r="G420" s="123"/>
      <c r="H420" s="124"/>
      <c r="I420" s="124"/>
      <c r="J420" s="126"/>
      <c r="K420" s="125"/>
      <c r="L420" s="126"/>
      <c r="M420" s="126"/>
      <c r="N420" s="128"/>
      <c r="O420" s="127"/>
      <c r="P420" s="128"/>
      <c r="Q420" s="129"/>
      <c r="R420" s="127"/>
      <c r="S420" s="199"/>
      <c r="T420" s="131"/>
      <c r="U420" s="131"/>
      <c r="V420" s="132">
        <f>V421+V425</f>
        <v>0</v>
      </c>
      <c r="W420" s="132">
        <f t="shared" ref="W420:AH420" si="148">W421+W425</f>
        <v>0</v>
      </c>
      <c r="X420" s="132">
        <f t="shared" si="148"/>
        <v>0</v>
      </c>
      <c r="Y420" s="132">
        <f t="shared" si="148"/>
        <v>0</v>
      </c>
      <c r="Z420" s="132">
        <f t="shared" si="148"/>
        <v>0</v>
      </c>
      <c r="AA420" s="132">
        <f t="shared" si="148"/>
        <v>0</v>
      </c>
      <c r="AB420" s="132">
        <f t="shared" si="148"/>
        <v>0</v>
      </c>
      <c r="AC420" s="132">
        <f t="shared" si="148"/>
        <v>0</v>
      </c>
      <c r="AD420" s="132">
        <f t="shared" si="148"/>
        <v>0</v>
      </c>
      <c r="AE420" s="132">
        <f t="shared" si="148"/>
        <v>0</v>
      </c>
      <c r="AF420" s="132">
        <f t="shared" si="148"/>
        <v>78000000</v>
      </c>
      <c r="AG420" s="132">
        <f t="shared" si="148"/>
        <v>0</v>
      </c>
      <c r="AH420" s="132">
        <f t="shared" si="148"/>
        <v>0</v>
      </c>
      <c r="AI420" s="132">
        <f>AI421+AI425</f>
        <v>78000000</v>
      </c>
      <c r="AJ420" s="132"/>
      <c r="AK420" s="157"/>
      <c r="AL420" s="8"/>
      <c r="AM420" s="8"/>
      <c r="AN420" s="8"/>
      <c r="AO420" s="8"/>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row>
    <row r="421" spans="1:77" s="9" customFormat="1" ht="31.5" customHeight="1" x14ac:dyDescent="0.25">
      <c r="A421" s="467"/>
      <c r="B421" s="474"/>
      <c r="C421" s="468"/>
      <c r="D421" s="271"/>
      <c r="E421" s="271"/>
      <c r="F421" s="134" t="s">
        <v>1280</v>
      </c>
      <c r="G421" s="65" t="s">
        <v>1281</v>
      </c>
      <c r="H421" s="179"/>
      <c r="I421" s="179"/>
      <c r="J421" s="140"/>
      <c r="K421" s="139"/>
      <c r="L421" s="140"/>
      <c r="M421" s="140"/>
      <c r="N421" s="135"/>
      <c r="O421" s="141"/>
      <c r="P421" s="135"/>
      <c r="Q421" s="142"/>
      <c r="R421" s="141"/>
      <c r="S421" s="143"/>
      <c r="T421" s="135"/>
      <c r="U421" s="135"/>
      <c r="V421" s="136">
        <f>SUM(V422:V424)</f>
        <v>0</v>
      </c>
      <c r="W421" s="136">
        <f t="shared" ref="W421:AI421" si="149">SUM(W422:W424)</f>
        <v>0</v>
      </c>
      <c r="X421" s="136">
        <f t="shared" si="149"/>
        <v>0</v>
      </c>
      <c r="Y421" s="136">
        <f t="shared" si="149"/>
        <v>0</v>
      </c>
      <c r="Z421" s="136">
        <f t="shared" si="149"/>
        <v>0</v>
      </c>
      <c r="AA421" s="136">
        <f t="shared" si="149"/>
        <v>0</v>
      </c>
      <c r="AB421" s="136">
        <f t="shared" si="149"/>
        <v>0</v>
      </c>
      <c r="AC421" s="136">
        <f t="shared" si="149"/>
        <v>0</v>
      </c>
      <c r="AD421" s="136">
        <f t="shared" si="149"/>
        <v>0</v>
      </c>
      <c r="AE421" s="136">
        <f t="shared" si="149"/>
        <v>0</v>
      </c>
      <c r="AF421" s="136">
        <f t="shared" si="149"/>
        <v>60000000</v>
      </c>
      <c r="AG421" s="136">
        <f t="shared" si="149"/>
        <v>0</v>
      </c>
      <c r="AH421" s="136">
        <f t="shared" si="149"/>
        <v>0</v>
      </c>
      <c r="AI421" s="136">
        <f t="shared" si="149"/>
        <v>60000000</v>
      </c>
      <c r="AJ421" s="136"/>
      <c r="AK421" s="144"/>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row>
    <row r="422" spans="1:77" ht="60" customHeight="1" x14ac:dyDescent="0.2">
      <c r="A422" s="469"/>
      <c r="B422" s="474"/>
      <c r="C422" s="468"/>
      <c r="D422" s="464"/>
      <c r="E422" s="464"/>
      <c r="F422" s="461"/>
      <c r="G422" s="461"/>
      <c r="H422" s="607" t="s">
        <v>1282</v>
      </c>
      <c r="I422" s="611">
        <v>3903005</v>
      </c>
      <c r="J422" s="606" t="s">
        <v>1283</v>
      </c>
      <c r="K422" s="611">
        <v>3903005</v>
      </c>
      <c r="L422" s="606" t="s">
        <v>1283</v>
      </c>
      <c r="M422" s="192" t="s">
        <v>1284</v>
      </c>
      <c r="N422" s="76" t="s">
        <v>1285</v>
      </c>
      <c r="O422" s="192" t="s">
        <v>1284</v>
      </c>
      <c r="P422" s="76" t="s">
        <v>1285</v>
      </c>
      <c r="Q422" s="517" t="s">
        <v>55</v>
      </c>
      <c r="R422" s="96">
        <v>1</v>
      </c>
      <c r="S422" s="632" t="s">
        <v>1286</v>
      </c>
      <c r="T422" s="614" t="s">
        <v>1287</v>
      </c>
      <c r="U422" s="614" t="s">
        <v>1288</v>
      </c>
      <c r="V422" s="137"/>
      <c r="W422" s="137"/>
      <c r="X422" s="137"/>
      <c r="Y422" s="138"/>
      <c r="Z422" s="138"/>
      <c r="AA422" s="313"/>
      <c r="AB422" s="138"/>
      <c r="AC422" s="138"/>
      <c r="AD422" s="314"/>
      <c r="AE422" s="138"/>
      <c r="AF422" s="138">
        <f>20000000-10000000</f>
        <v>10000000</v>
      </c>
      <c r="AG422" s="138"/>
      <c r="AH422" s="138"/>
      <c r="AI422" s="138">
        <f>+V422+W422+X422+Y422+Z422+AA422+AB422+AC422+AD422+AE422+AF422+AG422+AH422</f>
        <v>10000000</v>
      </c>
      <c r="AJ422" s="535" t="s">
        <v>1422</v>
      </c>
      <c r="AK422" s="59" t="s">
        <v>1245</v>
      </c>
    </row>
    <row r="423" spans="1:77" ht="60" customHeight="1" x14ac:dyDescent="0.2">
      <c r="A423" s="469"/>
      <c r="B423" s="474"/>
      <c r="C423" s="468"/>
      <c r="D423" s="464"/>
      <c r="E423" s="464"/>
      <c r="F423" s="462"/>
      <c r="G423" s="462"/>
      <c r="H423" s="619"/>
      <c r="I423" s="611"/>
      <c r="J423" s="606"/>
      <c r="K423" s="611"/>
      <c r="L423" s="606"/>
      <c r="M423" s="192" t="s">
        <v>1289</v>
      </c>
      <c r="N423" s="76" t="s">
        <v>1290</v>
      </c>
      <c r="O423" s="192" t="s">
        <v>1289</v>
      </c>
      <c r="P423" s="76" t="s">
        <v>1290</v>
      </c>
      <c r="Q423" s="517" t="s">
        <v>71</v>
      </c>
      <c r="R423" s="96">
        <v>50</v>
      </c>
      <c r="S423" s="632"/>
      <c r="T423" s="614"/>
      <c r="U423" s="614"/>
      <c r="V423" s="137"/>
      <c r="W423" s="137"/>
      <c r="X423" s="137"/>
      <c r="Y423" s="138"/>
      <c r="Z423" s="138"/>
      <c r="AA423" s="313"/>
      <c r="AB423" s="138"/>
      <c r="AC423" s="138"/>
      <c r="AD423" s="314"/>
      <c r="AE423" s="138"/>
      <c r="AF423" s="138">
        <f>20000000+10000000</f>
        <v>30000000</v>
      </c>
      <c r="AG423" s="138"/>
      <c r="AH423" s="138"/>
      <c r="AI423" s="138">
        <f>+V423+W423+X423+Y423+Z423+AA423+AB423+AC423+AD423+AE423+AF423+AG423+AH423</f>
        <v>30000000</v>
      </c>
      <c r="AJ423" s="535" t="s">
        <v>1422</v>
      </c>
      <c r="AK423" s="59" t="s">
        <v>1245</v>
      </c>
    </row>
    <row r="424" spans="1:77" ht="69.75" customHeight="1" x14ac:dyDescent="0.2">
      <c r="A424" s="470"/>
      <c r="B424" s="475"/>
      <c r="C424" s="471"/>
      <c r="D424" s="280"/>
      <c r="E424" s="280"/>
      <c r="F424" s="463"/>
      <c r="G424" s="463"/>
      <c r="H424" s="608"/>
      <c r="I424" s="611"/>
      <c r="J424" s="606"/>
      <c r="K424" s="611"/>
      <c r="L424" s="606"/>
      <c r="M424" s="192" t="s">
        <v>1291</v>
      </c>
      <c r="N424" s="76" t="s">
        <v>1292</v>
      </c>
      <c r="O424" s="192" t="s">
        <v>1291</v>
      </c>
      <c r="P424" s="76" t="s">
        <v>1292</v>
      </c>
      <c r="Q424" s="517" t="s">
        <v>71</v>
      </c>
      <c r="R424" s="96">
        <v>50</v>
      </c>
      <c r="S424" s="632"/>
      <c r="T424" s="614"/>
      <c r="U424" s="614"/>
      <c r="V424" s="137"/>
      <c r="W424" s="137"/>
      <c r="X424" s="137"/>
      <c r="Y424" s="138"/>
      <c r="Z424" s="138"/>
      <c r="AA424" s="313"/>
      <c r="AB424" s="138"/>
      <c r="AC424" s="138"/>
      <c r="AD424" s="314"/>
      <c r="AE424" s="138"/>
      <c r="AF424" s="138">
        <v>20000000</v>
      </c>
      <c r="AG424" s="138"/>
      <c r="AH424" s="138"/>
      <c r="AI424" s="138">
        <f>+V424+W424+X424+Y424+Z424+AA424+AB424+AC424+AD424+AE424+AF424+AG424+AH424</f>
        <v>20000000</v>
      </c>
      <c r="AJ424" s="535" t="s">
        <v>1422</v>
      </c>
      <c r="AK424" s="59" t="s">
        <v>1245</v>
      </c>
    </row>
    <row r="425" spans="1:77" s="9" customFormat="1" ht="21.75" customHeight="1" x14ac:dyDescent="0.25">
      <c r="A425" s="115"/>
      <c r="B425" s="280"/>
      <c r="C425" s="67"/>
      <c r="D425" s="67"/>
      <c r="E425" s="67"/>
      <c r="F425" s="134">
        <v>3904</v>
      </c>
      <c r="G425" s="65" t="s">
        <v>787</v>
      </c>
      <c r="H425" s="179"/>
      <c r="I425" s="179"/>
      <c r="J425" s="140"/>
      <c r="K425" s="139"/>
      <c r="L425" s="140"/>
      <c r="M425" s="140"/>
      <c r="N425" s="135"/>
      <c r="O425" s="141"/>
      <c r="P425" s="135"/>
      <c r="Q425" s="142"/>
      <c r="R425" s="141"/>
      <c r="S425" s="143"/>
      <c r="T425" s="135"/>
      <c r="U425" s="135"/>
      <c r="V425" s="136">
        <f>+V426</f>
        <v>0</v>
      </c>
      <c r="W425" s="136">
        <f t="shared" ref="W425:AI425" si="150">+W426</f>
        <v>0</v>
      </c>
      <c r="X425" s="136">
        <f t="shared" si="150"/>
        <v>0</v>
      </c>
      <c r="Y425" s="136">
        <f t="shared" si="150"/>
        <v>0</v>
      </c>
      <c r="Z425" s="136">
        <f t="shared" si="150"/>
        <v>0</v>
      </c>
      <c r="AA425" s="136">
        <f t="shared" si="150"/>
        <v>0</v>
      </c>
      <c r="AB425" s="136">
        <f t="shared" si="150"/>
        <v>0</v>
      </c>
      <c r="AC425" s="136">
        <f t="shared" si="150"/>
        <v>0</v>
      </c>
      <c r="AD425" s="136">
        <f t="shared" si="150"/>
        <v>0</v>
      </c>
      <c r="AE425" s="136">
        <f t="shared" si="150"/>
        <v>0</v>
      </c>
      <c r="AF425" s="136">
        <f t="shared" si="150"/>
        <v>18000000</v>
      </c>
      <c r="AG425" s="136">
        <f t="shared" si="150"/>
        <v>0</v>
      </c>
      <c r="AH425" s="136">
        <f t="shared" si="150"/>
        <v>0</v>
      </c>
      <c r="AI425" s="136">
        <f t="shared" si="150"/>
        <v>18000000</v>
      </c>
      <c r="AJ425" s="136"/>
      <c r="AK425" s="144"/>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row>
    <row r="426" spans="1:77" ht="94.5" customHeight="1" x14ac:dyDescent="0.2">
      <c r="A426" s="133"/>
      <c r="B426" s="67"/>
      <c r="C426" s="67"/>
      <c r="D426" s="67"/>
      <c r="E426" s="67"/>
      <c r="F426" s="71"/>
      <c r="G426" s="517"/>
      <c r="H426" s="512" t="s">
        <v>1293</v>
      </c>
      <c r="I426" s="66">
        <v>3904018</v>
      </c>
      <c r="J426" s="512" t="s">
        <v>1294</v>
      </c>
      <c r="K426" s="66">
        <v>3904018</v>
      </c>
      <c r="L426" s="512" t="s">
        <v>1294</v>
      </c>
      <c r="M426" s="192">
        <v>390401809</v>
      </c>
      <c r="N426" s="510" t="s">
        <v>1295</v>
      </c>
      <c r="O426" s="192">
        <v>390401809</v>
      </c>
      <c r="P426" s="510" t="s">
        <v>1295</v>
      </c>
      <c r="Q426" s="517" t="s">
        <v>71</v>
      </c>
      <c r="R426" s="96">
        <v>6</v>
      </c>
      <c r="S426" s="513" t="s">
        <v>1296</v>
      </c>
      <c r="T426" s="510" t="s">
        <v>1297</v>
      </c>
      <c r="U426" s="510" t="s">
        <v>1298</v>
      </c>
      <c r="V426" s="137"/>
      <c r="W426" s="137"/>
      <c r="X426" s="137"/>
      <c r="Y426" s="138"/>
      <c r="Z426" s="138"/>
      <c r="AA426" s="313"/>
      <c r="AB426" s="138"/>
      <c r="AC426" s="138"/>
      <c r="AD426" s="314"/>
      <c r="AE426" s="138"/>
      <c r="AF426" s="138">
        <v>18000000</v>
      </c>
      <c r="AG426" s="138"/>
      <c r="AH426" s="138"/>
      <c r="AI426" s="138">
        <f>+V426+W426+X426+Y426+Z426+AA426+AB426+AC426+AD426+AE426+AF426+AG426+AH426</f>
        <v>18000000</v>
      </c>
      <c r="AJ426" s="535" t="s">
        <v>1422</v>
      </c>
      <c r="AK426" s="59" t="s">
        <v>1245</v>
      </c>
    </row>
    <row r="427" spans="1:77" s="9" customFormat="1" ht="29.25" customHeight="1" x14ac:dyDescent="0.25">
      <c r="A427" s="115"/>
      <c r="B427" s="116">
        <v>4</v>
      </c>
      <c r="C427" s="116"/>
      <c r="D427" s="61" t="s">
        <v>46</v>
      </c>
      <c r="E427" s="163"/>
      <c r="F427" s="61"/>
      <c r="G427" s="61"/>
      <c r="H427" s="61"/>
      <c r="I427" s="61"/>
      <c r="J427" s="118"/>
      <c r="K427" s="117"/>
      <c r="L427" s="118"/>
      <c r="M427" s="118"/>
      <c r="N427" s="119"/>
      <c r="O427" s="116"/>
      <c r="P427" s="119"/>
      <c r="Q427" s="120"/>
      <c r="R427" s="116"/>
      <c r="S427" s="121"/>
      <c r="T427" s="119"/>
      <c r="U427" s="119"/>
      <c r="V427" s="122">
        <f>V428</f>
        <v>0</v>
      </c>
      <c r="W427" s="122">
        <f t="shared" ref="W427:AI428" si="151">W428</f>
        <v>0</v>
      </c>
      <c r="X427" s="122">
        <f t="shared" si="151"/>
        <v>0</v>
      </c>
      <c r="Y427" s="122">
        <f t="shared" si="151"/>
        <v>0</v>
      </c>
      <c r="Z427" s="122">
        <f t="shared" si="151"/>
        <v>0</v>
      </c>
      <c r="AA427" s="122">
        <f t="shared" si="151"/>
        <v>0</v>
      </c>
      <c r="AB427" s="122">
        <f t="shared" si="151"/>
        <v>0</v>
      </c>
      <c r="AC427" s="122">
        <f t="shared" si="151"/>
        <v>0</v>
      </c>
      <c r="AD427" s="122">
        <f t="shared" si="151"/>
        <v>0</v>
      </c>
      <c r="AE427" s="122">
        <f t="shared" si="151"/>
        <v>0</v>
      </c>
      <c r="AF427" s="122">
        <f t="shared" si="151"/>
        <v>298000000</v>
      </c>
      <c r="AG427" s="122">
        <f t="shared" si="151"/>
        <v>0</v>
      </c>
      <c r="AH427" s="122">
        <f t="shared" si="151"/>
        <v>0</v>
      </c>
      <c r="AI427" s="122">
        <f>AI428</f>
        <v>298000000</v>
      </c>
      <c r="AJ427" s="122"/>
      <c r="AK427" s="156"/>
      <c r="AL427" s="8"/>
      <c r="AM427" s="8"/>
      <c r="AN427" s="8"/>
      <c r="AO427" s="8"/>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row>
    <row r="428" spans="1:77" s="9" customFormat="1" ht="24.75" customHeight="1" x14ac:dyDescent="0.25">
      <c r="A428" s="115"/>
      <c r="B428" s="67"/>
      <c r="C428" s="67"/>
      <c r="D428" s="64">
        <v>23</v>
      </c>
      <c r="E428" s="62" t="s">
        <v>1237</v>
      </c>
      <c r="F428" s="62"/>
      <c r="G428" s="123"/>
      <c r="H428" s="124"/>
      <c r="I428" s="124"/>
      <c r="J428" s="126"/>
      <c r="K428" s="125"/>
      <c r="L428" s="126"/>
      <c r="M428" s="126"/>
      <c r="N428" s="128"/>
      <c r="O428" s="127"/>
      <c r="P428" s="128"/>
      <c r="Q428" s="129"/>
      <c r="R428" s="127"/>
      <c r="S428" s="199"/>
      <c r="T428" s="131"/>
      <c r="U428" s="131"/>
      <c r="V428" s="132">
        <f>V429</f>
        <v>0</v>
      </c>
      <c r="W428" s="132">
        <f t="shared" si="151"/>
        <v>0</v>
      </c>
      <c r="X428" s="132">
        <f t="shared" si="151"/>
        <v>0</v>
      </c>
      <c r="Y428" s="132">
        <f t="shared" si="151"/>
        <v>0</v>
      </c>
      <c r="Z428" s="132">
        <f t="shared" si="151"/>
        <v>0</v>
      </c>
      <c r="AA428" s="132">
        <f t="shared" si="151"/>
        <v>0</v>
      </c>
      <c r="AB428" s="132">
        <f t="shared" si="151"/>
        <v>0</v>
      </c>
      <c r="AC428" s="132">
        <f t="shared" si="151"/>
        <v>0</v>
      </c>
      <c r="AD428" s="132">
        <f t="shared" si="151"/>
        <v>0</v>
      </c>
      <c r="AE428" s="132">
        <f t="shared" si="151"/>
        <v>0</v>
      </c>
      <c r="AF428" s="132">
        <f t="shared" si="151"/>
        <v>298000000</v>
      </c>
      <c r="AG428" s="132">
        <f t="shared" si="151"/>
        <v>0</v>
      </c>
      <c r="AH428" s="132">
        <f t="shared" si="151"/>
        <v>0</v>
      </c>
      <c r="AI428" s="132">
        <f t="shared" si="151"/>
        <v>298000000</v>
      </c>
      <c r="AJ428" s="132"/>
      <c r="AK428" s="157"/>
      <c r="AL428" s="8"/>
      <c r="AM428" s="8"/>
      <c r="AN428" s="8"/>
      <c r="AO428" s="8"/>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row>
    <row r="429" spans="1:77" s="9" customFormat="1" ht="24" customHeight="1" x14ac:dyDescent="0.25">
      <c r="A429" s="115"/>
      <c r="B429" s="67"/>
      <c r="C429" s="67"/>
      <c r="D429" s="67"/>
      <c r="E429" s="67"/>
      <c r="F429" s="134">
        <v>2302</v>
      </c>
      <c r="G429" s="65" t="s">
        <v>1418</v>
      </c>
      <c r="H429" s="65"/>
      <c r="I429" s="65"/>
      <c r="J429" s="65"/>
      <c r="K429" s="65"/>
      <c r="L429" s="65"/>
      <c r="M429" s="65"/>
      <c r="N429" s="135"/>
      <c r="O429" s="141"/>
      <c r="P429" s="135"/>
      <c r="Q429" s="142"/>
      <c r="R429" s="141"/>
      <c r="S429" s="143"/>
      <c r="T429" s="135"/>
      <c r="U429" s="135"/>
      <c r="V429" s="136">
        <f>SUM(V430:V435)</f>
        <v>0</v>
      </c>
      <c r="W429" s="136">
        <f t="shared" ref="W429:AI429" si="152">SUM(W430:W435)</f>
        <v>0</v>
      </c>
      <c r="X429" s="136">
        <f t="shared" si="152"/>
        <v>0</v>
      </c>
      <c r="Y429" s="136">
        <f t="shared" si="152"/>
        <v>0</v>
      </c>
      <c r="Z429" s="136">
        <f t="shared" si="152"/>
        <v>0</v>
      </c>
      <c r="AA429" s="136">
        <f t="shared" si="152"/>
        <v>0</v>
      </c>
      <c r="AB429" s="136">
        <f t="shared" si="152"/>
        <v>0</v>
      </c>
      <c r="AC429" s="136">
        <f t="shared" si="152"/>
        <v>0</v>
      </c>
      <c r="AD429" s="136">
        <f t="shared" si="152"/>
        <v>0</v>
      </c>
      <c r="AE429" s="136">
        <f t="shared" si="152"/>
        <v>0</v>
      </c>
      <c r="AF429" s="136">
        <f t="shared" si="152"/>
        <v>298000000</v>
      </c>
      <c r="AG429" s="136">
        <f t="shared" si="152"/>
        <v>0</v>
      </c>
      <c r="AH429" s="136">
        <f t="shared" si="152"/>
        <v>0</v>
      </c>
      <c r="AI429" s="136">
        <f t="shared" si="152"/>
        <v>298000000</v>
      </c>
      <c r="AJ429" s="136">
        <f>SUM(AJ430:AJ435)</f>
        <v>0</v>
      </c>
      <c r="AK429" s="144">
        <f>SUM(AK430:AK435)</f>
        <v>0</v>
      </c>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row>
    <row r="430" spans="1:77" ht="54.75" customHeight="1" x14ac:dyDescent="0.2">
      <c r="A430" s="133"/>
      <c r="B430" s="67"/>
      <c r="C430" s="67"/>
      <c r="D430" s="67"/>
      <c r="E430" s="67"/>
      <c r="F430" s="71"/>
      <c r="G430" s="517"/>
      <c r="H430" s="512" t="s">
        <v>1299</v>
      </c>
      <c r="I430" s="66">
        <v>2302003</v>
      </c>
      <c r="J430" s="512" t="s">
        <v>1300</v>
      </c>
      <c r="K430" s="66">
        <v>2302003</v>
      </c>
      <c r="L430" s="512" t="s">
        <v>1300</v>
      </c>
      <c r="M430" s="192">
        <v>230200300</v>
      </c>
      <c r="N430" s="510" t="s">
        <v>1301</v>
      </c>
      <c r="O430" s="192">
        <v>230200300</v>
      </c>
      <c r="P430" s="510" t="s">
        <v>1301</v>
      </c>
      <c r="Q430" s="517" t="s">
        <v>71</v>
      </c>
      <c r="R430" s="96">
        <v>2</v>
      </c>
      <c r="S430" s="632" t="s">
        <v>1302</v>
      </c>
      <c r="T430" s="614" t="s">
        <v>1303</v>
      </c>
      <c r="U430" s="614" t="s">
        <v>1304</v>
      </c>
      <c r="V430" s="137"/>
      <c r="W430" s="137"/>
      <c r="X430" s="137"/>
      <c r="Y430" s="138"/>
      <c r="Z430" s="138"/>
      <c r="AA430" s="313"/>
      <c r="AB430" s="138"/>
      <c r="AC430" s="138"/>
      <c r="AD430" s="314"/>
      <c r="AE430" s="138"/>
      <c r="AF430" s="138">
        <v>120000000</v>
      </c>
      <c r="AG430" s="138"/>
      <c r="AH430" s="138"/>
      <c r="AI430" s="138">
        <f t="shared" ref="AI430:AI435" si="153">+V430+W430+X430+Y430+Z430+AA430+AB430+AC430+AD430+AE430+AF430+AG430+AH430</f>
        <v>120000000</v>
      </c>
      <c r="AJ430" s="535" t="s">
        <v>1422</v>
      </c>
      <c r="AK430" s="59" t="s">
        <v>1245</v>
      </c>
    </row>
    <row r="431" spans="1:77" ht="93" customHeight="1" x14ac:dyDescent="0.2">
      <c r="A431" s="133"/>
      <c r="B431" s="67"/>
      <c r="C431" s="67"/>
      <c r="D431" s="67"/>
      <c r="E431" s="67"/>
      <c r="F431" s="71"/>
      <c r="G431" s="517"/>
      <c r="H431" s="512" t="s">
        <v>1299</v>
      </c>
      <c r="I431" s="66">
        <v>2302033</v>
      </c>
      <c r="J431" s="512" t="s">
        <v>1305</v>
      </c>
      <c r="K431" s="66">
        <v>2302033</v>
      </c>
      <c r="L431" s="512" t="s">
        <v>1305</v>
      </c>
      <c r="M431" s="192">
        <v>230203300</v>
      </c>
      <c r="N431" s="510" t="s">
        <v>1306</v>
      </c>
      <c r="O431" s="192">
        <v>230203300</v>
      </c>
      <c r="P431" s="510" t="s">
        <v>1306</v>
      </c>
      <c r="Q431" s="517" t="s">
        <v>55</v>
      </c>
      <c r="R431" s="96">
        <v>100</v>
      </c>
      <c r="S431" s="632"/>
      <c r="T431" s="614"/>
      <c r="U431" s="614"/>
      <c r="V431" s="137"/>
      <c r="W431" s="137"/>
      <c r="X431" s="137"/>
      <c r="Y431" s="138"/>
      <c r="Z431" s="138"/>
      <c r="AA431" s="313"/>
      <c r="AB431" s="138"/>
      <c r="AC431" s="138"/>
      <c r="AD431" s="314"/>
      <c r="AE431" s="138"/>
      <c r="AF431" s="138">
        <v>50000000</v>
      </c>
      <c r="AG431" s="138"/>
      <c r="AH431" s="138"/>
      <c r="AI431" s="138">
        <f t="shared" si="153"/>
        <v>50000000</v>
      </c>
      <c r="AJ431" s="535" t="s">
        <v>1422</v>
      </c>
      <c r="AK431" s="59" t="s">
        <v>1245</v>
      </c>
    </row>
    <row r="432" spans="1:77" ht="132" customHeight="1" x14ac:dyDescent="0.2">
      <c r="A432" s="133"/>
      <c r="B432" s="67"/>
      <c r="C432" s="67"/>
      <c r="D432" s="67"/>
      <c r="E432" s="67"/>
      <c r="F432" s="71"/>
      <c r="G432" s="517"/>
      <c r="H432" s="512" t="s">
        <v>1299</v>
      </c>
      <c r="I432" s="66">
        <v>2302066</v>
      </c>
      <c r="J432" s="512" t="s">
        <v>1307</v>
      </c>
      <c r="K432" s="66">
        <v>2302066</v>
      </c>
      <c r="L432" s="512" t="s">
        <v>1307</v>
      </c>
      <c r="M432" s="192">
        <v>230206600</v>
      </c>
      <c r="N432" s="510" t="s">
        <v>1308</v>
      </c>
      <c r="O432" s="192">
        <v>230206600</v>
      </c>
      <c r="P432" s="510" t="s">
        <v>1308</v>
      </c>
      <c r="Q432" s="91" t="s">
        <v>71</v>
      </c>
      <c r="R432" s="96">
        <v>50</v>
      </c>
      <c r="S432" s="632"/>
      <c r="T432" s="614"/>
      <c r="U432" s="614"/>
      <c r="V432" s="137"/>
      <c r="W432" s="137"/>
      <c r="X432" s="137"/>
      <c r="Y432" s="138"/>
      <c r="Z432" s="138"/>
      <c r="AA432" s="313"/>
      <c r="AB432" s="138"/>
      <c r="AC432" s="138"/>
      <c r="AD432" s="314"/>
      <c r="AE432" s="138"/>
      <c r="AF432" s="138">
        <v>60000000</v>
      </c>
      <c r="AG432" s="138"/>
      <c r="AH432" s="138"/>
      <c r="AI432" s="138">
        <f t="shared" si="153"/>
        <v>60000000</v>
      </c>
      <c r="AJ432" s="535" t="s">
        <v>1422</v>
      </c>
      <c r="AK432" s="59" t="s">
        <v>1245</v>
      </c>
    </row>
    <row r="433" spans="1:77" ht="108" customHeight="1" x14ac:dyDescent="0.2">
      <c r="A433" s="133"/>
      <c r="B433" s="67"/>
      <c r="C433" s="67"/>
      <c r="D433" s="67"/>
      <c r="E433" s="67"/>
      <c r="F433" s="71"/>
      <c r="G433" s="517"/>
      <c r="H433" s="512" t="s">
        <v>1299</v>
      </c>
      <c r="I433" s="66">
        <v>2302004</v>
      </c>
      <c r="J433" s="512" t="s">
        <v>1309</v>
      </c>
      <c r="K433" s="66">
        <v>2302004</v>
      </c>
      <c r="L433" s="512" t="s">
        <v>1309</v>
      </c>
      <c r="M433" s="192">
        <v>230200403</v>
      </c>
      <c r="N433" s="510" t="s">
        <v>1310</v>
      </c>
      <c r="O433" s="192">
        <v>230200403</v>
      </c>
      <c r="P433" s="510" t="s">
        <v>1310</v>
      </c>
      <c r="Q433" s="517" t="s">
        <v>55</v>
      </c>
      <c r="R433" s="96">
        <v>1</v>
      </c>
      <c r="S433" s="632"/>
      <c r="T433" s="614"/>
      <c r="U433" s="614"/>
      <c r="V433" s="137"/>
      <c r="W433" s="137"/>
      <c r="X433" s="137"/>
      <c r="Y433" s="138"/>
      <c r="Z433" s="138"/>
      <c r="AA433" s="313"/>
      <c r="AB433" s="138"/>
      <c r="AC433" s="138"/>
      <c r="AD433" s="314"/>
      <c r="AE433" s="138"/>
      <c r="AF433" s="138">
        <v>25000000</v>
      </c>
      <c r="AG433" s="138"/>
      <c r="AH433" s="138"/>
      <c r="AI433" s="138">
        <f t="shared" si="153"/>
        <v>25000000</v>
      </c>
      <c r="AJ433" s="535" t="s">
        <v>1422</v>
      </c>
      <c r="AK433" s="59" t="s">
        <v>1245</v>
      </c>
    </row>
    <row r="434" spans="1:77" ht="149.25" customHeight="1" x14ac:dyDescent="0.2">
      <c r="A434" s="133"/>
      <c r="B434" s="67"/>
      <c r="C434" s="67"/>
      <c r="D434" s="67"/>
      <c r="E434" s="67"/>
      <c r="F434" s="71"/>
      <c r="G434" s="517"/>
      <c r="H434" s="512" t="s">
        <v>1299</v>
      </c>
      <c r="I434" s="192">
        <v>2302007</v>
      </c>
      <c r="J434" s="512" t="s">
        <v>1311</v>
      </c>
      <c r="K434" s="66">
        <v>2302007</v>
      </c>
      <c r="L434" s="512" t="s">
        <v>1311</v>
      </c>
      <c r="M434" s="192">
        <v>230200701</v>
      </c>
      <c r="N434" s="510" t="s">
        <v>1312</v>
      </c>
      <c r="O434" s="192">
        <v>230200701</v>
      </c>
      <c r="P434" s="510" t="s">
        <v>1312</v>
      </c>
      <c r="Q434" s="517" t="s">
        <v>55</v>
      </c>
      <c r="R434" s="96">
        <v>1</v>
      </c>
      <c r="S434" s="632"/>
      <c r="T434" s="614"/>
      <c r="U434" s="614"/>
      <c r="V434" s="137"/>
      <c r="W434" s="137"/>
      <c r="X434" s="137"/>
      <c r="Y434" s="138"/>
      <c r="Z434" s="138"/>
      <c r="AA434" s="313"/>
      <c r="AB434" s="138"/>
      <c r="AC434" s="138"/>
      <c r="AD434" s="314"/>
      <c r="AE434" s="138"/>
      <c r="AF434" s="138">
        <v>25000000</v>
      </c>
      <c r="AG434" s="138"/>
      <c r="AH434" s="138"/>
      <c r="AI434" s="138">
        <f t="shared" si="153"/>
        <v>25000000</v>
      </c>
      <c r="AJ434" s="535" t="s">
        <v>1422</v>
      </c>
      <c r="AK434" s="59" t="s">
        <v>1245</v>
      </c>
    </row>
    <row r="435" spans="1:77" ht="72" customHeight="1" x14ac:dyDescent="0.2">
      <c r="A435" s="133"/>
      <c r="B435" s="67"/>
      <c r="C435" s="67"/>
      <c r="D435" s="67"/>
      <c r="E435" s="67"/>
      <c r="F435" s="71"/>
      <c r="G435" s="517"/>
      <c r="H435" s="512" t="s">
        <v>1299</v>
      </c>
      <c r="I435" s="66">
        <v>2302083</v>
      </c>
      <c r="J435" s="512" t="s">
        <v>99</v>
      </c>
      <c r="K435" s="66">
        <v>2302083</v>
      </c>
      <c r="L435" s="512" t="s">
        <v>99</v>
      </c>
      <c r="M435" s="192">
        <v>230208300</v>
      </c>
      <c r="N435" s="510" t="s">
        <v>556</v>
      </c>
      <c r="O435" s="192">
        <v>230208300</v>
      </c>
      <c r="P435" s="510" t="s">
        <v>556</v>
      </c>
      <c r="Q435" s="517" t="s">
        <v>55</v>
      </c>
      <c r="R435" s="96">
        <v>1</v>
      </c>
      <c r="S435" s="632"/>
      <c r="T435" s="614"/>
      <c r="U435" s="614"/>
      <c r="V435" s="137"/>
      <c r="W435" s="137"/>
      <c r="X435" s="137"/>
      <c r="Y435" s="138"/>
      <c r="Z435" s="138"/>
      <c r="AA435" s="313"/>
      <c r="AB435" s="138"/>
      <c r="AC435" s="138"/>
      <c r="AD435" s="314"/>
      <c r="AE435" s="138"/>
      <c r="AF435" s="138">
        <v>18000000</v>
      </c>
      <c r="AG435" s="138"/>
      <c r="AH435" s="138"/>
      <c r="AI435" s="138">
        <f t="shared" si="153"/>
        <v>18000000</v>
      </c>
      <c r="AJ435" s="535" t="s">
        <v>1422</v>
      </c>
      <c r="AK435" s="59" t="s">
        <v>1245</v>
      </c>
    </row>
    <row r="436" spans="1:77" s="28" customFormat="1" ht="31.5" customHeight="1" x14ac:dyDescent="0.25">
      <c r="A436" s="620" t="s">
        <v>1313</v>
      </c>
      <c r="B436" s="621"/>
      <c r="C436" s="621"/>
      <c r="D436" s="621"/>
      <c r="E436" s="621"/>
      <c r="F436" s="621"/>
      <c r="G436" s="622"/>
      <c r="H436" s="366"/>
      <c r="I436" s="366"/>
      <c r="J436" s="368"/>
      <c r="K436" s="367"/>
      <c r="L436" s="368"/>
      <c r="M436" s="368"/>
      <c r="N436" s="369"/>
      <c r="O436" s="367"/>
      <c r="P436" s="369"/>
      <c r="Q436" s="370"/>
      <c r="R436" s="367"/>
      <c r="S436" s="371"/>
      <c r="T436" s="368"/>
      <c r="U436" s="368"/>
      <c r="V436" s="372">
        <f t="shared" ref="V436:AI436" si="154">+V400+V332+V277+V232+V223+V165+V146+V130+V87+V43+V36+V18+V8</f>
        <v>10976189252.119999</v>
      </c>
      <c r="W436" s="372">
        <f t="shared" si="154"/>
        <v>1837447380.3299999</v>
      </c>
      <c r="X436" s="372">
        <f t="shared" si="154"/>
        <v>56108067</v>
      </c>
      <c r="Y436" s="372">
        <f t="shared" si="154"/>
        <v>1785755472.78</v>
      </c>
      <c r="Z436" s="372">
        <f t="shared" si="154"/>
        <v>6893527853.4899998</v>
      </c>
      <c r="AA436" s="372">
        <f t="shared" si="154"/>
        <v>35242837560</v>
      </c>
      <c r="AB436" s="372">
        <f t="shared" si="154"/>
        <v>143579499577.42001</v>
      </c>
      <c r="AC436" s="372">
        <f t="shared" si="154"/>
        <v>25145000000</v>
      </c>
      <c r="AD436" s="372">
        <f t="shared" si="154"/>
        <v>11590214233.049999</v>
      </c>
      <c r="AE436" s="372">
        <f t="shared" si="154"/>
        <v>2753011221</v>
      </c>
      <c r="AF436" s="372">
        <f t="shared" si="154"/>
        <v>21409692287.220001</v>
      </c>
      <c r="AG436" s="372">
        <f t="shared" si="154"/>
        <v>927910445.75999999</v>
      </c>
      <c r="AH436" s="372">
        <f t="shared" si="154"/>
        <v>4674277761.8500004</v>
      </c>
      <c r="AI436" s="372">
        <f t="shared" si="154"/>
        <v>266871471112.02005</v>
      </c>
      <c r="AJ436" s="372"/>
      <c r="AK436" s="373">
        <f>+AK400+AK332+AK277+AK232+AK223+AK165+AK146+AK130+AK87+AK43+AK36+AK18+AK8</f>
        <v>0</v>
      </c>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row>
    <row r="437" spans="1:77" s="7" customFormat="1" ht="16.5" customHeight="1" x14ac:dyDescent="0.25">
      <c r="A437" s="457"/>
      <c r="B437" s="457"/>
      <c r="C437" s="457"/>
      <c r="D437" s="457"/>
      <c r="E437" s="457"/>
      <c r="F437" s="457"/>
      <c r="G437" s="457"/>
      <c r="H437" s="458"/>
      <c r="I437" s="457"/>
      <c r="J437" s="457"/>
      <c r="K437" s="457"/>
      <c r="L437" s="457"/>
      <c r="M437" s="457"/>
      <c r="N437" s="457"/>
      <c r="O437" s="457"/>
      <c r="P437" s="457"/>
      <c r="Q437" s="459"/>
      <c r="R437" s="457"/>
      <c r="S437" s="459"/>
      <c r="T437" s="459"/>
      <c r="U437" s="459"/>
      <c r="V437" s="460"/>
      <c r="W437" s="460"/>
      <c r="X437" s="460"/>
      <c r="Y437" s="460"/>
      <c r="Z437" s="460"/>
      <c r="AA437" s="460"/>
      <c r="AB437" s="460"/>
      <c r="AC437" s="460"/>
      <c r="AD437" s="460"/>
      <c r="AE437" s="460"/>
      <c r="AF437" s="460"/>
      <c r="AG437" s="460"/>
      <c r="AH437" s="460"/>
      <c r="AI437" s="460"/>
      <c r="AJ437" s="460"/>
      <c r="AK437" s="460"/>
    </row>
    <row r="438" spans="1:77" s="391" customFormat="1" ht="21.75" customHeight="1" x14ac:dyDescent="0.2">
      <c r="A438" s="382" t="s">
        <v>1314</v>
      </c>
      <c r="B438" s="382"/>
      <c r="C438" s="382"/>
      <c r="D438" s="382"/>
      <c r="E438" s="382"/>
      <c r="F438" s="381"/>
      <c r="G438" s="395"/>
      <c r="H438" s="396"/>
      <c r="I438" s="396"/>
      <c r="J438" s="396"/>
      <c r="K438" s="397"/>
      <c r="L438" s="396"/>
      <c r="M438" s="396"/>
      <c r="N438" s="399"/>
      <c r="O438" s="398"/>
      <c r="P438" s="399"/>
      <c r="Q438" s="400"/>
      <c r="R438" s="398"/>
      <c r="S438" s="395"/>
      <c r="T438" s="399"/>
      <c r="U438" s="399"/>
      <c r="V438" s="401">
        <f t="shared" ref="V438:AI438" si="155">+V439</f>
        <v>0</v>
      </c>
      <c r="W438" s="401">
        <f t="shared" si="155"/>
        <v>0</v>
      </c>
      <c r="X438" s="401">
        <f t="shared" si="155"/>
        <v>0</v>
      </c>
      <c r="Y438" s="401">
        <f t="shared" si="155"/>
        <v>0</v>
      </c>
      <c r="Z438" s="401">
        <f t="shared" si="155"/>
        <v>0</v>
      </c>
      <c r="AA438" s="401">
        <f t="shared" si="155"/>
        <v>0</v>
      </c>
      <c r="AB438" s="401">
        <f t="shared" si="155"/>
        <v>0</v>
      </c>
      <c r="AC438" s="401">
        <f t="shared" si="155"/>
        <v>0</v>
      </c>
      <c r="AD438" s="401">
        <f t="shared" si="155"/>
        <v>0</v>
      </c>
      <c r="AE438" s="401">
        <f t="shared" si="155"/>
        <v>0</v>
      </c>
      <c r="AF438" s="401">
        <f t="shared" si="155"/>
        <v>855248186</v>
      </c>
      <c r="AG438" s="401">
        <f t="shared" si="155"/>
        <v>4312107593.5499992</v>
      </c>
      <c r="AH438" s="401">
        <f t="shared" si="155"/>
        <v>1000000000</v>
      </c>
      <c r="AI438" s="401">
        <f t="shared" si="155"/>
        <v>6167355779.5499992</v>
      </c>
      <c r="AJ438" s="401"/>
      <c r="AK438" s="402"/>
      <c r="AL438" s="390"/>
      <c r="AM438" s="390"/>
      <c r="AN438" s="390"/>
      <c r="AO438" s="390"/>
      <c r="AP438" s="390"/>
      <c r="AQ438" s="390"/>
      <c r="AR438" s="390"/>
      <c r="AS438" s="390"/>
      <c r="AT438" s="390"/>
      <c r="AU438" s="390"/>
      <c r="AV438" s="390"/>
      <c r="AW438" s="390"/>
      <c r="AX438" s="390"/>
      <c r="AY438" s="390"/>
      <c r="AZ438" s="390"/>
      <c r="BA438" s="390"/>
      <c r="BB438" s="390"/>
      <c r="BC438" s="390"/>
      <c r="BD438" s="390"/>
      <c r="BE438" s="390"/>
      <c r="BF438" s="390"/>
      <c r="BG438" s="390"/>
      <c r="BH438" s="390"/>
      <c r="BI438" s="390"/>
      <c r="BJ438" s="390"/>
      <c r="BK438" s="390"/>
      <c r="BL438" s="390"/>
      <c r="BM438" s="390"/>
      <c r="BN438" s="390"/>
      <c r="BO438" s="390"/>
      <c r="BP438" s="390"/>
      <c r="BQ438" s="390"/>
      <c r="BR438" s="390"/>
      <c r="BS438" s="390"/>
      <c r="BT438" s="390"/>
      <c r="BU438" s="390"/>
      <c r="BV438" s="390"/>
      <c r="BW438" s="390"/>
      <c r="BX438" s="390"/>
      <c r="BY438" s="390"/>
    </row>
    <row r="439" spans="1:77" ht="21.75" customHeight="1" x14ac:dyDescent="0.2">
      <c r="A439" s="133"/>
      <c r="B439" s="116">
        <v>1</v>
      </c>
      <c r="C439" s="116"/>
      <c r="D439" s="61" t="s">
        <v>152</v>
      </c>
      <c r="E439" s="163"/>
      <c r="F439" s="61"/>
      <c r="G439" s="61"/>
      <c r="H439" s="61"/>
      <c r="I439" s="61"/>
      <c r="J439" s="118"/>
      <c r="K439" s="117"/>
      <c r="L439" s="118"/>
      <c r="M439" s="118"/>
      <c r="N439" s="119"/>
      <c r="O439" s="116"/>
      <c r="P439" s="119"/>
      <c r="Q439" s="120"/>
      <c r="R439" s="116"/>
      <c r="S439" s="121"/>
      <c r="T439" s="119"/>
      <c r="U439" s="119"/>
      <c r="V439" s="122">
        <f>V440</f>
        <v>0</v>
      </c>
      <c r="W439" s="122">
        <f t="shared" ref="W439:AH439" si="156">W440</f>
        <v>0</v>
      </c>
      <c r="X439" s="122">
        <f t="shared" si="156"/>
        <v>0</v>
      </c>
      <c r="Y439" s="122">
        <f t="shared" si="156"/>
        <v>0</v>
      </c>
      <c r="Z439" s="122">
        <f t="shared" si="156"/>
        <v>0</v>
      </c>
      <c r="AA439" s="122">
        <f t="shared" si="156"/>
        <v>0</v>
      </c>
      <c r="AB439" s="122">
        <f t="shared" si="156"/>
        <v>0</v>
      </c>
      <c r="AC439" s="122">
        <f t="shared" si="156"/>
        <v>0</v>
      </c>
      <c r="AD439" s="122">
        <f t="shared" si="156"/>
        <v>0</v>
      </c>
      <c r="AE439" s="122">
        <f t="shared" si="156"/>
        <v>0</v>
      </c>
      <c r="AF439" s="122">
        <f t="shared" si="156"/>
        <v>855248186</v>
      </c>
      <c r="AG439" s="122">
        <f t="shared" si="156"/>
        <v>4312107593.5499992</v>
      </c>
      <c r="AH439" s="122">
        <f t="shared" si="156"/>
        <v>1000000000</v>
      </c>
      <c r="AI439" s="122">
        <f>AI440</f>
        <v>6167355779.5499992</v>
      </c>
      <c r="AJ439" s="122"/>
      <c r="AK439" s="156"/>
    </row>
    <row r="440" spans="1:77" s="9" customFormat="1" ht="27.75" customHeight="1" x14ac:dyDescent="0.25">
      <c r="A440" s="115"/>
      <c r="B440" s="67"/>
      <c r="C440" s="67"/>
      <c r="D440" s="64">
        <v>43</v>
      </c>
      <c r="E440" s="62" t="s">
        <v>193</v>
      </c>
      <c r="F440" s="62"/>
      <c r="G440" s="123"/>
      <c r="H440" s="124"/>
      <c r="I440" s="124"/>
      <c r="J440" s="126"/>
      <c r="K440" s="125"/>
      <c r="L440" s="126"/>
      <c r="M440" s="126"/>
      <c r="N440" s="128"/>
      <c r="O440" s="127"/>
      <c r="P440" s="128"/>
      <c r="Q440" s="129"/>
      <c r="R440" s="127"/>
      <c r="S440" s="199"/>
      <c r="T440" s="131"/>
      <c r="U440" s="131"/>
      <c r="V440" s="132">
        <f>V441+V446</f>
        <v>0</v>
      </c>
      <c r="W440" s="132">
        <f t="shared" ref="W440:AH440" si="157">W441+W446</f>
        <v>0</v>
      </c>
      <c r="X440" s="132">
        <f t="shared" si="157"/>
        <v>0</v>
      </c>
      <c r="Y440" s="132">
        <f t="shared" si="157"/>
        <v>0</v>
      </c>
      <c r="Z440" s="132">
        <f t="shared" si="157"/>
        <v>0</v>
      </c>
      <c r="AA440" s="132">
        <f t="shared" si="157"/>
        <v>0</v>
      </c>
      <c r="AB440" s="132">
        <f t="shared" si="157"/>
        <v>0</v>
      </c>
      <c r="AC440" s="132">
        <f t="shared" si="157"/>
        <v>0</v>
      </c>
      <c r="AD440" s="132">
        <f t="shared" si="157"/>
        <v>0</v>
      </c>
      <c r="AE440" s="132">
        <f t="shared" si="157"/>
        <v>0</v>
      </c>
      <c r="AF440" s="132">
        <f t="shared" si="157"/>
        <v>855248186</v>
      </c>
      <c r="AG440" s="132">
        <f t="shared" si="157"/>
        <v>4312107593.5499992</v>
      </c>
      <c r="AH440" s="132">
        <f t="shared" si="157"/>
        <v>1000000000</v>
      </c>
      <c r="AI440" s="132">
        <f>AI441+AI446</f>
        <v>6167355779.5499992</v>
      </c>
      <c r="AJ440" s="132"/>
      <c r="AK440" s="157"/>
      <c r="AL440" s="8"/>
      <c r="AM440" s="8"/>
      <c r="AN440" s="8"/>
      <c r="AO440" s="8"/>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row>
    <row r="441" spans="1:77" ht="35.25" customHeight="1" x14ac:dyDescent="0.2">
      <c r="A441" s="133"/>
      <c r="B441" s="67"/>
      <c r="C441" s="67"/>
      <c r="D441" s="67"/>
      <c r="E441" s="67"/>
      <c r="F441" s="141">
        <v>4301</v>
      </c>
      <c r="G441" s="65" t="s">
        <v>194</v>
      </c>
      <c r="H441" s="179"/>
      <c r="I441" s="179"/>
      <c r="J441" s="318"/>
      <c r="K441" s="317"/>
      <c r="L441" s="318"/>
      <c r="M441" s="318"/>
      <c r="N441" s="239"/>
      <c r="O441" s="317"/>
      <c r="P441" s="239"/>
      <c r="Q441" s="200"/>
      <c r="R441" s="317"/>
      <c r="S441" s="200"/>
      <c r="T441" s="239"/>
      <c r="U441" s="239"/>
      <c r="V441" s="149">
        <f>SUM(V442:V445)</f>
        <v>0</v>
      </c>
      <c r="W441" s="149">
        <f t="shared" ref="W441:AI441" si="158">SUM(W442:W445)</f>
        <v>0</v>
      </c>
      <c r="X441" s="149">
        <f t="shared" si="158"/>
        <v>0</v>
      </c>
      <c r="Y441" s="149">
        <f t="shared" si="158"/>
        <v>0</v>
      </c>
      <c r="Z441" s="149">
        <f t="shared" si="158"/>
        <v>0</v>
      </c>
      <c r="AA441" s="149">
        <f t="shared" si="158"/>
        <v>0</v>
      </c>
      <c r="AB441" s="149">
        <f t="shared" si="158"/>
        <v>0</v>
      </c>
      <c r="AC441" s="149">
        <f t="shared" si="158"/>
        <v>0</v>
      </c>
      <c r="AD441" s="149">
        <f t="shared" si="158"/>
        <v>0</v>
      </c>
      <c r="AE441" s="149">
        <f t="shared" si="158"/>
        <v>0</v>
      </c>
      <c r="AF441" s="149">
        <f t="shared" si="158"/>
        <v>136127636</v>
      </c>
      <c r="AG441" s="149">
        <f t="shared" si="158"/>
        <v>1978796087.1399999</v>
      </c>
      <c r="AH441" s="149">
        <f t="shared" si="158"/>
        <v>1000000000</v>
      </c>
      <c r="AI441" s="149">
        <f t="shared" si="158"/>
        <v>3114923723.1399999</v>
      </c>
      <c r="AJ441" s="149"/>
      <c r="AK441" s="374"/>
    </row>
    <row r="442" spans="1:77" ht="140.25" customHeight="1" x14ac:dyDescent="0.2">
      <c r="A442" s="133"/>
      <c r="B442" s="67"/>
      <c r="C442" s="67"/>
      <c r="D442" s="67"/>
      <c r="E442" s="67"/>
      <c r="F442" s="67"/>
      <c r="G442" s="517"/>
      <c r="H442" s="76" t="s">
        <v>1315</v>
      </c>
      <c r="I442" s="66">
        <v>4301007</v>
      </c>
      <c r="J442" s="512" t="s">
        <v>1316</v>
      </c>
      <c r="K442" s="66">
        <v>4301007</v>
      </c>
      <c r="L442" s="512" t="s">
        <v>1316</v>
      </c>
      <c r="M442" s="66">
        <v>430100701</v>
      </c>
      <c r="N442" s="510" t="s">
        <v>1317</v>
      </c>
      <c r="O442" s="66">
        <v>430100701</v>
      </c>
      <c r="P442" s="510" t="s">
        <v>1317</v>
      </c>
      <c r="Q442" s="212" t="s">
        <v>55</v>
      </c>
      <c r="R442" s="96">
        <v>12</v>
      </c>
      <c r="S442" s="636">
        <v>2020003630009</v>
      </c>
      <c r="T442" s="614" t="s">
        <v>1318</v>
      </c>
      <c r="U442" s="606" t="s">
        <v>1319</v>
      </c>
      <c r="V442" s="137"/>
      <c r="W442" s="137"/>
      <c r="X442" s="137"/>
      <c r="Y442" s="137"/>
      <c r="Z442" s="137"/>
      <c r="AA442" s="319"/>
      <c r="AB442" s="137"/>
      <c r="AC442" s="137"/>
      <c r="AD442" s="258"/>
      <c r="AE442" s="137"/>
      <c r="AF442" s="320"/>
      <c r="AG442" s="320">
        <f>843746501.24+460056673.81</f>
        <v>1303803175.05</v>
      </c>
      <c r="AH442" s="137">
        <v>240000000</v>
      </c>
      <c r="AI442" s="138">
        <f>+V442+W442+X442+Y442+Z442+AA442+AB442+AC442+AD442+AE442+AF442+AG442+AH442</f>
        <v>1543803175.05</v>
      </c>
      <c r="AJ442" s="109" t="s">
        <v>1423</v>
      </c>
      <c r="AK442" s="111" t="s">
        <v>1320</v>
      </c>
    </row>
    <row r="443" spans="1:77" ht="140.25" customHeight="1" x14ac:dyDescent="0.2">
      <c r="A443" s="133"/>
      <c r="B443" s="67"/>
      <c r="C443" s="67"/>
      <c r="D443" s="67"/>
      <c r="E443" s="67"/>
      <c r="F443" s="67"/>
      <c r="G443" s="517"/>
      <c r="H443" s="76" t="s">
        <v>1315</v>
      </c>
      <c r="I443" s="66">
        <v>4301037</v>
      </c>
      <c r="J443" s="512" t="s">
        <v>1321</v>
      </c>
      <c r="K443" s="66">
        <v>4301037</v>
      </c>
      <c r="L443" s="512" t="s">
        <v>1321</v>
      </c>
      <c r="M443" s="66">
        <v>430103701</v>
      </c>
      <c r="N443" s="510" t="s">
        <v>1322</v>
      </c>
      <c r="O443" s="66">
        <v>430103701</v>
      </c>
      <c r="P443" s="510" t="s">
        <v>1322</v>
      </c>
      <c r="Q443" s="88" t="s">
        <v>55</v>
      </c>
      <c r="R443" s="96">
        <v>12</v>
      </c>
      <c r="S443" s="636"/>
      <c r="T443" s="614"/>
      <c r="U443" s="606"/>
      <c r="V443" s="137"/>
      <c r="W443" s="137"/>
      <c r="X443" s="137"/>
      <c r="Y443" s="137"/>
      <c r="Z443" s="137"/>
      <c r="AA443" s="257"/>
      <c r="AB443" s="137"/>
      <c r="AC443" s="137"/>
      <c r="AD443" s="258"/>
      <c r="AE443" s="137"/>
      <c r="AF443" s="320"/>
      <c r="AG443" s="320">
        <f>176820060+40000000</f>
        <v>216820060</v>
      </c>
      <c r="AH443" s="320">
        <v>165000000</v>
      </c>
      <c r="AI443" s="138">
        <f>+V443+W443+X443+Y443+Z443+AA443+AB443+AC443+AD443+AE443+AF443+AG443+AH443</f>
        <v>381820060</v>
      </c>
      <c r="AJ443" s="109" t="s">
        <v>1423</v>
      </c>
      <c r="AK443" s="111" t="s">
        <v>1320</v>
      </c>
    </row>
    <row r="444" spans="1:77" ht="129" customHeight="1" x14ac:dyDescent="0.2">
      <c r="A444" s="133"/>
      <c r="B444" s="67"/>
      <c r="C444" s="67"/>
      <c r="D444" s="67"/>
      <c r="E444" s="67"/>
      <c r="F444" s="67"/>
      <c r="G444" s="517"/>
      <c r="H444" s="76" t="s">
        <v>1315</v>
      </c>
      <c r="I444" s="66">
        <v>4301037</v>
      </c>
      <c r="J444" s="512" t="s">
        <v>1321</v>
      </c>
      <c r="K444" s="66">
        <v>4301037</v>
      </c>
      <c r="L444" s="512" t="s">
        <v>1321</v>
      </c>
      <c r="M444" s="66" t="s">
        <v>1323</v>
      </c>
      <c r="N444" s="510" t="s">
        <v>1324</v>
      </c>
      <c r="O444" s="66" t="s">
        <v>1323</v>
      </c>
      <c r="P444" s="510" t="s">
        <v>1324</v>
      </c>
      <c r="Q444" s="88" t="s">
        <v>55</v>
      </c>
      <c r="R444" s="96">
        <v>12</v>
      </c>
      <c r="S444" s="636"/>
      <c r="T444" s="614"/>
      <c r="U444" s="606"/>
      <c r="V444" s="137"/>
      <c r="W444" s="137"/>
      <c r="X444" s="137"/>
      <c r="Y444" s="137"/>
      <c r="Z444" s="137"/>
      <c r="AA444" s="257"/>
      <c r="AB444" s="137"/>
      <c r="AC444" s="137"/>
      <c r="AD444" s="258"/>
      <c r="AE444" s="137"/>
      <c r="AF444" s="320">
        <f>63455402+72672234</f>
        <v>136127636</v>
      </c>
      <c r="AG444" s="320">
        <f>253377194+128617531.11</f>
        <v>381994725.11000001</v>
      </c>
      <c r="AH444" s="137">
        <v>595000000</v>
      </c>
      <c r="AI444" s="138">
        <f>+V444+W444+X444+Y444+Z444+AA444+AB444+AC444+AD444+AE444+AF444+AG444+AH444</f>
        <v>1113122361.1100001</v>
      </c>
      <c r="AJ444" s="109" t="s">
        <v>1423</v>
      </c>
      <c r="AK444" s="111" t="s">
        <v>1320</v>
      </c>
    </row>
    <row r="445" spans="1:77" ht="166.5" customHeight="1" x14ac:dyDescent="0.2">
      <c r="A445" s="133"/>
      <c r="B445" s="67"/>
      <c r="C445" s="67"/>
      <c r="D445" s="67"/>
      <c r="E445" s="67"/>
      <c r="F445" s="67"/>
      <c r="G445" s="517"/>
      <c r="H445" s="76" t="s">
        <v>1315</v>
      </c>
      <c r="I445" s="88" t="s">
        <v>50</v>
      </c>
      <c r="J445" s="512" t="s">
        <v>1325</v>
      </c>
      <c r="K445" s="66">
        <v>4301006</v>
      </c>
      <c r="L445" s="512" t="s">
        <v>1326</v>
      </c>
      <c r="M445" s="88" t="s">
        <v>50</v>
      </c>
      <c r="N445" s="510" t="s">
        <v>1327</v>
      </c>
      <c r="O445" s="66">
        <v>430100600</v>
      </c>
      <c r="P445" s="510" t="s">
        <v>1328</v>
      </c>
      <c r="Q445" s="212" t="s">
        <v>55</v>
      </c>
      <c r="R445" s="96">
        <v>1</v>
      </c>
      <c r="S445" s="636"/>
      <c r="T445" s="614"/>
      <c r="U445" s="606"/>
      <c r="V445" s="137"/>
      <c r="W445" s="137"/>
      <c r="X445" s="137"/>
      <c r="Y445" s="137"/>
      <c r="Z445" s="137"/>
      <c r="AA445" s="257"/>
      <c r="AB445" s="137"/>
      <c r="AC445" s="137"/>
      <c r="AD445" s="258"/>
      <c r="AE445" s="137"/>
      <c r="AF445" s="321"/>
      <c r="AG445" s="322">
        <v>76178126.980000004</v>
      </c>
      <c r="AH445" s="59"/>
      <c r="AI445" s="138">
        <f>+V445+W445+X445+Y445+Z445+AA445+AB445+AC445+AD445+AE445+AF445+AG445+AH445</f>
        <v>76178126.980000004</v>
      </c>
      <c r="AJ445" s="109" t="s">
        <v>1423</v>
      </c>
      <c r="AK445" s="111" t="s">
        <v>1320</v>
      </c>
    </row>
    <row r="446" spans="1:77" ht="25.5" customHeight="1" x14ac:dyDescent="0.2">
      <c r="A446" s="133"/>
      <c r="B446" s="67"/>
      <c r="C446" s="67"/>
      <c r="D446" s="67"/>
      <c r="E446" s="67"/>
      <c r="F446" s="323">
        <v>4302</v>
      </c>
      <c r="G446" s="65" t="s">
        <v>1329</v>
      </c>
      <c r="H446" s="65"/>
      <c r="I446" s="65"/>
      <c r="J446" s="140"/>
      <c r="K446" s="139"/>
      <c r="L446" s="140"/>
      <c r="M446" s="140"/>
      <c r="N446" s="135"/>
      <c r="O446" s="141"/>
      <c r="P446" s="135"/>
      <c r="Q446" s="142"/>
      <c r="R446" s="141"/>
      <c r="S446" s="143"/>
      <c r="T446" s="135"/>
      <c r="U446" s="135"/>
      <c r="V446" s="136">
        <f>SUM(V447:V448)</f>
        <v>0</v>
      </c>
      <c r="W446" s="136">
        <f t="shared" ref="W446:AI446" si="159">SUM(W447:W448)</f>
        <v>0</v>
      </c>
      <c r="X446" s="136">
        <f t="shared" si="159"/>
        <v>0</v>
      </c>
      <c r="Y446" s="136">
        <f t="shared" si="159"/>
        <v>0</v>
      </c>
      <c r="Z446" s="136">
        <f t="shared" si="159"/>
        <v>0</v>
      </c>
      <c r="AA446" s="136">
        <f t="shared" si="159"/>
        <v>0</v>
      </c>
      <c r="AB446" s="136">
        <f t="shared" si="159"/>
        <v>0</v>
      </c>
      <c r="AC446" s="136">
        <f t="shared" si="159"/>
        <v>0</v>
      </c>
      <c r="AD446" s="136">
        <f t="shared" si="159"/>
        <v>0</v>
      </c>
      <c r="AE446" s="136">
        <f t="shared" si="159"/>
        <v>0</v>
      </c>
      <c r="AF446" s="136">
        <f t="shared" si="159"/>
        <v>719120550</v>
      </c>
      <c r="AG446" s="136">
        <f t="shared" si="159"/>
        <v>2333311506.4099998</v>
      </c>
      <c r="AH446" s="136">
        <f t="shared" si="159"/>
        <v>0</v>
      </c>
      <c r="AI446" s="136">
        <f t="shared" si="159"/>
        <v>3052432056.4099998</v>
      </c>
      <c r="AJ446" s="306"/>
      <c r="AK446" s="324"/>
    </row>
    <row r="447" spans="1:77" ht="151.5" customHeight="1" x14ac:dyDescent="0.2">
      <c r="A447" s="133"/>
      <c r="B447" s="67"/>
      <c r="C447" s="67"/>
      <c r="D447" s="67"/>
      <c r="E447" s="67"/>
      <c r="F447" s="67"/>
      <c r="G447" s="133"/>
      <c r="H447" s="76" t="s">
        <v>1330</v>
      </c>
      <c r="I447" s="325">
        <v>4302075</v>
      </c>
      <c r="J447" s="512" t="s">
        <v>1331</v>
      </c>
      <c r="K447" s="325">
        <v>4302075</v>
      </c>
      <c r="L447" s="512" t="s">
        <v>1331</v>
      </c>
      <c r="M447" s="88">
        <v>430207500</v>
      </c>
      <c r="N447" s="76" t="s">
        <v>1332</v>
      </c>
      <c r="O447" s="88">
        <v>430207500</v>
      </c>
      <c r="P447" s="76" t="s">
        <v>1332</v>
      </c>
      <c r="Q447" s="212" t="s">
        <v>55</v>
      </c>
      <c r="R447" s="88">
        <v>25</v>
      </c>
      <c r="S447" s="511">
        <v>2020003630010</v>
      </c>
      <c r="T447" s="326" t="s">
        <v>1333</v>
      </c>
      <c r="U447" s="326" t="s">
        <v>1334</v>
      </c>
      <c r="V447" s="137"/>
      <c r="W447" s="137"/>
      <c r="X447" s="137"/>
      <c r="Y447" s="137"/>
      <c r="Z447" s="137"/>
      <c r="AA447" s="257"/>
      <c r="AB447" s="137"/>
      <c r="AC447" s="137"/>
      <c r="AD447" s="258"/>
      <c r="AE447" s="137"/>
      <c r="AF447" s="327">
        <v>684120550</v>
      </c>
      <c r="AG447" s="327">
        <f>288360186+2044951320.41</f>
        <v>2333311506.4099998</v>
      </c>
      <c r="AH447" s="137"/>
      <c r="AI447" s="138">
        <f>+V447+W447+X447+Y447+Z447+AA447+AB447+AC447+AD447+AE447+AF447+AG447+AH447</f>
        <v>3017432056.4099998</v>
      </c>
      <c r="AJ447" s="109" t="s">
        <v>1423</v>
      </c>
      <c r="AK447" s="111" t="s">
        <v>1320</v>
      </c>
    </row>
    <row r="448" spans="1:77" ht="147" customHeight="1" x14ac:dyDescent="0.2">
      <c r="A448" s="133"/>
      <c r="B448" s="67"/>
      <c r="C448" s="67"/>
      <c r="D448" s="67"/>
      <c r="E448" s="67"/>
      <c r="F448" s="67"/>
      <c r="G448" s="133"/>
      <c r="H448" s="76" t="s">
        <v>1335</v>
      </c>
      <c r="I448" s="325">
        <v>4302075</v>
      </c>
      <c r="J448" s="518" t="s">
        <v>1331</v>
      </c>
      <c r="K448" s="328">
        <v>4302004</v>
      </c>
      <c r="L448" s="518" t="s">
        <v>1336</v>
      </c>
      <c r="M448" s="88" t="s">
        <v>50</v>
      </c>
      <c r="N448" s="76" t="s">
        <v>1337</v>
      </c>
      <c r="O448" s="98">
        <v>430200401</v>
      </c>
      <c r="P448" s="76" t="s">
        <v>1338</v>
      </c>
      <c r="Q448" s="212" t="s">
        <v>55</v>
      </c>
      <c r="R448" s="88">
        <v>1</v>
      </c>
      <c r="S448" s="511">
        <v>2020003630013</v>
      </c>
      <c r="T448" s="510" t="s">
        <v>1339</v>
      </c>
      <c r="U448" s="512" t="s">
        <v>1340</v>
      </c>
      <c r="V448" s="137"/>
      <c r="W448" s="137"/>
      <c r="X448" s="137"/>
      <c r="Y448" s="137"/>
      <c r="Z448" s="137"/>
      <c r="AA448" s="257"/>
      <c r="AB448" s="137"/>
      <c r="AC448" s="137"/>
      <c r="AD448" s="258"/>
      <c r="AE448" s="137"/>
      <c r="AF448" s="138">
        <v>35000000</v>
      </c>
      <c r="AG448" s="531"/>
      <c r="AH448" s="137"/>
      <c r="AI448" s="138">
        <f>+V448+W448+X448+Y448+Z448+AA448+AB448+AC448+AD448+AE448+AF448+AG448+AH448</f>
        <v>35000000</v>
      </c>
      <c r="AJ448" s="109" t="s">
        <v>1423</v>
      </c>
      <c r="AK448" s="111" t="s">
        <v>1320</v>
      </c>
    </row>
    <row r="449" spans="1:77" s="7" customFormat="1" ht="16.5" customHeight="1" x14ac:dyDescent="0.25">
      <c r="A449" s="457"/>
      <c r="B449" s="457"/>
      <c r="C449" s="457"/>
      <c r="D449" s="457"/>
      <c r="E449" s="457"/>
      <c r="F449" s="457"/>
      <c r="G449" s="457"/>
      <c r="H449" s="458"/>
      <c r="I449" s="457"/>
      <c r="J449" s="457"/>
      <c r="K449" s="457"/>
      <c r="L449" s="457"/>
      <c r="M449" s="457"/>
      <c r="N449" s="457"/>
      <c r="O449" s="457"/>
      <c r="P449" s="457"/>
      <c r="Q449" s="459"/>
      <c r="R449" s="457"/>
      <c r="S449" s="459"/>
      <c r="T449" s="459"/>
      <c r="U449" s="459"/>
      <c r="V449" s="460"/>
      <c r="W449" s="460"/>
      <c r="X449" s="460"/>
      <c r="Y449" s="460"/>
      <c r="Z449" s="460"/>
      <c r="AA449" s="460"/>
      <c r="AB449" s="460"/>
      <c r="AC449" s="460"/>
      <c r="AD449" s="460"/>
      <c r="AE449" s="460"/>
      <c r="AF449" s="460"/>
      <c r="AG449" s="460"/>
      <c r="AH449" s="460"/>
      <c r="AI449" s="460"/>
      <c r="AJ449" s="460"/>
      <c r="AK449" s="460"/>
    </row>
    <row r="450" spans="1:77" s="391" customFormat="1" ht="27" customHeight="1" x14ac:dyDescent="0.2">
      <c r="A450" s="41" t="s">
        <v>1341</v>
      </c>
      <c r="B450" s="41"/>
      <c r="C450" s="41"/>
      <c r="D450" s="41"/>
      <c r="E450" s="41"/>
      <c r="F450" s="42"/>
      <c r="G450" s="43"/>
      <c r="H450" s="383"/>
      <c r="I450" s="383"/>
      <c r="J450" s="383"/>
      <c r="K450" s="386"/>
      <c r="L450" s="383"/>
      <c r="M450" s="383"/>
      <c r="N450" s="388"/>
      <c r="O450" s="387"/>
      <c r="P450" s="388"/>
      <c r="Q450" s="389"/>
      <c r="R450" s="387"/>
      <c r="S450" s="43"/>
      <c r="T450" s="388"/>
      <c r="U450" s="388"/>
      <c r="V450" s="384">
        <f>V451+V458</f>
        <v>1027674743</v>
      </c>
      <c r="W450" s="384">
        <f t="shared" ref="W450:AI450" si="160">W451+W458</f>
        <v>0</v>
      </c>
      <c r="X450" s="384">
        <f t="shared" si="160"/>
        <v>0</v>
      </c>
      <c r="Y450" s="384">
        <f t="shared" si="160"/>
        <v>0</v>
      </c>
      <c r="Z450" s="384">
        <f t="shared" si="160"/>
        <v>0</v>
      </c>
      <c r="AA450" s="384">
        <f t="shared" si="160"/>
        <v>0</v>
      </c>
      <c r="AB450" s="384">
        <f t="shared" si="160"/>
        <v>0</v>
      </c>
      <c r="AC450" s="384">
        <f t="shared" si="160"/>
        <v>0</v>
      </c>
      <c r="AD450" s="384">
        <f t="shared" si="160"/>
        <v>0</v>
      </c>
      <c r="AE450" s="384">
        <f t="shared" si="160"/>
        <v>0</v>
      </c>
      <c r="AF450" s="384">
        <f t="shared" si="160"/>
        <v>0</v>
      </c>
      <c r="AG450" s="384">
        <f t="shared" si="160"/>
        <v>997308456</v>
      </c>
      <c r="AH450" s="384">
        <f t="shared" si="160"/>
        <v>0</v>
      </c>
      <c r="AI450" s="384">
        <f t="shared" si="160"/>
        <v>2024983199</v>
      </c>
      <c r="AJ450" s="384"/>
      <c r="AK450" s="385"/>
      <c r="AL450" s="390"/>
      <c r="AM450" s="390"/>
      <c r="AN450" s="390"/>
      <c r="AO450" s="390"/>
      <c r="AP450" s="390"/>
      <c r="AQ450" s="390"/>
      <c r="AR450" s="390"/>
      <c r="AS450" s="390"/>
      <c r="AT450" s="390"/>
      <c r="AU450" s="390"/>
      <c r="AV450" s="390"/>
      <c r="AW450" s="390"/>
      <c r="AX450" s="390"/>
      <c r="AY450" s="390"/>
      <c r="AZ450" s="390"/>
      <c r="BA450" s="390"/>
      <c r="BB450" s="390"/>
      <c r="BC450" s="390"/>
      <c r="BD450" s="390"/>
      <c r="BE450" s="390"/>
      <c r="BF450" s="390"/>
      <c r="BG450" s="390"/>
      <c r="BH450" s="390"/>
      <c r="BI450" s="390"/>
      <c r="BJ450" s="390"/>
      <c r="BK450" s="390"/>
      <c r="BL450" s="390"/>
      <c r="BM450" s="390"/>
      <c r="BN450" s="390"/>
      <c r="BO450" s="390"/>
      <c r="BP450" s="390"/>
      <c r="BQ450" s="390"/>
      <c r="BR450" s="390"/>
      <c r="BS450" s="390"/>
      <c r="BT450" s="390"/>
      <c r="BU450" s="390"/>
      <c r="BV450" s="390"/>
      <c r="BW450" s="390"/>
      <c r="BX450" s="390"/>
      <c r="BY450" s="390"/>
    </row>
    <row r="451" spans="1:77" ht="24.75" customHeight="1" x14ac:dyDescent="0.2">
      <c r="A451" s="133"/>
      <c r="B451" s="116">
        <v>1</v>
      </c>
      <c r="C451" s="116"/>
      <c r="D451" s="61" t="s">
        <v>152</v>
      </c>
      <c r="E451" s="163"/>
      <c r="F451" s="61"/>
      <c r="G451" s="61"/>
      <c r="H451" s="61"/>
      <c r="I451" s="61"/>
      <c r="J451" s="118"/>
      <c r="K451" s="329"/>
      <c r="L451" s="118"/>
      <c r="M451" s="118"/>
      <c r="N451" s="119"/>
      <c r="O451" s="116"/>
      <c r="P451" s="119"/>
      <c r="Q451" s="330"/>
      <c r="R451" s="116"/>
      <c r="S451" s="331"/>
      <c r="T451" s="119"/>
      <c r="U451" s="119"/>
      <c r="V451" s="332">
        <f>V452+V455</f>
        <v>616604845.79999995</v>
      </c>
      <c r="W451" s="332">
        <f t="shared" ref="W451:AH451" si="161">W452+W455</f>
        <v>0</v>
      </c>
      <c r="X451" s="332">
        <f t="shared" si="161"/>
        <v>0</v>
      </c>
      <c r="Y451" s="332">
        <f t="shared" si="161"/>
        <v>0</v>
      </c>
      <c r="Z451" s="332">
        <f t="shared" si="161"/>
        <v>0</v>
      </c>
      <c r="AA451" s="332">
        <f t="shared" si="161"/>
        <v>0</v>
      </c>
      <c r="AB451" s="332">
        <f t="shared" si="161"/>
        <v>0</v>
      </c>
      <c r="AC451" s="332">
        <f t="shared" si="161"/>
        <v>0</v>
      </c>
      <c r="AD451" s="332">
        <f t="shared" si="161"/>
        <v>0</v>
      </c>
      <c r="AE451" s="332">
        <f t="shared" si="161"/>
        <v>0</v>
      </c>
      <c r="AF451" s="332">
        <f t="shared" si="161"/>
        <v>0</v>
      </c>
      <c r="AG451" s="332">
        <f t="shared" si="161"/>
        <v>0</v>
      </c>
      <c r="AH451" s="332">
        <f t="shared" si="161"/>
        <v>0</v>
      </c>
      <c r="AI451" s="332">
        <f>AI452+AI455</f>
        <v>616604845.79999995</v>
      </c>
      <c r="AJ451" s="332"/>
      <c r="AK451" s="333"/>
    </row>
    <row r="452" spans="1:77" s="9" customFormat="1" ht="27.75" customHeight="1" x14ac:dyDescent="0.25">
      <c r="A452" s="115"/>
      <c r="B452" s="67"/>
      <c r="C452" s="67"/>
      <c r="D452" s="64">
        <v>43</v>
      </c>
      <c r="E452" s="62" t="s">
        <v>193</v>
      </c>
      <c r="F452" s="62"/>
      <c r="G452" s="123"/>
      <c r="H452" s="124"/>
      <c r="I452" s="124"/>
      <c r="J452" s="126"/>
      <c r="K452" s="125"/>
      <c r="L452" s="126"/>
      <c r="M452" s="126"/>
      <c r="N452" s="128"/>
      <c r="O452" s="127"/>
      <c r="P452" s="128"/>
      <c r="Q452" s="129"/>
      <c r="R452" s="127"/>
      <c r="S452" s="199"/>
      <c r="T452" s="131"/>
      <c r="U452" s="131"/>
      <c r="V452" s="132">
        <f>V453</f>
        <v>308302422.89999998</v>
      </c>
      <c r="W452" s="132">
        <f t="shared" ref="W452:AI453" si="162">W453</f>
        <v>0</v>
      </c>
      <c r="X452" s="132">
        <f t="shared" si="162"/>
        <v>0</v>
      </c>
      <c r="Y452" s="132">
        <f t="shared" si="162"/>
        <v>0</v>
      </c>
      <c r="Z452" s="132">
        <f t="shared" si="162"/>
        <v>0</v>
      </c>
      <c r="AA452" s="132">
        <f t="shared" si="162"/>
        <v>0</v>
      </c>
      <c r="AB452" s="132">
        <f t="shared" si="162"/>
        <v>0</v>
      </c>
      <c r="AC452" s="132">
        <f t="shared" si="162"/>
        <v>0</v>
      </c>
      <c r="AD452" s="132">
        <f t="shared" si="162"/>
        <v>0</v>
      </c>
      <c r="AE452" s="132">
        <f t="shared" si="162"/>
        <v>0</v>
      </c>
      <c r="AF452" s="132">
        <f t="shared" si="162"/>
        <v>0</v>
      </c>
      <c r="AG452" s="132">
        <f t="shared" si="162"/>
        <v>0</v>
      </c>
      <c r="AH452" s="132">
        <f t="shared" si="162"/>
        <v>0</v>
      </c>
      <c r="AI452" s="132">
        <f t="shared" si="162"/>
        <v>308302422.89999998</v>
      </c>
      <c r="AJ452" s="132"/>
      <c r="AK452" s="157"/>
      <c r="AL452" s="8"/>
      <c r="AM452" s="8"/>
      <c r="AN452" s="8"/>
      <c r="AO452" s="8"/>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row>
    <row r="453" spans="1:77" ht="33.75" customHeight="1" x14ac:dyDescent="0.2">
      <c r="A453" s="133"/>
      <c r="B453" s="334"/>
      <c r="C453" s="334"/>
      <c r="D453" s="334"/>
      <c r="E453" s="334"/>
      <c r="F453" s="141">
        <v>4301</v>
      </c>
      <c r="G453" s="65" t="s">
        <v>194</v>
      </c>
      <c r="H453" s="179"/>
      <c r="I453" s="179"/>
      <c r="J453" s="140"/>
      <c r="K453" s="317"/>
      <c r="L453" s="140"/>
      <c r="M453" s="140"/>
      <c r="N453" s="210"/>
      <c r="O453" s="141"/>
      <c r="P453" s="210"/>
      <c r="Q453" s="335"/>
      <c r="R453" s="141"/>
      <c r="S453" s="211"/>
      <c r="T453" s="210"/>
      <c r="U453" s="210"/>
      <c r="V453" s="336">
        <f>V454</f>
        <v>308302422.89999998</v>
      </c>
      <c r="W453" s="336">
        <f t="shared" si="162"/>
        <v>0</v>
      </c>
      <c r="X453" s="336">
        <f t="shared" si="162"/>
        <v>0</v>
      </c>
      <c r="Y453" s="336">
        <f t="shared" si="162"/>
        <v>0</v>
      </c>
      <c r="Z453" s="336">
        <f t="shared" si="162"/>
        <v>0</v>
      </c>
      <c r="AA453" s="336">
        <f t="shared" si="162"/>
        <v>0</v>
      </c>
      <c r="AB453" s="336">
        <f t="shared" si="162"/>
        <v>0</v>
      </c>
      <c r="AC453" s="336">
        <f t="shared" si="162"/>
        <v>0</v>
      </c>
      <c r="AD453" s="336">
        <f t="shared" si="162"/>
        <v>0</v>
      </c>
      <c r="AE453" s="336">
        <f t="shared" si="162"/>
        <v>0</v>
      </c>
      <c r="AF453" s="336">
        <f t="shared" si="162"/>
        <v>0</v>
      </c>
      <c r="AG453" s="336">
        <f t="shared" si="162"/>
        <v>0</v>
      </c>
      <c r="AH453" s="336">
        <f t="shared" si="162"/>
        <v>0</v>
      </c>
      <c r="AI453" s="336">
        <f t="shared" si="162"/>
        <v>308302422.89999998</v>
      </c>
      <c r="AJ453" s="336"/>
      <c r="AK453" s="211"/>
    </row>
    <row r="454" spans="1:77" ht="175.5" customHeight="1" x14ac:dyDescent="0.2">
      <c r="A454" s="133"/>
      <c r="B454" s="334"/>
      <c r="C454" s="334"/>
      <c r="D454" s="334"/>
      <c r="E454" s="334"/>
      <c r="F454" s="71"/>
      <c r="G454" s="212"/>
      <c r="H454" s="512" t="s">
        <v>195</v>
      </c>
      <c r="I454" s="88" t="s">
        <v>50</v>
      </c>
      <c r="J454" s="520" t="s">
        <v>1342</v>
      </c>
      <c r="K454" s="66">
        <v>4301004</v>
      </c>
      <c r="L454" s="520" t="s">
        <v>197</v>
      </c>
      <c r="M454" s="88" t="s">
        <v>50</v>
      </c>
      <c r="N454" s="520" t="s">
        <v>1343</v>
      </c>
      <c r="O454" s="69">
        <v>430100401</v>
      </c>
      <c r="P454" s="520" t="s">
        <v>199</v>
      </c>
      <c r="Q454" s="517" t="s">
        <v>71</v>
      </c>
      <c r="R454" s="88">
        <v>3</v>
      </c>
      <c r="S454" s="212" t="s">
        <v>1344</v>
      </c>
      <c r="T454" s="520" t="s">
        <v>1345</v>
      </c>
      <c r="U454" s="520" t="s">
        <v>1346</v>
      </c>
      <c r="V454" s="196">
        <v>308302422.89999998</v>
      </c>
      <c r="W454" s="137"/>
      <c r="X454" s="137"/>
      <c r="Y454" s="137"/>
      <c r="Z454" s="137"/>
      <c r="AA454" s="257"/>
      <c r="AB454" s="137"/>
      <c r="AC454" s="137"/>
      <c r="AD454" s="258"/>
      <c r="AE454" s="137"/>
      <c r="AF454" s="203"/>
      <c r="AG454" s="188"/>
      <c r="AH454" s="137"/>
      <c r="AI454" s="138">
        <f>+V454+W454+X454+Y454+Z454+AA454+AB454+AC454+AD454+AE454+AF454+AG454+AH454</f>
        <v>308302422.89999998</v>
      </c>
      <c r="AJ454" s="59" t="s">
        <v>1424</v>
      </c>
      <c r="AK454" s="59" t="s">
        <v>1347</v>
      </c>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row>
    <row r="455" spans="1:77" s="9" customFormat="1" ht="27.75" customHeight="1" x14ac:dyDescent="0.25">
      <c r="A455" s="115"/>
      <c r="B455" s="67"/>
      <c r="C455" s="67"/>
      <c r="D455" s="64">
        <v>22</v>
      </c>
      <c r="E455" s="62" t="s">
        <v>173</v>
      </c>
      <c r="F455" s="62"/>
      <c r="G455" s="123"/>
      <c r="H455" s="124"/>
      <c r="I455" s="124"/>
      <c r="J455" s="126"/>
      <c r="K455" s="125"/>
      <c r="L455" s="126"/>
      <c r="M455" s="126"/>
      <c r="N455" s="128"/>
      <c r="O455" s="127"/>
      <c r="P455" s="128"/>
      <c r="Q455" s="129"/>
      <c r="R455" s="127"/>
      <c r="S455" s="199"/>
      <c r="T455" s="131"/>
      <c r="U455" s="131"/>
      <c r="V455" s="132">
        <f>V456</f>
        <v>308302422.89999998</v>
      </c>
      <c r="W455" s="132">
        <f t="shared" ref="W455:AI456" si="163">W456</f>
        <v>0</v>
      </c>
      <c r="X455" s="132">
        <f t="shared" si="163"/>
        <v>0</v>
      </c>
      <c r="Y455" s="132">
        <f t="shared" si="163"/>
        <v>0</v>
      </c>
      <c r="Z455" s="132">
        <f t="shared" si="163"/>
        <v>0</v>
      </c>
      <c r="AA455" s="132">
        <f t="shared" si="163"/>
        <v>0</v>
      </c>
      <c r="AB455" s="132">
        <f t="shared" si="163"/>
        <v>0</v>
      </c>
      <c r="AC455" s="132">
        <f t="shared" si="163"/>
        <v>0</v>
      </c>
      <c r="AD455" s="132">
        <f t="shared" si="163"/>
        <v>0</v>
      </c>
      <c r="AE455" s="132">
        <f t="shared" si="163"/>
        <v>0</v>
      </c>
      <c r="AF455" s="132">
        <f t="shared" si="163"/>
        <v>0</v>
      </c>
      <c r="AG455" s="132">
        <f t="shared" si="163"/>
        <v>0</v>
      </c>
      <c r="AH455" s="132">
        <f t="shared" si="163"/>
        <v>0</v>
      </c>
      <c r="AI455" s="132">
        <f t="shared" si="163"/>
        <v>308302422.89999998</v>
      </c>
      <c r="AJ455" s="132"/>
      <c r="AK455" s="157"/>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row>
    <row r="456" spans="1:77" ht="27" customHeight="1" x14ac:dyDescent="0.2">
      <c r="A456" s="133"/>
      <c r="B456" s="334"/>
      <c r="C456" s="334"/>
      <c r="D456" s="334"/>
      <c r="E456" s="334"/>
      <c r="F456" s="141">
        <v>2201</v>
      </c>
      <c r="G456" s="339" t="s">
        <v>297</v>
      </c>
      <c r="H456" s="339"/>
      <c r="I456" s="339"/>
      <c r="J456" s="339"/>
      <c r="K456" s="339"/>
      <c r="L456" s="339"/>
      <c r="M456" s="339"/>
      <c r="N456" s="135"/>
      <c r="O456" s="141"/>
      <c r="P456" s="135"/>
      <c r="Q456" s="337"/>
      <c r="R456" s="141"/>
      <c r="S456" s="338"/>
      <c r="T456" s="135"/>
      <c r="U456" s="135"/>
      <c r="V456" s="336">
        <f>V457</f>
        <v>308302422.89999998</v>
      </c>
      <c r="W456" s="336">
        <f t="shared" si="163"/>
        <v>0</v>
      </c>
      <c r="X456" s="336">
        <f t="shared" si="163"/>
        <v>0</v>
      </c>
      <c r="Y456" s="336">
        <f t="shared" si="163"/>
        <v>0</v>
      </c>
      <c r="Z456" s="336">
        <f t="shared" si="163"/>
        <v>0</v>
      </c>
      <c r="AA456" s="336">
        <f t="shared" si="163"/>
        <v>0</v>
      </c>
      <c r="AB456" s="336">
        <f t="shared" si="163"/>
        <v>0</v>
      </c>
      <c r="AC456" s="336">
        <f t="shared" si="163"/>
        <v>0</v>
      </c>
      <c r="AD456" s="336">
        <f t="shared" si="163"/>
        <v>0</v>
      </c>
      <c r="AE456" s="336">
        <f t="shared" si="163"/>
        <v>0</v>
      </c>
      <c r="AF456" s="336">
        <f t="shared" si="163"/>
        <v>0</v>
      </c>
      <c r="AG456" s="336">
        <f t="shared" si="163"/>
        <v>0</v>
      </c>
      <c r="AH456" s="336">
        <f t="shared" si="163"/>
        <v>0</v>
      </c>
      <c r="AI456" s="336">
        <f t="shared" si="163"/>
        <v>308302422.89999998</v>
      </c>
      <c r="AJ456" s="336"/>
      <c r="AK456" s="211"/>
    </row>
    <row r="457" spans="1:77" ht="131.25" customHeight="1" x14ac:dyDescent="0.2">
      <c r="A457" s="133"/>
      <c r="B457" s="67"/>
      <c r="C457" s="67"/>
      <c r="D457" s="67"/>
      <c r="E457" s="67"/>
      <c r="F457" s="71"/>
      <c r="G457" s="212"/>
      <c r="H457" s="512" t="s">
        <v>175</v>
      </c>
      <c r="I457" s="88" t="s">
        <v>50</v>
      </c>
      <c r="J457" s="512" t="s">
        <v>701</v>
      </c>
      <c r="K457" s="69">
        <v>2201062</v>
      </c>
      <c r="L457" s="512" t="s">
        <v>177</v>
      </c>
      <c r="M457" s="88" t="s">
        <v>50</v>
      </c>
      <c r="N457" s="510" t="s">
        <v>178</v>
      </c>
      <c r="O457" s="66">
        <v>220106200</v>
      </c>
      <c r="P457" s="510" t="s">
        <v>179</v>
      </c>
      <c r="Q457" s="517" t="s">
        <v>71</v>
      </c>
      <c r="R457" s="88">
        <v>15</v>
      </c>
      <c r="S457" s="212" t="s">
        <v>1348</v>
      </c>
      <c r="T457" s="520" t="s">
        <v>1349</v>
      </c>
      <c r="U457" s="520" t="s">
        <v>1350</v>
      </c>
      <c r="V457" s="196">
        <v>308302422.89999998</v>
      </c>
      <c r="W457" s="137"/>
      <c r="X457" s="137"/>
      <c r="Y457" s="137"/>
      <c r="Z457" s="137"/>
      <c r="AA457" s="257"/>
      <c r="AB457" s="137"/>
      <c r="AC457" s="137"/>
      <c r="AD457" s="258"/>
      <c r="AE457" s="137"/>
      <c r="AF457" s="203"/>
      <c r="AG457" s="137"/>
      <c r="AH457" s="165"/>
      <c r="AI457" s="138">
        <f>+V457+W457+X457+Y457+Z457+AA457+AB457+AC457+AD457+AE457+AF457+AG457+AH457</f>
        <v>308302422.89999998</v>
      </c>
      <c r="AJ457" s="59" t="s">
        <v>1424</v>
      </c>
      <c r="AK457" s="59" t="s">
        <v>1347</v>
      </c>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row>
    <row r="458" spans="1:77" ht="28.5" customHeight="1" x14ac:dyDescent="0.2">
      <c r="A458" s="133"/>
      <c r="B458" s="116">
        <v>3</v>
      </c>
      <c r="C458" s="116"/>
      <c r="D458" s="61" t="s">
        <v>203</v>
      </c>
      <c r="E458" s="163"/>
      <c r="F458" s="61"/>
      <c r="G458" s="61"/>
      <c r="H458" s="61"/>
      <c r="I458" s="61"/>
      <c r="J458" s="118"/>
      <c r="K458" s="329"/>
      <c r="L458" s="118"/>
      <c r="M458" s="118"/>
      <c r="N458" s="119"/>
      <c r="O458" s="116"/>
      <c r="P458" s="119"/>
      <c r="Q458" s="330"/>
      <c r="R458" s="116"/>
      <c r="S458" s="331"/>
      <c r="T458" s="119"/>
      <c r="U458" s="119"/>
      <c r="V458" s="332">
        <f>V459+V462</f>
        <v>411069897.20000005</v>
      </c>
      <c r="W458" s="332">
        <f t="shared" ref="W458:AH458" si="164">W459+W462</f>
        <v>0</v>
      </c>
      <c r="X458" s="332">
        <f t="shared" si="164"/>
        <v>0</v>
      </c>
      <c r="Y458" s="332">
        <f t="shared" si="164"/>
        <v>0</v>
      </c>
      <c r="Z458" s="332">
        <f t="shared" si="164"/>
        <v>0</v>
      </c>
      <c r="AA458" s="332">
        <f t="shared" si="164"/>
        <v>0</v>
      </c>
      <c r="AB458" s="332">
        <f t="shared" si="164"/>
        <v>0</v>
      </c>
      <c r="AC458" s="332">
        <f t="shared" si="164"/>
        <v>0</v>
      </c>
      <c r="AD458" s="332">
        <f t="shared" si="164"/>
        <v>0</v>
      </c>
      <c r="AE458" s="332">
        <f t="shared" si="164"/>
        <v>0</v>
      </c>
      <c r="AF458" s="332">
        <f t="shared" si="164"/>
        <v>0</v>
      </c>
      <c r="AG458" s="332">
        <f t="shared" si="164"/>
        <v>997308456</v>
      </c>
      <c r="AH458" s="332">
        <f t="shared" si="164"/>
        <v>0</v>
      </c>
      <c r="AI458" s="332">
        <f>AI459+AI462</f>
        <v>1408378353.2</v>
      </c>
      <c r="AJ458" s="332"/>
      <c r="AK458" s="333"/>
    </row>
    <row r="459" spans="1:77" s="9" customFormat="1" ht="27.75" customHeight="1" x14ac:dyDescent="0.25">
      <c r="A459" s="115"/>
      <c r="B459" s="67"/>
      <c r="C459" s="67"/>
      <c r="D459" s="64">
        <v>24</v>
      </c>
      <c r="E459" s="62" t="s">
        <v>204</v>
      </c>
      <c r="F459" s="62"/>
      <c r="G459" s="123"/>
      <c r="H459" s="124"/>
      <c r="I459" s="124"/>
      <c r="J459" s="126"/>
      <c r="K459" s="125"/>
      <c r="L459" s="126"/>
      <c r="M459" s="126"/>
      <c r="N459" s="128"/>
      <c r="O459" s="127"/>
      <c r="P459" s="128"/>
      <c r="Q459" s="129"/>
      <c r="R459" s="127"/>
      <c r="S459" s="199"/>
      <c r="T459" s="131"/>
      <c r="U459" s="131"/>
      <c r="V459" s="132">
        <f>V460</f>
        <v>0</v>
      </c>
      <c r="W459" s="132">
        <f t="shared" ref="W459:AI460" si="165">W460</f>
        <v>0</v>
      </c>
      <c r="X459" s="132">
        <f t="shared" si="165"/>
        <v>0</v>
      </c>
      <c r="Y459" s="132">
        <f t="shared" si="165"/>
        <v>0</v>
      </c>
      <c r="Z459" s="132">
        <f t="shared" si="165"/>
        <v>0</v>
      </c>
      <c r="AA459" s="132">
        <f t="shared" si="165"/>
        <v>0</v>
      </c>
      <c r="AB459" s="132">
        <f t="shared" si="165"/>
        <v>0</v>
      </c>
      <c r="AC459" s="132">
        <f t="shared" si="165"/>
        <v>0</v>
      </c>
      <c r="AD459" s="132">
        <f t="shared" si="165"/>
        <v>0</v>
      </c>
      <c r="AE459" s="132">
        <f t="shared" si="165"/>
        <v>0</v>
      </c>
      <c r="AF459" s="132">
        <f t="shared" si="165"/>
        <v>0</v>
      </c>
      <c r="AG459" s="132">
        <f t="shared" si="165"/>
        <v>199461691.20000002</v>
      </c>
      <c r="AH459" s="132">
        <f t="shared" si="165"/>
        <v>0</v>
      </c>
      <c r="AI459" s="132">
        <f t="shared" si="165"/>
        <v>199461691.20000002</v>
      </c>
      <c r="AJ459" s="132"/>
      <c r="AK459" s="157"/>
      <c r="AL459" s="8"/>
      <c r="AM459" s="8"/>
      <c r="AN459" s="8"/>
      <c r="AO459" s="8"/>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row>
    <row r="460" spans="1:77" ht="25.5" customHeight="1" x14ac:dyDescent="0.2">
      <c r="A460" s="133"/>
      <c r="B460" s="334"/>
      <c r="C460" s="334"/>
      <c r="D460" s="334"/>
      <c r="E460" s="334"/>
      <c r="F460" s="141">
        <v>2402</v>
      </c>
      <c r="G460" s="339" t="s">
        <v>205</v>
      </c>
      <c r="H460" s="340"/>
      <c r="I460" s="340"/>
      <c r="J460" s="140"/>
      <c r="K460" s="317"/>
      <c r="L460" s="140"/>
      <c r="M460" s="140"/>
      <c r="N460" s="135"/>
      <c r="O460" s="141"/>
      <c r="P460" s="135"/>
      <c r="Q460" s="337"/>
      <c r="R460" s="141"/>
      <c r="S460" s="338"/>
      <c r="T460" s="135"/>
      <c r="U460" s="135"/>
      <c r="V460" s="336">
        <f>V461</f>
        <v>0</v>
      </c>
      <c r="W460" s="336">
        <f t="shared" si="165"/>
        <v>0</v>
      </c>
      <c r="X460" s="336">
        <f t="shared" si="165"/>
        <v>0</v>
      </c>
      <c r="Y460" s="336">
        <f t="shared" si="165"/>
        <v>0</v>
      </c>
      <c r="Z460" s="336">
        <f t="shared" si="165"/>
        <v>0</v>
      </c>
      <c r="AA460" s="336">
        <f t="shared" si="165"/>
        <v>0</v>
      </c>
      <c r="AB460" s="336">
        <f t="shared" si="165"/>
        <v>0</v>
      </c>
      <c r="AC460" s="336">
        <f t="shared" si="165"/>
        <v>0</v>
      </c>
      <c r="AD460" s="336">
        <f t="shared" si="165"/>
        <v>0</v>
      </c>
      <c r="AE460" s="336">
        <f t="shared" si="165"/>
        <v>0</v>
      </c>
      <c r="AF460" s="336">
        <f t="shared" si="165"/>
        <v>0</v>
      </c>
      <c r="AG460" s="336">
        <f t="shared" si="165"/>
        <v>199461691.20000002</v>
      </c>
      <c r="AH460" s="336">
        <f t="shared" si="165"/>
        <v>0</v>
      </c>
      <c r="AI460" s="336">
        <f t="shared" si="165"/>
        <v>199461691.20000002</v>
      </c>
      <c r="AJ460" s="336"/>
      <c r="AK460" s="211"/>
    </row>
    <row r="461" spans="1:77" ht="132" customHeight="1" x14ac:dyDescent="0.2">
      <c r="A461" s="133"/>
      <c r="B461" s="334"/>
      <c r="C461" s="334"/>
      <c r="D461" s="334"/>
      <c r="E461" s="334"/>
      <c r="F461" s="71"/>
      <c r="G461" s="212"/>
      <c r="H461" s="520" t="s">
        <v>1351</v>
      </c>
      <c r="I461" s="88" t="s">
        <v>50</v>
      </c>
      <c r="J461" s="512" t="s">
        <v>214</v>
      </c>
      <c r="K461" s="69">
        <v>2402041</v>
      </c>
      <c r="L461" s="512" t="s">
        <v>215</v>
      </c>
      <c r="M461" s="88" t="s">
        <v>50</v>
      </c>
      <c r="N461" s="510" t="s">
        <v>216</v>
      </c>
      <c r="O461" s="69">
        <v>240204100</v>
      </c>
      <c r="P461" s="510" t="s">
        <v>217</v>
      </c>
      <c r="Q461" s="517" t="s">
        <v>55</v>
      </c>
      <c r="R461" s="192">
        <v>130</v>
      </c>
      <c r="S461" s="212" t="s">
        <v>1352</v>
      </c>
      <c r="T461" s="514" t="s">
        <v>1353</v>
      </c>
      <c r="U461" s="512" t="s">
        <v>1354</v>
      </c>
      <c r="V461" s="137"/>
      <c r="W461" s="137"/>
      <c r="X461" s="203"/>
      <c r="Y461" s="137"/>
      <c r="Z461" s="137"/>
      <c r="AA461" s="257"/>
      <c r="AB461" s="137"/>
      <c r="AC461" s="137"/>
      <c r="AD461" s="258"/>
      <c r="AE461" s="137"/>
      <c r="AF461" s="203"/>
      <c r="AG461" s="188">
        <v>199461691.20000002</v>
      </c>
      <c r="AH461" s="137"/>
      <c r="AI461" s="138">
        <f>+V461+W461+X461+Y461+Z461+AA461+AB461+AC461+AD461+AE461+AF461+AG461+AH461</f>
        <v>199461691.20000002</v>
      </c>
      <c r="AJ461" s="59" t="s">
        <v>1424</v>
      </c>
      <c r="AK461" s="59" t="s">
        <v>1347</v>
      </c>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row>
    <row r="462" spans="1:77" s="9" customFormat="1" ht="27.75" customHeight="1" x14ac:dyDescent="0.25">
      <c r="A462" s="115"/>
      <c r="B462" s="67"/>
      <c r="C462" s="67"/>
      <c r="D462" s="406">
        <v>40</v>
      </c>
      <c r="E462" s="62" t="s">
        <v>240</v>
      </c>
      <c r="F462" s="62"/>
      <c r="G462" s="123"/>
      <c r="H462" s="124"/>
      <c r="I462" s="124"/>
      <c r="J462" s="126"/>
      <c r="K462" s="125"/>
      <c r="L462" s="126"/>
      <c r="M462" s="126"/>
      <c r="N462" s="128"/>
      <c r="O462" s="127"/>
      <c r="P462" s="128"/>
      <c r="Q462" s="129"/>
      <c r="R462" s="127"/>
      <c r="S462" s="199"/>
      <c r="T462" s="131"/>
      <c r="U462" s="131"/>
      <c r="V462" s="132">
        <f>V463</f>
        <v>411069897.20000005</v>
      </c>
      <c r="W462" s="132">
        <f t="shared" ref="W462:AI462" si="166">W463</f>
        <v>0</v>
      </c>
      <c r="X462" s="132">
        <f t="shared" si="166"/>
        <v>0</v>
      </c>
      <c r="Y462" s="132">
        <f t="shared" si="166"/>
        <v>0</v>
      </c>
      <c r="Z462" s="132">
        <f t="shared" si="166"/>
        <v>0</v>
      </c>
      <c r="AA462" s="132">
        <f t="shared" si="166"/>
        <v>0</v>
      </c>
      <c r="AB462" s="132">
        <f t="shared" si="166"/>
        <v>0</v>
      </c>
      <c r="AC462" s="132">
        <f t="shared" si="166"/>
        <v>0</v>
      </c>
      <c r="AD462" s="132">
        <f t="shared" si="166"/>
        <v>0</v>
      </c>
      <c r="AE462" s="132">
        <f t="shared" si="166"/>
        <v>0</v>
      </c>
      <c r="AF462" s="132">
        <f t="shared" si="166"/>
        <v>0</v>
      </c>
      <c r="AG462" s="132">
        <f t="shared" si="166"/>
        <v>797846764.79999995</v>
      </c>
      <c r="AH462" s="132">
        <f t="shared" si="166"/>
        <v>0</v>
      </c>
      <c r="AI462" s="132">
        <f t="shared" si="166"/>
        <v>1208916662</v>
      </c>
      <c r="AJ462" s="132"/>
      <c r="AK462" s="157"/>
      <c r="AL462" s="8"/>
      <c r="AM462" s="8"/>
      <c r="AN462" s="8"/>
      <c r="AO462" s="8"/>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row>
    <row r="463" spans="1:77" ht="26.25" customHeight="1" x14ac:dyDescent="0.2">
      <c r="A463" s="133"/>
      <c r="B463" s="334"/>
      <c r="C463" s="334"/>
      <c r="D463" s="334"/>
      <c r="E463" s="334"/>
      <c r="F463" s="141">
        <v>4001</v>
      </c>
      <c r="G463" s="339" t="s">
        <v>241</v>
      </c>
      <c r="H463" s="340"/>
      <c r="I463" s="340"/>
      <c r="J463" s="140"/>
      <c r="K463" s="317"/>
      <c r="L463" s="140"/>
      <c r="M463" s="140"/>
      <c r="N463" s="135"/>
      <c r="O463" s="141"/>
      <c r="P463" s="135"/>
      <c r="Q463" s="337"/>
      <c r="R463" s="141"/>
      <c r="S463" s="338"/>
      <c r="T463" s="135"/>
      <c r="U463" s="135"/>
      <c r="V463" s="336">
        <f>SUM(V464:V470)</f>
        <v>411069897.20000005</v>
      </c>
      <c r="W463" s="336">
        <f t="shared" ref="W463:AI463" si="167">SUM(W464:W470)</f>
        <v>0</v>
      </c>
      <c r="X463" s="336">
        <f t="shared" si="167"/>
        <v>0</v>
      </c>
      <c r="Y463" s="336">
        <f t="shared" si="167"/>
        <v>0</v>
      </c>
      <c r="Z463" s="336">
        <f t="shared" si="167"/>
        <v>0</v>
      </c>
      <c r="AA463" s="336">
        <f t="shared" si="167"/>
        <v>0</v>
      </c>
      <c r="AB463" s="336">
        <f t="shared" si="167"/>
        <v>0</v>
      </c>
      <c r="AC463" s="336">
        <f t="shared" si="167"/>
        <v>0</v>
      </c>
      <c r="AD463" s="336">
        <f t="shared" si="167"/>
        <v>0</v>
      </c>
      <c r="AE463" s="336">
        <f t="shared" si="167"/>
        <v>0</v>
      </c>
      <c r="AF463" s="336">
        <f t="shared" si="167"/>
        <v>0</v>
      </c>
      <c r="AG463" s="336">
        <f t="shared" si="167"/>
        <v>797846764.79999995</v>
      </c>
      <c r="AH463" s="336">
        <f t="shared" si="167"/>
        <v>0</v>
      </c>
      <c r="AI463" s="336">
        <f t="shared" si="167"/>
        <v>1208916662</v>
      </c>
      <c r="AJ463" s="336"/>
      <c r="AK463" s="211"/>
    </row>
    <row r="464" spans="1:77" ht="90" customHeight="1" x14ac:dyDescent="0.2">
      <c r="A464" s="133"/>
      <c r="B464" s="67"/>
      <c r="C464" s="67"/>
      <c r="D464" s="67"/>
      <c r="E464" s="67"/>
      <c r="F464" s="71"/>
      <c r="G464" s="212"/>
      <c r="H464" s="512" t="s">
        <v>242</v>
      </c>
      <c r="I464" s="341">
        <v>4001001</v>
      </c>
      <c r="J464" s="512" t="s">
        <v>1355</v>
      </c>
      <c r="K464" s="341">
        <v>4001001</v>
      </c>
      <c r="L464" s="512" t="s">
        <v>1355</v>
      </c>
      <c r="M464" s="88" t="s">
        <v>1356</v>
      </c>
      <c r="N464" s="76" t="s">
        <v>1357</v>
      </c>
      <c r="O464" s="88" t="s">
        <v>1356</v>
      </c>
      <c r="P464" s="76" t="s">
        <v>1357</v>
      </c>
      <c r="Q464" s="91" t="s">
        <v>71</v>
      </c>
      <c r="R464" s="96">
        <v>3</v>
      </c>
      <c r="S464" s="632" t="s">
        <v>1358</v>
      </c>
      <c r="T464" s="623" t="s">
        <v>1359</v>
      </c>
      <c r="U464" s="606" t="s">
        <v>1360</v>
      </c>
      <c r="V464" s="196">
        <v>0</v>
      </c>
      <c r="W464" s="137"/>
      <c r="X464" s="137"/>
      <c r="Y464" s="137"/>
      <c r="Z464" s="137"/>
      <c r="AA464" s="257"/>
      <c r="AB464" s="137"/>
      <c r="AC464" s="137"/>
      <c r="AD464" s="258"/>
      <c r="AE464" s="137"/>
      <c r="AF464" s="203"/>
      <c r="AG464" s="137">
        <v>9973084.5600000005</v>
      </c>
      <c r="AH464" s="165"/>
      <c r="AI464" s="138">
        <f t="shared" ref="AI464:AI470" si="168">+V464+W464+X464+Y464+Z464+AA464+AB464+AC464+AD464+AE464+AF464+AG464+AH464</f>
        <v>9973084.5600000005</v>
      </c>
      <c r="AJ464" s="583" t="s">
        <v>1424</v>
      </c>
      <c r="AK464" s="583" t="s">
        <v>1347</v>
      </c>
    </row>
    <row r="465" spans="1:77" ht="90" customHeight="1" x14ac:dyDescent="0.2">
      <c r="A465" s="133"/>
      <c r="B465" s="67"/>
      <c r="C465" s="67"/>
      <c r="D465" s="67"/>
      <c r="E465" s="67"/>
      <c r="F465" s="71"/>
      <c r="G465" s="212"/>
      <c r="H465" s="512" t="s">
        <v>1361</v>
      </c>
      <c r="I465" s="341">
        <v>4001017</v>
      </c>
      <c r="J465" s="512" t="s">
        <v>1362</v>
      </c>
      <c r="K465" s="341">
        <v>4001017</v>
      </c>
      <c r="L465" s="512" t="s">
        <v>1362</v>
      </c>
      <c r="M465" s="88" t="s">
        <v>1363</v>
      </c>
      <c r="N465" s="76" t="s">
        <v>1364</v>
      </c>
      <c r="O465" s="88" t="s">
        <v>1363</v>
      </c>
      <c r="P465" s="76" t="s">
        <v>1364</v>
      </c>
      <c r="Q465" s="96" t="s">
        <v>71</v>
      </c>
      <c r="R465" s="96">
        <v>25</v>
      </c>
      <c r="S465" s="632"/>
      <c r="T465" s="623"/>
      <c r="U465" s="606"/>
      <c r="V465" s="196">
        <v>51383737.150000066</v>
      </c>
      <c r="W465" s="137"/>
      <c r="X465" s="137"/>
      <c r="Y465" s="137"/>
      <c r="Z465" s="137"/>
      <c r="AA465" s="257"/>
      <c r="AB465" s="137"/>
      <c r="AC465" s="137"/>
      <c r="AD465" s="258"/>
      <c r="AE465" s="137"/>
      <c r="AF465" s="203"/>
      <c r="AG465" s="137">
        <v>29919253.68</v>
      </c>
      <c r="AH465" s="165"/>
      <c r="AI465" s="138">
        <f t="shared" si="168"/>
        <v>81302990.830000073</v>
      </c>
      <c r="AJ465" s="584"/>
      <c r="AK465" s="584"/>
    </row>
    <row r="466" spans="1:77" ht="58.5" customHeight="1" x14ac:dyDescent="0.2">
      <c r="A466" s="133"/>
      <c r="B466" s="67"/>
      <c r="C466" s="67"/>
      <c r="D466" s="67"/>
      <c r="E466" s="67"/>
      <c r="F466" s="71"/>
      <c r="G466" s="212"/>
      <c r="H466" s="512" t="s">
        <v>242</v>
      </c>
      <c r="I466" s="341">
        <v>4001018</v>
      </c>
      <c r="J466" s="512" t="s">
        <v>1365</v>
      </c>
      <c r="K466" s="341">
        <v>4001018</v>
      </c>
      <c r="L466" s="512" t="s">
        <v>1365</v>
      </c>
      <c r="M466" s="88" t="s">
        <v>1366</v>
      </c>
      <c r="N466" s="76" t="s">
        <v>1367</v>
      </c>
      <c r="O466" s="88" t="s">
        <v>1366</v>
      </c>
      <c r="P466" s="76" t="s">
        <v>1367</v>
      </c>
      <c r="Q466" s="96" t="s">
        <v>71</v>
      </c>
      <c r="R466" s="96">
        <v>75</v>
      </c>
      <c r="S466" s="632"/>
      <c r="T466" s="623"/>
      <c r="U466" s="606"/>
      <c r="V466" s="196">
        <v>143874464.02000001</v>
      </c>
      <c r="W466" s="137"/>
      <c r="X466" s="137"/>
      <c r="Y466" s="137"/>
      <c r="Z466" s="137"/>
      <c r="AA466" s="257"/>
      <c r="AB466" s="137"/>
      <c r="AC466" s="137"/>
      <c r="AD466" s="258"/>
      <c r="AE466" s="137"/>
      <c r="AF466" s="203"/>
      <c r="AG466" s="137">
        <v>59838507.359999999</v>
      </c>
      <c r="AH466" s="165"/>
      <c r="AI466" s="138">
        <f t="shared" si="168"/>
        <v>203712971.38</v>
      </c>
      <c r="AJ466" s="584"/>
      <c r="AK466" s="584"/>
    </row>
    <row r="467" spans="1:77" ht="43.5" customHeight="1" x14ac:dyDescent="0.2">
      <c r="A467" s="133"/>
      <c r="B467" s="67"/>
      <c r="C467" s="67"/>
      <c r="D467" s="67"/>
      <c r="E467" s="67"/>
      <c r="F467" s="71"/>
      <c r="G467" s="212"/>
      <c r="H467" s="512" t="s">
        <v>242</v>
      </c>
      <c r="I467" s="341">
        <v>4001030</v>
      </c>
      <c r="J467" s="512" t="s">
        <v>1368</v>
      </c>
      <c r="K467" s="341">
        <v>4001030</v>
      </c>
      <c r="L467" s="512" t="s">
        <v>1368</v>
      </c>
      <c r="M467" s="88" t="s">
        <v>1369</v>
      </c>
      <c r="N467" s="76" t="s">
        <v>266</v>
      </c>
      <c r="O467" s="88" t="s">
        <v>1369</v>
      </c>
      <c r="P467" s="76" t="s">
        <v>266</v>
      </c>
      <c r="Q467" s="91" t="s">
        <v>71</v>
      </c>
      <c r="R467" s="96">
        <v>3</v>
      </c>
      <c r="S467" s="632"/>
      <c r="T467" s="623"/>
      <c r="U467" s="606"/>
      <c r="V467" s="196">
        <v>0</v>
      </c>
      <c r="W467" s="137"/>
      <c r="X467" s="137"/>
      <c r="Y467" s="137"/>
      <c r="Z467" s="137"/>
      <c r="AA467" s="257"/>
      <c r="AB467" s="137"/>
      <c r="AC467" s="137"/>
      <c r="AD467" s="258"/>
      <c r="AE467" s="137"/>
      <c r="AF467" s="188"/>
      <c r="AG467" s="137">
        <v>9973084.5600000005</v>
      </c>
      <c r="AH467" s="165"/>
      <c r="AI467" s="138">
        <f t="shared" si="168"/>
        <v>9973084.5600000005</v>
      </c>
      <c r="AJ467" s="584"/>
      <c r="AK467" s="584"/>
    </row>
    <row r="468" spans="1:77" ht="51.75" customHeight="1" x14ac:dyDescent="0.2">
      <c r="A468" s="133"/>
      <c r="B468" s="67"/>
      <c r="C468" s="67"/>
      <c r="D468" s="67"/>
      <c r="E468" s="67"/>
      <c r="F468" s="71"/>
      <c r="G468" s="212"/>
      <c r="H468" s="512" t="s">
        <v>242</v>
      </c>
      <c r="I468" s="341">
        <v>4001031</v>
      </c>
      <c r="J468" s="512" t="s">
        <v>1370</v>
      </c>
      <c r="K468" s="341">
        <v>4001031</v>
      </c>
      <c r="L468" s="512" t="s">
        <v>1370</v>
      </c>
      <c r="M468" s="88">
        <v>400103103</v>
      </c>
      <c r="N468" s="76" t="s">
        <v>1371</v>
      </c>
      <c r="O468" s="88">
        <v>400103103</v>
      </c>
      <c r="P468" s="76" t="s">
        <v>1371</v>
      </c>
      <c r="Q468" s="91" t="s">
        <v>71</v>
      </c>
      <c r="R468" s="96">
        <v>8</v>
      </c>
      <c r="S468" s="632"/>
      <c r="T468" s="623"/>
      <c r="U468" s="606"/>
      <c r="V468" s="196">
        <v>0</v>
      </c>
      <c r="W468" s="137"/>
      <c r="X468" s="137"/>
      <c r="Y468" s="137"/>
      <c r="Z468" s="137"/>
      <c r="AA468" s="257"/>
      <c r="AB468" s="137"/>
      <c r="AC468" s="137"/>
      <c r="AD468" s="258"/>
      <c r="AE468" s="137"/>
      <c r="AF468" s="188"/>
      <c r="AG468" s="137">
        <v>598385073.60000002</v>
      </c>
      <c r="AH468" s="165"/>
      <c r="AI468" s="138">
        <f t="shared" si="168"/>
        <v>598385073.60000002</v>
      </c>
      <c r="AJ468" s="584"/>
      <c r="AK468" s="584"/>
    </row>
    <row r="469" spans="1:77" ht="60.75" customHeight="1" x14ac:dyDescent="0.2">
      <c r="A469" s="133"/>
      <c r="B469" s="67"/>
      <c r="C469" s="67"/>
      <c r="D469" s="67"/>
      <c r="E469" s="67"/>
      <c r="F469" s="71"/>
      <c r="G469" s="212"/>
      <c r="H469" s="512" t="s">
        <v>1361</v>
      </c>
      <c r="I469" s="341" t="s">
        <v>1372</v>
      </c>
      <c r="J469" s="512" t="s">
        <v>1373</v>
      </c>
      <c r="K469" s="341" t="s">
        <v>1372</v>
      </c>
      <c r="L469" s="512" t="s">
        <v>1373</v>
      </c>
      <c r="M469" s="88" t="s">
        <v>1374</v>
      </c>
      <c r="N469" s="76" t="s">
        <v>1373</v>
      </c>
      <c r="O469" s="88" t="s">
        <v>1374</v>
      </c>
      <c r="P469" s="76" t="s">
        <v>1373</v>
      </c>
      <c r="Q469" s="91" t="s">
        <v>71</v>
      </c>
      <c r="R469" s="96">
        <v>35</v>
      </c>
      <c r="S469" s="632"/>
      <c r="T469" s="623"/>
      <c r="U469" s="606"/>
      <c r="V469" s="196">
        <v>71937232.010000005</v>
      </c>
      <c r="W469" s="137"/>
      <c r="X469" s="137"/>
      <c r="Y469" s="137"/>
      <c r="Z469" s="137"/>
      <c r="AA469" s="257"/>
      <c r="AB469" s="137"/>
      <c r="AC469" s="137"/>
      <c r="AD469" s="258"/>
      <c r="AE469" s="137"/>
      <c r="AF469" s="188"/>
      <c r="AG469" s="137">
        <v>29919253.68</v>
      </c>
      <c r="AH469" s="165"/>
      <c r="AI469" s="138">
        <f t="shared" si="168"/>
        <v>101856485.69</v>
      </c>
      <c r="AJ469" s="584"/>
      <c r="AK469" s="584"/>
    </row>
    <row r="470" spans="1:77" ht="52.5" customHeight="1" x14ac:dyDescent="0.2">
      <c r="A470" s="133"/>
      <c r="B470" s="67"/>
      <c r="C470" s="67"/>
      <c r="D470" s="67"/>
      <c r="E470" s="67"/>
      <c r="F470" s="71"/>
      <c r="G470" s="212"/>
      <c r="H470" s="512" t="s">
        <v>242</v>
      </c>
      <c r="I470" s="341" t="s">
        <v>1375</v>
      </c>
      <c r="J470" s="512" t="s">
        <v>245</v>
      </c>
      <c r="K470" s="341" t="s">
        <v>1375</v>
      </c>
      <c r="L470" s="512" t="s">
        <v>245</v>
      </c>
      <c r="M470" s="88">
        <v>400101500</v>
      </c>
      <c r="N470" s="76" t="s">
        <v>245</v>
      </c>
      <c r="O470" s="88">
        <v>400101500</v>
      </c>
      <c r="P470" s="76" t="s">
        <v>245</v>
      </c>
      <c r="Q470" s="91" t="s">
        <v>71</v>
      </c>
      <c r="R470" s="68">
        <v>50</v>
      </c>
      <c r="S470" s="632"/>
      <c r="T470" s="623"/>
      <c r="U470" s="606"/>
      <c r="V470" s="196">
        <v>143874464.02000001</v>
      </c>
      <c r="W470" s="137"/>
      <c r="X470" s="137"/>
      <c r="Y470" s="137"/>
      <c r="Z470" s="137"/>
      <c r="AA470" s="257"/>
      <c r="AB470" s="137"/>
      <c r="AC470" s="137"/>
      <c r="AD470" s="258"/>
      <c r="AE470" s="137"/>
      <c r="AF470" s="188"/>
      <c r="AG470" s="137">
        <v>59838507.359999999</v>
      </c>
      <c r="AH470" s="165"/>
      <c r="AI470" s="138">
        <f t="shared" si="168"/>
        <v>203712971.38</v>
      </c>
      <c r="AJ470" s="585"/>
      <c r="AK470" s="585"/>
    </row>
    <row r="471" spans="1:77" s="7" customFormat="1" ht="16.5" customHeight="1" x14ac:dyDescent="0.25">
      <c r="A471" s="457"/>
      <c r="B471" s="457"/>
      <c r="C471" s="457"/>
      <c r="D471" s="457"/>
      <c r="E471" s="457"/>
      <c r="F471" s="457"/>
      <c r="G471" s="457"/>
      <c r="H471" s="458"/>
      <c r="I471" s="457"/>
      <c r="J471" s="457"/>
      <c r="K471" s="457"/>
      <c r="L471" s="457"/>
      <c r="M471" s="457"/>
      <c r="N471" s="457"/>
      <c r="O471" s="457"/>
      <c r="P471" s="457"/>
      <c r="Q471" s="459"/>
      <c r="R471" s="457"/>
      <c r="S471" s="459"/>
      <c r="T471" s="459"/>
      <c r="U471" s="459"/>
      <c r="V471" s="460"/>
      <c r="W471" s="460"/>
      <c r="X471" s="460"/>
      <c r="Y471" s="460"/>
      <c r="Z471" s="460"/>
      <c r="AA471" s="460"/>
      <c r="AB471" s="460"/>
      <c r="AC471" s="460"/>
      <c r="AD471" s="460"/>
      <c r="AE471" s="460"/>
      <c r="AF471" s="460"/>
      <c r="AG471" s="460"/>
      <c r="AH471" s="460"/>
      <c r="AI471" s="460"/>
      <c r="AJ471" s="460"/>
      <c r="AK471" s="460"/>
    </row>
    <row r="472" spans="1:77" s="391" customFormat="1" ht="25.5" customHeight="1" x14ac:dyDescent="0.2">
      <c r="A472" s="41" t="s">
        <v>1376</v>
      </c>
      <c r="B472" s="41"/>
      <c r="C472" s="41"/>
      <c r="D472" s="41"/>
      <c r="E472" s="41"/>
      <c r="F472" s="42"/>
      <c r="G472" s="43"/>
      <c r="H472" s="383"/>
      <c r="I472" s="383"/>
      <c r="J472" s="383"/>
      <c r="K472" s="386"/>
      <c r="L472" s="383"/>
      <c r="M472" s="383"/>
      <c r="N472" s="388"/>
      <c r="O472" s="387"/>
      <c r="P472" s="388"/>
      <c r="Q472" s="389"/>
      <c r="R472" s="387"/>
      <c r="S472" s="43"/>
      <c r="T472" s="388"/>
      <c r="U472" s="388"/>
      <c r="V472" s="384">
        <f t="shared" ref="V472:AH474" si="169">V473</f>
        <v>0</v>
      </c>
      <c r="W472" s="384">
        <f t="shared" si="169"/>
        <v>0</v>
      </c>
      <c r="X472" s="384">
        <f t="shared" si="169"/>
        <v>0</v>
      </c>
      <c r="Y472" s="384">
        <f t="shared" si="169"/>
        <v>0</v>
      </c>
      <c r="Z472" s="384">
        <f t="shared" si="169"/>
        <v>0</v>
      </c>
      <c r="AA472" s="384">
        <f t="shared" si="169"/>
        <v>0</v>
      </c>
      <c r="AB472" s="384">
        <f t="shared" si="169"/>
        <v>0</v>
      </c>
      <c r="AC472" s="384">
        <f t="shared" si="169"/>
        <v>0</v>
      </c>
      <c r="AD472" s="384">
        <f t="shared" si="169"/>
        <v>0</v>
      </c>
      <c r="AE472" s="384">
        <f t="shared" si="169"/>
        <v>0</v>
      </c>
      <c r="AF472" s="384">
        <f t="shared" si="169"/>
        <v>0</v>
      </c>
      <c r="AG472" s="384">
        <f t="shared" si="169"/>
        <v>110210000</v>
      </c>
      <c r="AH472" s="384">
        <f t="shared" si="169"/>
        <v>0</v>
      </c>
      <c r="AI472" s="384">
        <f>AI473</f>
        <v>110210000</v>
      </c>
      <c r="AJ472" s="384"/>
      <c r="AK472" s="385"/>
      <c r="AL472" s="390"/>
      <c r="AM472" s="390"/>
      <c r="AN472" s="390"/>
      <c r="AO472" s="390"/>
      <c r="AP472" s="390"/>
      <c r="AQ472" s="390"/>
      <c r="AR472" s="390"/>
      <c r="AS472" s="390"/>
      <c r="AT472" s="390"/>
      <c r="AU472" s="390"/>
      <c r="AV472" s="390"/>
      <c r="AW472" s="390"/>
      <c r="AX472" s="390"/>
      <c r="AY472" s="390"/>
      <c r="AZ472" s="390"/>
      <c r="BA472" s="390"/>
      <c r="BB472" s="390"/>
      <c r="BC472" s="390"/>
      <c r="BD472" s="390"/>
      <c r="BE472" s="390"/>
      <c r="BF472" s="390"/>
      <c r="BG472" s="390"/>
      <c r="BH472" s="390"/>
      <c r="BI472" s="390"/>
      <c r="BJ472" s="390"/>
      <c r="BK472" s="390"/>
      <c r="BL472" s="390"/>
      <c r="BM472" s="390"/>
      <c r="BN472" s="390"/>
      <c r="BO472" s="390"/>
      <c r="BP472" s="390"/>
      <c r="BQ472" s="390"/>
      <c r="BR472" s="390"/>
      <c r="BS472" s="390"/>
      <c r="BT472" s="390"/>
      <c r="BU472" s="390"/>
      <c r="BV472" s="390"/>
      <c r="BW472" s="390"/>
      <c r="BX472" s="390"/>
      <c r="BY472" s="390"/>
    </row>
    <row r="473" spans="1:77" ht="24.75" customHeight="1" x14ac:dyDescent="0.2">
      <c r="A473" s="133"/>
      <c r="B473" s="116">
        <v>3</v>
      </c>
      <c r="C473" s="116"/>
      <c r="D473" s="61" t="s">
        <v>203</v>
      </c>
      <c r="E473" s="163"/>
      <c r="F473" s="61"/>
      <c r="G473" s="61"/>
      <c r="H473" s="61"/>
      <c r="I473" s="61"/>
      <c r="J473" s="118"/>
      <c r="K473" s="329"/>
      <c r="L473" s="118"/>
      <c r="M473" s="118"/>
      <c r="N473" s="119"/>
      <c r="O473" s="116"/>
      <c r="P473" s="119"/>
      <c r="Q473" s="330"/>
      <c r="R473" s="116"/>
      <c r="S473" s="331"/>
      <c r="T473" s="119"/>
      <c r="U473" s="119"/>
      <c r="V473" s="332">
        <f t="shared" si="169"/>
        <v>0</v>
      </c>
      <c r="W473" s="332">
        <f t="shared" si="169"/>
        <v>0</v>
      </c>
      <c r="X473" s="332">
        <f t="shared" si="169"/>
        <v>0</v>
      </c>
      <c r="Y473" s="332">
        <f t="shared" si="169"/>
        <v>0</v>
      </c>
      <c r="Z473" s="332">
        <f t="shared" si="169"/>
        <v>0</v>
      </c>
      <c r="AA473" s="332">
        <f t="shared" si="169"/>
        <v>0</v>
      </c>
      <c r="AB473" s="332">
        <f t="shared" si="169"/>
        <v>0</v>
      </c>
      <c r="AC473" s="332">
        <f t="shared" si="169"/>
        <v>0</v>
      </c>
      <c r="AD473" s="332">
        <f t="shared" si="169"/>
        <v>0</v>
      </c>
      <c r="AE473" s="332">
        <f t="shared" si="169"/>
        <v>0</v>
      </c>
      <c r="AF473" s="332">
        <f t="shared" si="169"/>
        <v>0</v>
      </c>
      <c r="AG473" s="332">
        <f t="shared" si="169"/>
        <v>110210000</v>
      </c>
      <c r="AH473" s="332">
        <f t="shared" si="169"/>
        <v>0</v>
      </c>
      <c r="AI473" s="332">
        <f>AI474</f>
        <v>110210000</v>
      </c>
      <c r="AJ473" s="332"/>
      <c r="AK473" s="333"/>
    </row>
    <row r="474" spans="1:77" s="9" customFormat="1" ht="27.75" customHeight="1" x14ac:dyDescent="0.25">
      <c r="A474" s="115"/>
      <c r="B474" s="67"/>
      <c r="C474" s="67"/>
      <c r="D474" s="64">
        <v>24</v>
      </c>
      <c r="E474" s="62" t="s">
        <v>204</v>
      </c>
      <c r="F474" s="62"/>
      <c r="G474" s="123"/>
      <c r="H474" s="124"/>
      <c r="I474" s="124"/>
      <c r="J474" s="126"/>
      <c r="K474" s="125"/>
      <c r="L474" s="126"/>
      <c r="M474" s="126"/>
      <c r="N474" s="128"/>
      <c r="O474" s="127"/>
      <c r="P474" s="128"/>
      <c r="Q474" s="129"/>
      <c r="R474" s="127"/>
      <c r="S474" s="199"/>
      <c r="T474" s="131"/>
      <c r="U474" s="131"/>
      <c r="V474" s="132">
        <f t="shared" si="169"/>
        <v>0</v>
      </c>
      <c r="W474" s="132">
        <f t="shared" si="169"/>
        <v>0</v>
      </c>
      <c r="X474" s="132">
        <f t="shared" si="169"/>
        <v>0</v>
      </c>
      <c r="Y474" s="132">
        <f t="shared" si="169"/>
        <v>0</v>
      </c>
      <c r="Z474" s="132">
        <f t="shared" si="169"/>
        <v>0</v>
      </c>
      <c r="AA474" s="132">
        <f t="shared" si="169"/>
        <v>0</v>
      </c>
      <c r="AB474" s="132">
        <f t="shared" si="169"/>
        <v>0</v>
      </c>
      <c r="AC474" s="132">
        <f t="shared" si="169"/>
        <v>0</v>
      </c>
      <c r="AD474" s="132">
        <f t="shared" si="169"/>
        <v>0</v>
      </c>
      <c r="AE474" s="132">
        <f t="shared" si="169"/>
        <v>0</v>
      </c>
      <c r="AF474" s="132">
        <f t="shared" si="169"/>
        <v>0</v>
      </c>
      <c r="AG474" s="132">
        <f t="shared" si="169"/>
        <v>110210000</v>
      </c>
      <c r="AH474" s="132">
        <f t="shared" si="169"/>
        <v>0</v>
      </c>
      <c r="AI474" s="132">
        <f>AI475</f>
        <v>110210000</v>
      </c>
      <c r="AJ474" s="132"/>
      <c r="AK474" s="157"/>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row>
    <row r="475" spans="1:77" ht="24.75" customHeight="1" x14ac:dyDescent="0.2">
      <c r="A475" s="133"/>
      <c r="B475" s="67"/>
      <c r="C475" s="67"/>
      <c r="D475" s="67"/>
      <c r="E475" s="67"/>
      <c r="F475" s="141">
        <v>2409</v>
      </c>
      <c r="G475" s="609" t="s">
        <v>1377</v>
      </c>
      <c r="H475" s="610"/>
      <c r="I475" s="610"/>
      <c r="J475" s="610"/>
      <c r="K475" s="610"/>
      <c r="L475" s="610"/>
      <c r="M475" s="419"/>
      <c r="N475" s="135"/>
      <c r="O475" s="141"/>
      <c r="P475" s="135"/>
      <c r="Q475" s="337"/>
      <c r="R475" s="141"/>
      <c r="S475" s="338"/>
      <c r="T475" s="135"/>
      <c r="U475" s="135"/>
      <c r="V475" s="336">
        <f t="shared" ref="V475:AH475" si="170">SUM(V476:V479)</f>
        <v>0</v>
      </c>
      <c r="W475" s="336">
        <f t="shared" si="170"/>
        <v>0</v>
      </c>
      <c r="X475" s="336">
        <f t="shared" si="170"/>
        <v>0</v>
      </c>
      <c r="Y475" s="336">
        <f t="shared" si="170"/>
        <v>0</v>
      </c>
      <c r="Z475" s="336">
        <f t="shared" si="170"/>
        <v>0</v>
      </c>
      <c r="AA475" s="336">
        <f t="shared" si="170"/>
        <v>0</v>
      </c>
      <c r="AB475" s="336">
        <f t="shared" si="170"/>
        <v>0</v>
      </c>
      <c r="AC475" s="336">
        <f t="shared" si="170"/>
        <v>0</v>
      </c>
      <c r="AD475" s="336">
        <f t="shared" si="170"/>
        <v>0</v>
      </c>
      <c r="AE475" s="336">
        <f t="shared" si="170"/>
        <v>0</v>
      </c>
      <c r="AF475" s="336">
        <f t="shared" si="170"/>
        <v>0</v>
      </c>
      <c r="AG475" s="336">
        <f t="shared" si="170"/>
        <v>110210000</v>
      </c>
      <c r="AH475" s="336">
        <f t="shared" si="170"/>
        <v>0</v>
      </c>
      <c r="AI475" s="336">
        <f>SUM(AI476:AI479)</f>
        <v>110210000</v>
      </c>
      <c r="AJ475" s="336"/>
      <c r="AK475" s="211"/>
    </row>
    <row r="476" spans="1:77" ht="132.75" customHeight="1" x14ac:dyDescent="0.2">
      <c r="A476" s="133"/>
      <c r="B476" s="67"/>
      <c r="C476" s="67"/>
      <c r="D476" s="67"/>
      <c r="E476" s="67"/>
      <c r="F476" s="244"/>
      <c r="G476" s="517"/>
      <c r="H476" s="76" t="s">
        <v>1378</v>
      </c>
      <c r="I476" s="88" t="s">
        <v>50</v>
      </c>
      <c r="J476" s="512" t="s">
        <v>1379</v>
      </c>
      <c r="K476" s="66">
        <v>2409009</v>
      </c>
      <c r="L476" s="512" t="s">
        <v>1380</v>
      </c>
      <c r="M476" s="88" t="s">
        <v>50</v>
      </c>
      <c r="N476" s="76" t="s">
        <v>1381</v>
      </c>
      <c r="O476" s="66">
        <v>240900900</v>
      </c>
      <c r="P476" s="76" t="s">
        <v>1382</v>
      </c>
      <c r="Q476" s="88" t="s">
        <v>55</v>
      </c>
      <c r="R476" s="88">
        <v>1</v>
      </c>
      <c r="S476" s="634" t="s">
        <v>1383</v>
      </c>
      <c r="T476" s="614" t="s">
        <v>1384</v>
      </c>
      <c r="U476" s="614" t="s">
        <v>1385</v>
      </c>
      <c r="V476" s="137"/>
      <c r="W476" s="137"/>
      <c r="X476" s="137"/>
      <c r="Y476" s="137"/>
      <c r="Z476" s="137"/>
      <c r="AA476" s="257"/>
      <c r="AB476" s="137"/>
      <c r="AC476" s="137"/>
      <c r="AD476" s="258"/>
      <c r="AE476" s="137"/>
      <c r="AF476" s="203"/>
      <c r="AG476" s="203">
        <v>27192000</v>
      </c>
      <c r="AH476" s="137"/>
      <c r="AI476" s="138">
        <f>+V476+W476+X476+Y476+Z476+AA476+AB476+AC476+AD476+AE476+AF476+AG476+AH476</f>
        <v>27192000</v>
      </c>
      <c r="AJ476" s="586" t="s">
        <v>1425</v>
      </c>
      <c r="AK476" s="586" t="s">
        <v>1426</v>
      </c>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row>
    <row r="477" spans="1:77" ht="109.5" customHeight="1" x14ac:dyDescent="0.2">
      <c r="A477" s="133"/>
      <c r="B477" s="67"/>
      <c r="C477" s="67"/>
      <c r="D477" s="67"/>
      <c r="E477" s="67"/>
      <c r="F477" s="244"/>
      <c r="G477" s="517"/>
      <c r="H477" s="76" t="s">
        <v>1378</v>
      </c>
      <c r="I477" s="88" t="s">
        <v>50</v>
      </c>
      <c r="J477" s="512" t="s">
        <v>1386</v>
      </c>
      <c r="K477" s="66">
        <v>2409022</v>
      </c>
      <c r="L477" s="512" t="s">
        <v>1387</v>
      </c>
      <c r="M477" s="88" t="s">
        <v>50</v>
      </c>
      <c r="N477" s="76" t="s">
        <v>1388</v>
      </c>
      <c r="O477" s="66">
        <v>240902202</v>
      </c>
      <c r="P477" s="76" t="s">
        <v>1419</v>
      </c>
      <c r="Q477" s="88" t="s">
        <v>55</v>
      </c>
      <c r="R477" s="88">
        <v>1</v>
      </c>
      <c r="S477" s="634"/>
      <c r="T477" s="614"/>
      <c r="U477" s="614"/>
      <c r="V477" s="137"/>
      <c r="W477" s="137"/>
      <c r="X477" s="137"/>
      <c r="Y477" s="137"/>
      <c r="Z477" s="137"/>
      <c r="AA477" s="257"/>
      <c r="AB477" s="137"/>
      <c r="AC477" s="137"/>
      <c r="AD477" s="258"/>
      <c r="AE477" s="137"/>
      <c r="AF477" s="203"/>
      <c r="AG477" s="203">
        <v>8652000</v>
      </c>
      <c r="AH477" s="137"/>
      <c r="AI477" s="138">
        <f>+V477+W477+X477+Y477+Z477+AA477+AB477+AC477+AD477+AE477+AF477+AG477+AH477</f>
        <v>8652000</v>
      </c>
      <c r="AJ477" s="587"/>
      <c r="AK477" s="587"/>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row>
    <row r="478" spans="1:77" ht="108.75" customHeight="1" x14ac:dyDescent="0.2">
      <c r="A478" s="133"/>
      <c r="B478" s="67"/>
      <c r="C478" s="67"/>
      <c r="D478" s="67"/>
      <c r="E478" s="67"/>
      <c r="F478" s="244"/>
      <c r="G478" s="517"/>
      <c r="H478" s="76" t="s">
        <v>1378</v>
      </c>
      <c r="I478" s="88" t="s">
        <v>50</v>
      </c>
      <c r="J478" s="512" t="s">
        <v>1420</v>
      </c>
      <c r="K478" s="66">
        <v>2409014</v>
      </c>
      <c r="L478" s="512" t="s">
        <v>252</v>
      </c>
      <c r="M478" s="88" t="s">
        <v>50</v>
      </c>
      <c r="N478" s="76" t="s">
        <v>1389</v>
      </c>
      <c r="O478" s="66">
        <v>240901400</v>
      </c>
      <c r="P478" s="76" t="s">
        <v>1005</v>
      </c>
      <c r="Q478" s="88" t="s">
        <v>55</v>
      </c>
      <c r="R478" s="88">
        <v>1</v>
      </c>
      <c r="S478" s="634"/>
      <c r="T478" s="614"/>
      <c r="U478" s="614"/>
      <c r="V478" s="137"/>
      <c r="W478" s="137"/>
      <c r="X478" s="137"/>
      <c r="Y478" s="137"/>
      <c r="Z478" s="137"/>
      <c r="AA478" s="257"/>
      <c r="AB478" s="137"/>
      <c r="AC478" s="137"/>
      <c r="AD478" s="258"/>
      <c r="AE478" s="137"/>
      <c r="AF478" s="203"/>
      <c r="AG478" s="203">
        <v>25956000</v>
      </c>
      <c r="AH478" s="137"/>
      <c r="AI478" s="138">
        <f>+V478+W478+X478+Y478+Z478+AA478+AB478+AC478+AD478+AE478+AF478+AG478+AH478</f>
        <v>25956000</v>
      </c>
      <c r="AJ478" s="587"/>
      <c r="AK478" s="587"/>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row>
    <row r="479" spans="1:77" ht="132" customHeight="1" x14ac:dyDescent="0.2">
      <c r="A479" s="133"/>
      <c r="B479" s="67"/>
      <c r="C479" s="67"/>
      <c r="D479" s="67"/>
      <c r="E479" s="67"/>
      <c r="F479" s="244"/>
      <c r="G479" s="517"/>
      <c r="H479" s="76" t="s">
        <v>1378</v>
      </c>
      <c r="I479" s="88" t="s">
        <v>50</v>
      </c>
      <c r="J479" s="512" t="s">
        <v>1390</v>
      </c>
      <c r="K479" s="66">
        <v>2409039</v>
      </c>
      <c r="L479" s="512" t="s">
        <v>1391</v>
      </c>
      <c r="M479" s="88" t="s">
        <v>50</v>
      </c>
      <c r="N479" s="76" t="s">
        <v>1392</v>
      </c>
      <c r="O479" s="66">
        <v>240903905</v>
      </c>
      <c r="P479" s="76" t="s">
        <v>1393</v>
      </c>
      <c r="Q479" s="88" t="s">
        <v>55</v>
      </c>
      <c r="R479" s="88">
        <v>1</v>
      </c>
      <c r="S479" s="634"/>
      <c r="T479" s="614"/>
      <c r="U479" s="614"/>
      <c r="V479" s="137"/>
      <c r="W479" s="137"/>
      <c r="X479" s="137"/>
      <c r="Y479" s="137"/>
      <c r="Z479" s="137"/>
      <c r="AA479" s="257"/>
      <c r="AB479" s="137"/>
      <c r="AC479" s="137"/>
      <c r="AD479" s="258"/>
      <c r="AE479" s="137"/>
      <c r="AF479" s="203"/>
      <c r="AG479" s="203">
        <v>48410000</v>
      </c>
      <c r="AH479" s="137"/>
      <c r="AI479" s="138">
        <f>+V479+W479+X479+Y479+Z479+AA479+AB479+AC479+AD479+AE479+AF479+AG479+AH479</f>
        <v>48410000</v>
      </c>
      <c r="AJ479" s="588"/>
      <c r="AK479" s="588"/>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row>
    <row r="480" spans="1:77" s="560" customFormat="1" ht="27.75" customHeight="1" x14ac:dyDescent="0.25">
      <c r="A480" s="342" t="s">
        <v>1394</v>
      </c>
      <c r="B480" s="342"/>
      <c r="C480" s="342"/>
      <c r="D480" s="342"/>
      <c r="E480" s="342"/>
      <c r="F480" s="343"/>
      <c r="G480" s="557"/>
      <c r="H480" s="344"/>
      <c r="I480" s="344"/>
      <c r="J480" s="344"/>
      <c r="K480" s="343"/>
      <c r="L480" s="344"/>
      <c r="M480" s="344"/>
      <c r="N480" s="346"/>
      <c r="O480" s="345"/>
      <c r="P480" s="346"/>
      <c r="Q480" s="557"/>
      <c r="R480" s="345"/>
      <c r="S480" s="557"/>
      <c r="T480" s="346"/>
      <c r="U480" s="346"/>
      <c r="V480" s="558">
        <f t="shared" ref="V480:AI480" si="171">+V472+V450+V438</f>
        <v>1027674743</v>
      </c>
      <c r="W480" s="558">
        <f t="shared" si="171"/>
        <v>0</v>
      </c>
      <c r="X480" s="558">
        <f t="shared" si="171"/>
        <v>0</v>
      </c>
      <c r="Y480" s="558">
        <f t="shared" si="171"/>
        <v>0</v>
      </c>
      <c r="Z480" s="558">
        <f t="shared" si="171"/>
        <v>0</v>
      </c>
      <c r="AA480" s="558">
        <f t="shared" si="171"/>
        <v>0</v>
      </c>
      <c r="AB480" s="558">
        <f t="shared" si="171"/>
        <v>0</v>
      </c>
      <c r="AC480" s="558">
        <f t="shared" si="171"/>
        <v>0</v>
      </c>
      <c r="AD480" s="558">
        <f t="shared" si="171"/>
        <v>0</v>
      </c>
      <c r="AE480" s="558">
        <f t="shared" si="171"/>
        <v>0</v>
      </c>
      <c r="AF480" s="558">
        <f t="shared" si="171"/>
        <v>855248186</v>
      </c>
      <c r="AG480" s="558">
        <f t="shared" si="171"/>
        <v>5419626049.5499992</v>
      </c>
      <c r="AH480" s="558">
        <f t="shared" si="171"/>
        <v>1000000000</v>
      </c>
      <c r="AI480" s="558">
        <f t="shared" si="171"/>
        <v>8302548978.5499992</v>
      </c>
      <c r="AJ480" s="558"/>
      <c r="AK480" s="559"/>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row>
    <row r="481" spans="1:77" s="9" customFormat="1" ht="15.75" x14ac:dyDescent="0.25">
      <c r="A481" s="354"/>
      <c r="B481" s="354"/>
      <c r="C481" s="354"/>
      <c r="D481" s="354"/>
      <c r="E481" s="354"/>
      <c r="F481" s="355"/>
      <c r="G481" s="561"/>
      <c r="H481" s="356"/>
      <c r="I481" s="356"/>
      <c r="J481" s="356"/>
      <c r="K481" s="355"/>
      <c r="L481" s="356"/>
      <c r="M481" s="356"/>
      <c r="N481" s="358"/>
      <c r="O481" s="357"/>
      <c r="P481" s="358"/>
      <c r="Q481" s="561"/>
      <c r="R481" s="357"/>
      <c r="S481" s="561"/>
      <c r="T481" s="358"/>
      <c r="U481" s="358"/>
      <c r="V481" s="562"/>
      <c r="W481" s="563"/>
      <c r="X481" s="563"/>
      <c r="Y481" s="563"/>
      <c r="Z481" s="563"/>
      <c r="AA481" s="564"/>
      <c r="AB481" s="565"/>
      <c r="AC481" s="565"/>
      <c r="AD481" s="562"/>
      <c r="AE481" s="563"/>
      <c r="AF481" s="563"/>
      <c r="AG481" s="563"/>
      <c r="AH481" s="563"/>
      <c r="AI481" s="563"/>
      <c r="AJ481" s="566"/>
      <c r="AK481" s="567"/>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row>
    <row r="482" spans="1:77" s="574" customFormat="1" ht="24.75" customHeight="1" x14ac:dyDescent="0.25">
      <c r="A482" s="376" t="s">
        <v>1395</v>
      </c>
      <c r="B482" s="359"/>
      <c r="C482" s="359"/>
      <c r="D482" s="359"/>
      <c r="E482" s="359"/>
      <c r="F482" s="360"/>
      <c r="G482" s="568"/>
      <c r="H482" s="361"/>
      <c r="I482" s="361"/>
      <c r="J482" s="361"/>
      <c r="K482" s="360"/>
      <c r="L482" s="361"/>
      <c r="M482" s="361"/>
      <c r="N482" s="363"/>
      <c r="O482" s="362"/>
      <c r="P482" s="363"/>
      <c r="Q482" s="568"/>
      <c r="R482" s="362"/>
      <c r="S482" s="568"/>
      <c r="T482" s="363"/>
      <c r="U482" s="363"/>
      <c r="V482" s="569">
        <f t="shared" ref="V482:AI482" si="172">+V436+V480</f>
        <v>12003863995.119999</v>
      </c>
      <c r="W482" s="570">
        <f t="shared" si="172"/>
        <v>1837447380.3299999</v>
      </c>
      <c r="X482" s="570">
        <f t="shared" si="172"/>
        <v>56108067</v>
      </c>
      <c r="Y482" s="570">
        <f t="shared" si="172"/>
        <v>1785755472.78</v>
      </c>
      <c r="Z482" s="570">
        <f t="shared" si="172"/>
        <v>6893527853.4899998</v>
      </c>
      <c r="AA482" s="571">
        <f t="shared" si="172"/>
        <v>35242837560</v>
      </c>
      <c r="AB482" s="572">
        <f t="shared" si="172"/>
        <v>143579499577.42001</v>
      </c>
      <c r="AC482" s="572">
        <f t="shared" si="172"/>
        <v>25145000000</v>
      </c>
      <c r="AD482" s="569">
        <f t="shared" si="172"/>
        <v>11590214233.049999</v>
      </c>
      <c r="AE482" s="570">
        <f t="shared" si="172"/>
        <v>2753011221</v>
      </c>
      <c r="AF482" s="570">
        <f t="shared" si="172"/>
        <v>22264940473.220001</v>
      </c>
      <c r="AG482" s="570">
        <f t="shared" si="172"/>
        <v>6347536495.3099995</v>
      </c>
      <c r="AH482" s="570">
        <f t="shared" si="172"/>
        <v>5674277761.8500004</v>
      </c>
      <c r="AI482" s="570">
        <f t="shared" si="172"/>
        <v>275174020090.57007</v>
      </c>
      <c r="AJ482" s="570"/>
      <c r="AK482" s="573"/>
      <c r="AL482" s="20"/>
      <c r="AM482" s="20"/>
      <c r="AN482" s="20"/>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c r="BM482" s="20"/>
      <c r="BN482" s="20"/>
      <c r="BO482" s="20"/>
      <c r="BP482" s="20"/>
      <c r="BQ482" s="20"/>
      <c r="BR482" s="20"/>
      <c r="BS482" s="20"/>
      <c r="BT482" s="20"/>
      <c r="BU482" s="20"/>
      <c r="BV482" s="20"/>
      <c r="BW482" s="20"/>
      <c r="BX482" s="20"/>
      <c r="BY482" s="20"/>
    </row>
    <row r="485" spans="1:77" ht="48" customHeight="1" x14ac:dyDescent="0.25">
      <c r="AI485" s="27"/>
    </row>
    <row r="486" spans="1:77" ht="36" customHeight="1" x14ac:dyDescent="0.25">
      <c r="AI486" s="27"/>
    </row>
  </sheetData>
  <sheetProtection password="A60F" sheet="1" objects="1" scenarios="1"/>
  <mergeCells count="221">
    <mergeCell ref="H2:AI2"/>
    <mergeCell ref="D19:H19"/>
    <mergeCell ref="D37:H37"/>
    <mergeCell ref="S394:S398"/>
    <mergeCell ref="S63:S64"/>
    <mergeCell ref="S101:S105"/>
    <mergeCell ref="S143:S144"/>
    <mergeCell ref="S150:S151"/>
    <mergeCell ref="S310:S311"/>
    <mergeCell ref="S262:S264"/>
    <mergeCell ref="S193:S195"/>
    <mergeCell ref="S175:S176"/>
    <mergeCell ref="S389:S390"/>
    <mergeCell ref="S190:S191"/>
    <mergeCell ref="S183:S184"/>
    <mergeCell ref="S152:S153"/>
    <mergeCell ref="S203:S204"/>
    <mergeCell ref="S336:S343"/>
    <mergeCell ref="S303:S304"/>
    <mergeCell ref="S391:S393"/>
    <mergeCell ref="S380:S381"/>
    <mergeCell ref="S373:S374"/>
    <mergeCell ref="S291:S292"/>
    <mergeCell ref="U288:U289"/>
    <mergeCell ref="S476:S479"/>
    <mergeCell ref="T476:T479"/>
    <mergeCell ref="S246:S247"/>
    <mergeCell ref="S248:S257"/>
    <mergeCell ref="S236:S245"/>
    <mergeCell ref="S268:S269"/>
    <mergeCell ref="S464:S470"/>
    <mergeCell ref="T295:T296"/>
    <mergeCell ref="S281:S282"/>
    <mergeCell ref="T281:T282"/>
    <mergeCell ref="S307:S308"/>
    <mergeCell ref="T307:T308"/>
    <mergeCell ref="T422:T424"/>
    <mergeCell ref="S265:S267"/>
    <mergeCell ref="S288:S289"/>
    <mergeCell ref="T288:T289"/>
    <mergeCell ref="T408:T412"/>
    <mergeCell ref="S346:S348"/>
    <mergeCell ref="S442:S445"/>
    <mergeCell ref="T359:T360"/>
    <mergeCell ref="T350:T353"/>
    <mergeCell ref="T354:T357"/>
    <mergeCell ref="S350:S353"/>
    <mergeCell ref="S354:S357"/>
    <mergeCell ref="U336:U343"/>
    <mergeCell ref="U350:U353"/>
    <mergeCell ref="U354:U357"/>
    <mergeCell ref="U359:U360"/>
    <mergeCell ref="U361:U367"/>
    <mergeCell ref="U344:U345"/>
    <mergeCell ref="U346:U348"/>
    <mergeCell ref="S430:S435"/>
    <mergeCell ref="T430:T435"/>
    <mergeCell ref="S378:S379"/>
    <mergeCell ref="S368:S369"/>
    <mergeCell ref="T414:T418"/>
    <mergeCell ref="T404:T407"/>
    <mergeCell ref="S414:S418"/>
    <mergeCell ref="S404:S407"/>
    <mergeCell ref="S359:S360"/>
    <mergeCell ref="T344:T345"/>
    <mergeCell ref="T346:T348"/>
    <mergeCell ref="T361:T367"/>
    <mergeCell ref="S344:S345"/>
    <mergeCell ref="U291:U292"/>
    <mergeCell ref="S361:S367"/>
    <mergeCell ref="S375:S377"/>
    <mergeCell ref="S370:S372"/>
    <mergeCell ref="U430:U435"/>
    <mergeCell ref="T394:T398"/>
    <mergeCell ref="T391:T393"/>
    <mergeCell ref="T378:T379"/>
    <mergeCell ref="T380:T381"/>
    <mergeCell ref="T373:T374"/>
    <mergeCell ref="T368:T369"/>
    <mergeCell ref="U414:U418"/>
    <mergeCell ref="U422:U424"/>
    <mergeCell ref="U404:U407"/>
    <mergeCell ref="T375:T377"/>
    <mergeCell ref="U310:U311"/>
    <mergeCell ref="U295:U296"/>
    <mergeCell ref="U408:U412"/>
    <mergeCell ref="T370:T372"/>
    <mergeCell ref="U389:U390"/>
    <mergeCell ref="U391:U393"/>
    <mergeCell ref="S408:S412"/>
    <mergeCell ref="T389:T390"/>
    <mergeCell ref="U303:U304"/>
    <mergeCell ref="U134:U138"/>
    <mergeCell ref="T143:T144"/>
    <mergeCell ref="U476:U479"/>
    <mergeCell ref="S198:S199"/>
    <mergeCell ref="T198:T199"/>
    <mergeCell ref="S215:S217"/>
    <mergeCell ref="T215:T217"/>
    <mergeCell ref="S219:S221"/>
    <mergeCell ref="T219:T221"/>
    <mergeCell ref="T203:T204"/>
    <mergeCell ref="U198:U199"/>
    <mergeCell ref="U206:U209"/>
    <mergeCell ref="S206:S209"/>
    <mergeCell ref="T206:T209"/>
    <mergeCell ref="U203:U204"/>
    <mergeCell ref="S422:S424"/>
    <mergeCell ref="S258:S261"/>
    <mergeCell ref="T258:T261"/>
    <mergeCell ref="U215:U217"/>
    <mergeCell ref="U219:U221"/>
    <mergeCell ref="T442:T445"/>
    <mergeCell ref="U307:U308"/>
    <mergeCell ref="U281:U282"/>
    <mergeCell ref="U442:U445"/>
    <mergeCell ref="U193:U195"/>
    <mergeCell ref="T183:T184"/>
    <mergeCell ref="U183:U184"/>
    <mergeCell ref="T28:T33"/>
    <mergeCell ref="U28:U33"/>
    <mergeCell ref="U143:U144"/>
    <mergeCell ref="S28:S33"/>
    <mergeCell ref="T101:T105"/>
    <mergeCell ref="T118:T120"/>
    <mergeCell ref="U101:U105"/>
    <mergeCell ref="U118:U120"/>
    <mergeCell ref="T125:T128"/>
    <mergeCell ref="U125:U128"/>
    <mergeCell ref="T74:T79"/>
    <mergeCell ref="S74:S79"/>
    <mergeCell ref="U74:U79"/>
    <mergeCell ref="T63:T64"/>
    <mergeCell ref="S118:S120"/>
    <mergeCell ref="S125:S128"/>
    <mergeCell ref="U63:U64"/>
    <mergeCell ref="S177:S178"/>
    <mergeCell ref="T139:T140"/>
    <mergeCell ref="U139:U140"/>
    <mergeCell ref="T134:T138"/>
    <mergeCell ref="U246:U247"/>
    <mergeCell ref="U236:U245"/>
    <mergeCell ref="T236:T245"/>
    <mergeCell ref="T246:T247"/>
    <mergeCell ref="U248:U257"/>
    <mergeCell ref="T262:T264"/>
    <mergeCell ref="T268:T269"/>
    <mergeCell ref="U258:U261"/>
    <mergeCell ref="T248:T257"/>
    <mergeCell ref="T265:T267"/>
    <mergeCell ref="U262:U264"/>
    <mergeCell ref="U265:U267"/>
    <mergeCell ref="U268:U269"/>
    <mergeCell ref="U150:U151"/>
    <mergeCell ref="T152:T153"/>
    <mergeCell ref="U152:U153"/>
    <mergeCell ref="U190:U191"/>
    <mergeCell ref="T160:T163"/>
    <mergeCell ref="U160:U163"/>
    <mergeCell ref="T154:T156"/>
    <mergeCell ref="T175:T176"/>
    <mergeCell ref="T177:T178"/>
    <mergeCell ref="U154:U156"/>
    <mergeCell ref="U175:U176"/>
    <mergeCell ref="U177:U178"/>
    <mergeCell ref="U172:U174"/>
    <mergeCell ref="U169:U171"/>
    <mergeCell ref="T172:T174"/>
    <mergeCell ref="T169:T171"/>
    <mergeCell ref="H422:H424"/>
    <mergeCell ref="A436:G436"/>
    <mergeCell ref="K404:K405"/>
    <mergeCell ref="I404:I405"/>
    <mergeCell ref="I422:I424"/>
    <mergeCell ref="U464:U470"/>
    <mergeCell ref="T464:T470"/>
    <mergeCell ref="U394:U398"/>
    <mergeCell ref="U368:U369"/>
    <mergeCell ref="U370:U372"/>
    <mergeCell ref="U373:U374"/>
    <mergeCell ref="U375:U377"/>
    <mergeCell ref="U378:U379"/>
    <mergeCell ref="U380:U381"/>
    <mergeCell ref="S134:S138"/>
    <mergeCell ref="S160:S163"/>
    <mergeCell ref="S172:S174"/>
    <mergeCell ref="S169:S171"/>
    <mergeCell ref="S154:S156"/>
    <mergeCell ref="S139:S140"/>
    <mergeCell ref="T190:T191"/>
    <mergeCell ref="T193:T195"/>
    <mergeCell ref="T336:T343"/>
    <mergeCell ref="T150:T151"/>
    <mergeCell ref="T291:T292"/>
    <mergeCell ref="S295:S296"/>
    <mergeCell ref="T303:T304"/>
    <mergeCell ref="T310:T311"/>
    <mergeCell ref="C3:AI3"/>
    <mergeCell ref="A5:A6"/>
    <mergeCell ref="AJ464:AJ470"/>
    <mergeCell ref="AJ476:AJ479"/>
    <mergeCell ref="AK476:AK479"/>
    <mergeCell ref="AK464:AK470"/>
    <mergeCell ref="M5:P5"/>
    <mergeCell ref="Q5:Q6"/>
    <mergeCell ref="R5:R6"/>
    <mergeCell ref="S5:U5"/>
    <mergeCell ref="V5:AH5"/>
    <mergeCell ref="AI5:AI6"/>
    <mergeCell ref="I5:L5"/>
    <mergeCell ref="B5:C5"/>
    <mergeCell ref="D5:E5"/>
    <mergeCell ref="F5:G5"/>
    <mergeCell ref="H5:H6"/>
    <mergeCell ref="J404:J405"/>
    <mergeCell ref="J422:J424"/>
    <mergeCell ref="L404:L405"/>
    <mergeCell ref="L422:L424"/>
    <mergeCell ref="H404:H405"/>
    <mergeCell ref="G475:L475"/>
    <mergeCell ref="K422:K424"/>
  </mergeCells>
  <phoneticPr fontId="9" type="noConversion"/>
  <conditionalFormatting sqref="O336">
    <cfRule type="duplicateValues" dxfId="61" priority="74"/>
  </conditionalFormatting>
  <conditionalFormatting sqref="O344">
    <cfRule type="duplicateValues" dxfId="60" priority="72"/>
  </conditionalFormatting>
  <conditionalFormatting sqref="O344">
    <cfRule type="duplicateValues" dxfId="59" priority="73"/>
  </conditionalFormatting>
  <conditionalFormatting sqref="O351">
    <cfRule type="duplicateValues" dxfId="58" priority="70"/>
  </conditionalFormatting>
  <conditionalFormatting sqref="O351">
    <cfRule type="duplicateValues" dxfId="57" priority="71"/>
  </conditionalFormatting>
  <conditionalFormatting sqref="O140">
    <cfRule type="duplicateValues" dxfId="56" priority="68"/>
  </conditionalFormatting>
  <conditionalFormatting sqref="O170">
    <cfRule type="duplicateValues" dxfId="55" priority="67"/>
  </conditionalFormatting>
  <conditionalFormatting sqref="O171">
    <cfRule type="duplicateValues" dxfId="54" priority="66"/>
  </conditionalFormatting>
  <conditionalFormatting sqref="O315">
    <cfRule type="duplicateValues" dxfId="53" priority="64"/>
  </conditionalFormatting>
  <conditionalFormatting sqref="O315">
    <cfRule type="duplicateValues" dxfId="52" priority="65"/>
  </conditionalFormatting>
  <conditionalFormatting sqref="O173">
    <cfRule type="duplicateValues" dxfId="51" priority="63"/>
  </conditionalFormatting>
  <conditionalFormatting sqref="O174">
    <cfRule type="duplicateValues" dxfId="50" priority="59"/>
  </conditionalFormatting>
  <conditionalFormatting sqref="O174">
    <cfRule type="duplicateValues" dxfId="49" priority="60"/>
  </conditionalFormatting>
  <conditionalFormatting sqref="O174">
    <cfRule type="duplicateValues" dxfId="48" priority="61"/>
  </conditionalFormatting>
  <conditionalFormatting sqref="O178">
    <cfRule type="duplicateValues" dxfId="47" priority="57"/>
  </conditionalFormatting>
  <conditionalFormatting sqref="O178">
    <cfRule type="duplicateValues" dxfId="46" priority="58"/>
  </conditionalFormatting>
  <conditionalFormatting sqref="O179">
    <cfRule type="duplicateValues" dxfId="45" priority="55"/>
  </conditionalFormatting>
  <conditionalFormatting sqref="O179">
    <cfRule type="duplicateValues" dxfId="44" priority="56"/>
  </conditionalFormatting>
  <conditionalFormatting sqref="O181">
    <cfRule type="duplicateValues" dxfId="43" priority="52"/>
  </conditionalFormatting>
  <conditionalFormatting sqref="O181">
    <cfRule type="duplicateValues" dxfId="42" priority="53"/>
  </conditionalFormatting>
  <conditionalFormatting sqref="O190">
    <cfRule type="duplicateValues" dxfId="41" priority="50"/>
  </conditionalFormatting>
  <conditionalFormatting sqref="O190">
    <cfRule type="duplicateValues" dxfId="40" priority="51"/>
  </conditionalFormatting>
  <conditionalFormatting sqref="O191">
    <cfRule type="duplicateValues" dxfId="39" priority="48"/>
  </conditionalFormatting>
  <conditionalFormatting sqref="O191">
    <cfRule type="duplicateValues" dxfId="38" priority="49"/>
  </conditionalFormatting>
  <conditionalFormatting sqref="O193">
    <cfRule type="duplicateValues" dxfId="37" priority="46"/>
  </conditionalFormatting>
  <conditionalFormatting sqref="O193">
    <cfRule type="duplicateValues" dxfId="36" priority="47"/>
  </conditionalFormatting>
  <conditionalFormatting sqref="O194">
    <cfRule type="duplicateValues" dxfId="35" priority="44"/>
  </conditionalFormatting>
  <conditionalFormatting sqref="O194">
    <cfRule type="duplicateValues" dxfId="34" priority="45"/>
  </conditionalFormatting>
  <conditionalFormatting sqref="O352">
    <cfRule type="duplicateValues" dxfId="33" priority="42"/>
  </conditionalFormatting>
  <conditionalFormatting sqref="O352">
    <cfRule type="duplicateValues" dxfId="32" priority="43"/>
  </conditionalFormatting>
  <conditionalFormatting sqref="O172">
    <cfRule type="duplicateValues" dxfId="31" priority="75"/>
  </conditionalFormatting>
  <conditionalFormatting sqref="M140">
    <cfRule type="duplicateValues" dxfId="30" priority="31"/>
  </conditionalFormatting>
  <conditionalFormatting sqref="M170">
    <cfRule type="duplicateValues" dxfId="29" priority="30"/>
  </conditionalFormatting>
  <conditionalFormatting sqref="M171">
    <cfRule type="duplicateValues" dxfId="28" priority="29"/>
  </conditionalFormatting>
  <conditionalFormatting sqref="M172">
    <cfRule type="duplicateValues" dxfId="27" priority="28"/>
  </conditionalFormatting>
  <conditionalFormatting sqref="M173">
    <cfRule type="duplicateValues" dxfId="26" priority="27"/>
  </conditionalFormatting>
  <conditionalFormatting sqref="M174">
    <cfRule type="duplicateValues" dxfId="25" priority="24"/>
  </conditionalFormatting>
  <conditionalFormatting sqref="M174">
    <cfRule type="duplicateValues" dxfId="24" priority="25"/>
  </conditionalFormatting>
  <conditionalFormatting sqref="M174">
    <cfRule type="duplicateValues" dxfId="23" priority="26"/>
  </conditionalFormatting>
  <conditionalFormatting sqref="M178">
    <cfRule type="duplicateValues" dxfId="22" priority="22"/>
  </conditionalFormatting>
  <conditionalFormatting sqref="M178">
    <cfRule type="duplicateValues" dxfId="21" priority="23"/>
  </conditionalFormatting>
  <conditionalFormatting sqref="M179">
    <cfRule type="duplicateValues" dxfId="20" priority="20"/>
  </conditionalFormatting>
  <conditionalFormatting sqref="M179">
    <cfRule type="duplicateValues" dxfId="19" priority="21"/>
  </conditionalFormatting>
  <conditionalFormatting sqref="M181">
    <cfRule type="duplicateValues" dxfId="18" priority="18"/>
  </conditionalFormatting>
  <conditionalFormatting sqref="M181">
    <cfRule type="duplicateValues" dxfId="17" priority="19"/>
  </conditionalFormatting>
  <conditionalFormatting sqref="M190">
    <cfRule type="duplicateValues" dxfId="16" priority="16"/>
  </conditionalFormatting>
  <conditionalFormatting sqref="M190">
    <cfRule type="duplicateValues" dxfId="15" priority="17"/>
  </conditionalFormatting>
  <conditionalFormatting sqref="M191">
    <cfRule type="duplicateValues" dxfId="14" priority="14"/>
  </conditionalFormatting>
  <conditionalFormatting sqref="M191">
    <cfRule type="duplicateValues" dxfId="13" priority="15"/>
  </conditionalFormatting>
  <conditionalFormatting sqref="M193">
    <cfRule type="duplicateValues" dxfId="12" priority="12"/>
  </conditionalFormatting>
  <conditionalFormatting sqref="M193">
    <cfRule type="duplicateValues" dxfId="11" priority="13"/>
  </conditionalFormatting>
  <conditionalFormatting sqref="M194">
    <cfRule type="duplicateValues" dxfId="10" priority="10"/>
  </conditionalFormatting>
  <conditionalFormatting sqref="M194">
    <cfRule type="duplicateValues" dxfId="9" priority="11"/>
  </conditionalFormatting>
  <conditionalFormatting sqref="M315">
    <cfRule type="duplicateValues" dxfId="8" priority="8"/>
  </conditionalFormatting>
  <conditionalFormatting sqref="M315">
    <cfRule type="duplicateValues" dxfId="7" priority="9"/>
  </conditionalFormatting>
  <conditionalFormatting sqref="M336">
    <cfRule type="duplicateValues" dxfId="6" priority="7"/>
  </conditionalFormatting>
  <conditionalFormatting sqref="M344">
    <cfRule type="duplicateValues" dxfId="5" priority="5"/>
  </conditionalFormatting>
  <conditionalFormatting sqref="M344">
    <cfRule type="duplicateValues" dxfId="4" priority="6"/>
  </conditionalFormatting>
  <conditionalFormatting sqref="M351">
    <cfRule type="duplicateValues" dxfId="3" priority="3"/>
  </conditionalFormatting>
  <conditionalFormatting sqref="M351">
    <cfRule type="duplicateValues" dxfId="2" priority="4"/>
  </conditionalFormatting>
  <conditionalFormatting sqref="M352">
    <cfRule type="duplicateValues" dxfId="1" priority="1"/>
  </conditionalFormatting>
  <conditionalFormatting sqref="M352">
    <cfRule type="duplicateValues" dxfId="0" priority="2"/>
  </conditionalFormatting>
  <pageMargins left="0.7" right="0.7" top="0.75" bottom="0.75" header="0.3" footer="0.3"/>
  <pageSetup orientation="portrait" horizontalDpi="360" verticalDpi="360" r:id="rId1"/>
  <ignoredErrors>
    <ignoredError sqref="O68 O56 K56 K79 K83 O139:O141 O143:O144 O150:O153 O154:O155 O160:O162 O163 O169:O179 O181 O183:O184 O186 O188 O190:O191 O194:O195 O198:O199 O213 O215:O217 O219:O221 K328:K330 O329:O330 O83 O15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6"/>
  <sheetViews>
    <sheetView showGridLines="0" zoomScale="60" zoomScaleNormal="60" workbookViewId="0">
      <selection activeCell="B11" sqref="B11"/>
    </sheetView>
  </sheetViews>
  <sheetFormatPr baseColWidth="10" defaultColWidth="11.42578125" defaultRowHeight="15" x14ac:dyDescent="0.2"/>
  <cols>
    <col min="1" max="1" width="12.5703125" style="1" customWidth="1"/>
    <col min="2" max="2" width="18" style="13" customWidth="1"/>
    <col min="3" max="3" width="13.85546875" style="13" customWidth="1"/>
    <col min="4" max="4" width="18.140625" style="13" customWidth="1"/>
    <col min="5" max="5" width="69.5703125" style="14" customWidth="1"/>
    <col min="6" max="6" width="33.140625" style="14" customWidth="1"/>
    <col min="7" max="7" width="35.28515625" style="14" customWidth="1"/>
    <col min="8" max="8" width="32.85546875" style="14" customWidth="1"/>
    <col min="9" max="9" width="34.5703125" style="14" customWidth="1"/>
    <col min="10" max="10" width="33.42578125" style="20" customWidth="1"/>
    <col min="11" max="11" width="18.85546875" style="4" customWidth="1"/>
    <col min="12" max="12" width="16.140625" style="4" customWidth="1"/>
    <col min="13" max="16" width="11.42578125" style="4"/>
    <col min="17" max="16384" width="11.42578125" style="1"/>
  </cols>
  <sheetData>
    <row r="1" spans="1:16" ht="42" customHeight="1" x14ac:dyDescent="0.2">
      <c r="A1" s="642" t="s">
        <v>1435</v>
      </c>
      <c r="B1" s="643"/>
      <c r="C1" s="643"/>
      <c r="D1" s="643"/>
      <c r="E1" s="643"/>
      <c r="F1" s="643"/>
      <c r="G1" s="643"/>
      <c r="H1" s="643"/>
      <c r="I1" s="643"/>
    </row>
    <row r="2" spans="1:16" ht="27.75" customHeight="1" x14ac:dyDescent="0.2">
      <c r="A2" s="643"/>
      <c r="B2" s="643"/>
      <c r="C2" s="643"/>
      <c r="D2" s="643"/>
      <c r="E2" s="643"/>
      <c r="F2" s="643"/>
      <c r="G2" s="643"/>
      <c r="H2" s="643"/>
      <c r="I2" s="643"/>
    </row>
    <row r="3" spans="1:16" ht="27.75" customHeight="1" x14ac:dyDescent="0.2">
      <c r="A3" s="643"/>
      <c r="B3" s="643"/>
      <c r="C3" s="643"/>
      <c r="D3" s="643"/>
      <c r="E3" s="643"/>
      <c r="F3" s="643"/>
      <c r="G3" s="643"/>
      <c r="H3" s="643"/>
      <c r="I3" s="643"/>
    </row>
    <row r="4" spans="1:16" ht="24.75" customHeight="1" x14ac:dyDescent="0.2">
      <c r="B4" s="31"/>
      <c r="C4" s="32"/>
      <c r="D4" s="32"/>
      <c r="E4" s="32"/>
      <c r="F4" s="32"/>
      <c r="G4" s="32"/>
      <c r="H4" s="32"/>
      <c r="I4" s="32"/>
    </row>
    <row r="5" spans="1:16" s="7" customFormat="1" ht="69" customHeight="1" x14ac:dyDescent="0.25">
      <c r="A5" s="60" t="s">
        <v>6</v>
      </c>
      <c r="B5" s="60" t="s">
        <v>7</v>
      </c>
      <c r="C5" s="60" t="s">
        <v>8</v>
      </c>
      <c r="D5" s="647" t="s">
        <v>9</v>
      </c>
      <c r="E5" s="648"/>
      <c r="F5" s="644" t="s">
        <v>1396</v>
      </c>
      <c r="G5" s="645"/>
      <c r="H5" s="645"/>
      <c r="I5" s="646"/>
      <c r="J5" s="106"/>
      <c r="K5" s="6"/>
      <c r="L5" s="6"/>
      <c r="M5" s="6"/>
      <c r="N5" s="6"/>
      <c r="O5" s="6"/>
      <c r="P5" s="6"/>
    </row>
    <row r="6" spans="1:16" ht="15.75" x14ac:dyDescent="0.2">
      <c r="A6" s="437"/>
      <c r="B6" s="438"/>
      <c r="C6" s="438"/>
      <c r="D6" s="438"/>
      <c r="E6" s="439"/>
      <c r="F6" s="649" t="s">
        <v>9</v>
      </c>
      <c r="G6" s="649" t="s">
        <v>8</v>
      </c>
      <c r="H6" s="651" t="s">
        <v>1397</v>
      </c>
      <c r="I6" s="440" t="s">
        <v>6</v>
      </c>
    </row>
    <row r="7" spans="1:16" s="9" customFormat="1" ht="26.25" customHeight="1" x14ac:dyDescent="0.25">
      <c r="A7" s="40" t="s">
        <v>45</v>
      </c>
      <c r="B7" s="42"/>
      <c r="C7" s="42"/>
      <c r="D7" s="42"/>
      <c r="E7" s="43"/>
      <c r="F7" s="650"/>
      <c r="G7" s="650"/>
      <c r="H7" s="652"/>
      <c r="I7" s="46">
        <f>H8</f>
        <v>176000000</v>
      </c>
      <c r="J7" s="8"/>
      <c r="K7" s="8"/>
      <c r="L7" s="8"/>
      <c r="M7" s="8"/>
      <c r="N7" s="8"/>
      <c r="O7" s="8"/>
      <c r="P7" s="8"/>
    </row>
    <row r="8" spans="1:16" s="9" customFormat="1" ht="21.75" customHeight="1" x14ac:dyDescent="0.25">
      <c r="A8" s="115"/>
      <c r="B8" s="116">
        <f>'POAI -MARZO-2021'!B9</f>
        <v>4</v>
      </c>
      <c r="C8" s="61" t="str">
        <f>'POAI -MARZO-2021'!C9</f>
        <v xml:space="preserve">LIDERAZGO, GOBERNABILIDAD Y TRANSPARENCIA </v>
      </c>
      <c r="D8" s="61"/>
      <c r="E8" s="61"/>
      <c r="F8" s="476"/>
      <c r="G8" s="476"/>
      <c r="H8" s="477">
        <f>G9</f>
        <v>176000000</v>
      </c>
      <c r="I8" s="61"/>
      <c r="J8" s="8"/>
      <c r="K8" s="8"/>
      <c r="L8" s="8"/>
      <c r="M8" s="8"/>
      <c r="N8" s="8"/>
      <c r="O8" s="8"/>
      <c r="P8" s="8"/>
    </row>
    <row r="9" spans="1:16" ht="25.5" customHeight="1" x14ac:dyDescent="0.2">
      <c r="A9" s="133"/>
      <c r="B9" s="71"/>
      <c r="C9" s="64">
        <f>'POAI -MARZO-2021'!D10</f>
        <v>45</v>
      </c>
      <c r="D9" s="62" t="str">
        <f>'POAI -MARZO-2021'!E10</f>
        <v>Gobierno territorial</v>
      </c>
      <c r="E9" s="478"/>
      <c r="F9" s="478"/>
      <c r="G9" s="479">
        <f>SUM(F10:F11)</f>
        <v>176000000</v>
      </c>
      <c r="H9" s="480"/>
      <c r="I9" s="478"/>
    </row>
    <row r="10" spans="1:16" ht="70.5" customHeight="1" x14ac:dyDescent="0.2">
      <c r="A10" s="133"/>
      <c r="B10" s="71"/>
      <c r="C10" s="71"/>
      <c r="D10" s="244">
        <f>'POAI -MARZO-2021'!F11</f>
        <v>4599</v>
      </c>
      <c r="E10" s="364" t="str">
        <f>'POAI -MARZO-2021'!G11</f>
        <v>Fortalecimiento a la gestión y dirección de la administración pública territorial "Quindío con una administración al servicio de la ciudadanía "</v>
      </c>
      <c r="F10" s="252">
        <f>'POAI -MARZO-2021'!AF11</f>
        <v>136000000</v>
      </c>
      <c r="G10" s="252"/>
      <c r="H10" s="252"/>
      <c r="I10" s="252"/>
    </row>
    <row r="11" spans="1:16" ht="53.25" customHeight="1" x14ac:dyDescent="0.2">
      <c r="A11" s="133"/>
      <c r="B11" s="71"/>
      <c r="C11" s="71"/>
      <c r="D11" s="244">
        <f>'POAI -MARZO-2021'!F15</f>
        <v>4502</v>
      </c>
      <c r="E11" s="364" t="str">
        <f>'POAI -MARZO-2021'!G15</f>
        <v>Fortalecimiento del buen gobierno para el respeto y garantía de los derechos humanos. "Quindío integrado y participativo"</v>
      </c>
      <c r="F11" s="115">
        <f>'POAI -MARZO-2021'!AF15</f>
        <v>40000000</v>
      </c>
      <c r="G11" s="115"/>
      <c r="H11" s="115"/>
      <c r="I11" s="115"/>
    </row>
    <row r="12" spans="1:16" ht="15.75" x14ac:dyDescent="0.2">
      <c r="A12" s="133"/>
      <c r="B12" s="71"/>
      <c r="C12" s="71"/>
      <c r="D12" s="71"/>
      <c r="E12" s="510"/>
      <c r="F12" s="510"/>
      <c r="G12" s="510"/>
      <c r="H12" s="510"/>
      <c r="I12" s="510"/>
    </row>
    <row r="13" spans="1:16" s="9" customFormat="1" ht="30.75" customHeight="1" x14ac:dyDescent="0.25">
      <c r="A13" s="41" t="s">
        <v>83</v>
      </c>
      <c r="B13" s="42"/>
      <c r="C13" s="42"/>
      <c r="D13" s="42"/>
      <c r="E13" s="43"/>
      <c r="F13" s="43"/>
      <c r="G13" s="43"/>
      <c r="H13" s="43"/>
      <c r="I13" s="43">
        <f>H14</f>
        <v>983000000</v>
      </c>
      <c r="J13" s="8"/>
      <c r="K13" s="8"/>
      <c r="L13" s="8"/>
      <c r="M13" s="8"/>
      <c r="N13" s="8"/>
      <c r="O13" s="8"/>
      <c r="P13" s="8"/>
    </row>
    <row r="14" spans="1:16" ht="25.5" customHeight="1" x14ac:dyDescent="0.2">
      <c r="A14" s="133"/>
      <c r="B14" s="116">
        <f>'POAI -MARZO-2021'!B19</f>
        <v>4</v>
      </c>
      <c r="C14" s="61" t="str">
        <f>'POAI -MARZO-2021'!D19</f>
        <v xml:space="preserve">LIDERAZGO, GOBERNABILIDAD Y TRANSPARENCIA </v>
      </c>
      <c r="D14" s="61"/>
      <c r="E14" s="61"/>
      <c r="F14" s="61"/>
      <c r="G14" s="61"/>
      <c r="H14" s="477">
        <f>G15</f>
        <v>983000000</v>
      </c>
      <c r="I14" s="61"/>
    </row>
    <row r="15" spans="1:16" ht="25.5" customHeight="1" x14ac:dyDescent="0.2">
      <c r="A15" s="133"/>
      <c r="B15" s="71"/>
      <c r="C15" s="64">
        <f>'POAI -MARZO-2021'!D20</f>
        <v>45</v>
      </c>
      <c r="D15" s="62" t="str">
        <f>'POAI -MARZO-2021'!E20</f>
        <v>Gobierno territorial</v>
      </c>
      <c r="E15" s="478"/>
      <c r="F15" s="478"/>
      <c r="G15" s="479">
        <f>SUM(F16:F17)</f>
        <v>983000000</v>
      </c>
      <c r="H15" s="480"/>
      <c r="I15" s="478"/>
    </row>
    <row r="16" spans="1:16" ht="56.25" customHeight="1" x14ac:dyDescent="0.2">
      <c r="A16" s="133"/>
      <c r="B16" s="71"/>
      <c r="C16" s="71"/>
      <c r="D16" s="244">
        <f>'POAI -MARZO-2021'!F21</f>
        <v>4502</v>
      </c>
      <c r="E16" s="364" t="str">
        <f>'POAI -MARZO-2021'!G21</f>
        <v>Fortalecimiento del buen gobierno para el respeto y garantía de los derechos humanos. "Quindío integrado y participativo"</v>
      </c>
      <c r="F16" s="252">
        <f>'POAI -MARZO-2021'!AF21</f>
        <v>175000000</v>
      </c>
      <c r="G16" s="252"/>
      <c r="H16" s="252"/>
      <c r="I16" s="252"/>
      <c r="J16" s="21"/>
      <c r="K16" s="1"/>
      <c r="L16" s="1"/>
      <c r="M16" s="1"/>
      <c r="N16" s="1"/>
      <c r="O16" s="1"/>
      <c r="P16" s="1"/>
    </row>
    <row r="17" spans="1:16" ht="56.25" customHeight="1" x14ac:dyDescent="0.2">
      <c r="A17" s="133"/>
      <c r="B17" s="71"/>
      <c r="C17" s="71"/>
      <c r="D17" s="244">
        <f>'POAI -MARZO-2021'!F24</f>
        <v>4599</v>
      </c>
      <c r="E17" s="364" t="str">
        <f>'POAI -MARZO-2021'!G24</f>
        <v>Fortalecimiento a la gestión y dirección de la administración pública territorial "Quindío con una administración al servicio de la ciudadanía "</v>
      </c>
      <c r="F17" s="252">
        <f>'POAI -MARZO-2021'!AF24</f>
        <v>808000000</v>
      </c>
      <c r="G17" s="252"/>
      <c r="H17" s="252"/>
      <c r="I17" s="252"/>
      <c r="J17" s="21"/>
      <c r="K17" s="1"/>
      <c r="L17" s="1"/>
      <c r="M17" s="1"/>
      <c r="N17" s="1"/>
      <c r="O17" s="1"/>
      <c r="P17" s="1"/>
    </row>
    <row r="18" spans="1:16" ht="18" customHeight="1" x14ac:dyDescent="0.2"/>
    <row r="19" spans="1:16" ht="31.5" customHeight="1" x14ac:dyDescent="0.2">
      <c r="A19" s="44" t="s">
        <v>1398</v>
      </c>
      <c r="B19" s="45"/>
      <c r="C19" s="45"/>
      <c r="D19" s="45"/>
      <c r="E19" s="46"/>
      <c r="F19" s="46"/>
      <c r="G19" s="46"/>
      <c r="H19" s="46"/>
      <c r="I19" s="46">
        <f>F22</f>
        <v>2593395879</v>
      </c>
    </row>
    <row r="20" spans="1:16" ht="24" customHeight="1" x14ac:dyDescent="0.2">
      <c r="A20" s="133"/>
      <c r="B20" s="116">
        <f>'POAI -MARZO-2021'!B37</f>
        <v>4</v>
      </c>
      <c r="C20" s="61" t="str">
        <f>'POAI -MARZO-2021'!D37</f>
        <v xml:space="preserve">LIDERAZGO, GOBERNABILIDAD Y TRANSPARENCIA </v>
      </c>
      <c r="D20" s="61"/>
      <c r="E20" s="61"/>
      <c r="F20" s="61"/>
      <c r="G20" s="61"/>
      <c r="H20" s="476">
        <f>G21</f>
        <v>2593395879</v>
      </c>
      <c r="I20" s="61"/>
    </row>
    <row r="21" spans="1:16" ht="25.5" customHeight="1" x14ac:dyDescent="0.2">
      <c r="A21" s="133"/>
      <c r="B21" s="71"/>
      <c r="C21" s="64">
        <f>'POAI -MARZO-2021'!D38</f>
        <v>45</v>
      </c>
      <c r="D21" s="62" t="str">
        <f>'POAI -MARZO-2021'!E38</f>
        <v>Gobierno territorial</v>
      </c>
      <c r="E21" s="478"/>
      <c r="F21" s="478"/>
      <c r="G21" s="479">
        <f>SUM(F22)</f>
        <v>2593395879</v>
      </c>
      <c r="H21" s="480"/>
      <c r="I21" s="478"/>
    </row>
    <row r="22" spans="1:16" ht="70.5" customHeight="1" x14ac:dyDescent="0.2">
      <c r="A22" s="133"/>
      <c r="B22" s="71"/>
      <c r="C22" s="71"/>
      <c r="D22" s="244">
        <f>'POAI -MARZO-2021'!F39</f>
        <v>4599</v>
      </c>
      <c r="E22" s="364" t="str">
        <f>'POAI -MARZO-2021'!G39</f>
        <v>Fortalecimiento a la gestión y dirección de la administración pública territorial "Quindío con una administración al servicio de la ciudadanía "</v>
      </c>
      <c r="F22" s="252">
        <f>'POAI -MARZO-2021'!AI39</f>
        <v>2593395879</v>
      </c>
      <c r="G22" s="252"/>
      <c r="H22" s="252"/>
      <c r="I22" s="252"/>
    </row>
    <row r="23" spans="1:16" s="11" customFormat="1" x14ac:dyDescent="0.2">
      <c r="A23" s="1"/>
      <c r="B23" s="13"/>
      <c r="C23" s="13"/>
      <c r="D23" s="13"/>
      <c r="E23" s="14"/>
      <c r="F23" s="14"/>
      <c r="G23" s="14"/>
      <c r="H23" s="14"/>
      <c r="I23" s="14"/>
      <c r="J23" s="48"/>
      <c r="K23" s="18"/>
      <c r="L23" s="18"/>
      <c r="M23" s="18"/>
      <c r="N23" s="18"/>
      <c r="O23" s="18"/>
      <c r="P23" s="18"/>
    </row>
    <row r="24" spans="1:16" ht="30" customHeight="1" x14ac:dyDescent="0.2">
      <c r="A24" s="41" t="s">
        <v>151</v>
      </c>
      <c r="B24" s="42"/>
      <c r="C24" s="42"/>
      <c r="D24" s="42"/>
      <c r="E24" s="43"/>
      <c r="F24" s="43"/>
      <c r="G24" s="43"/>
      <c r="H24" s="43"/>
      <c r="I24" s="43">
        <f>SUM(H25:H44)</f>
        <v>8074199883.1000004</v>
      </c>
    </row>
    <row r="25" spans="1:16" ht="25.5" customHeight="1" x14ac:dyDescent="0.2">
      <c r="A25" s="133"/>
      <c r="B25" s="116">
        <f>'POAI -MARZO-2021'!B44</f>
        <v>1</v>
      </c>
      <c r="C25" s="61" t="str">
        <f>'POAI -MARZO-2021'!D44</f>
        <v xml:space="preserve">INCLUSIÓN SOCIAL Y EQUIDAD </v>
      </c>
      <c r="D25" s="61"/>
      <c r="E25" s="61"/>
      <c r="F25" s="61"/>
      <c r="G25" s="61"/>
      <c r="H25" s="476">
        <f>SUM(G26:G34)</f>
        <v>4012080595</v>
      </c>
      <c r="I25" s="61"/>
    </row>
    <row r="26" spans="1:16" ht="25.5" customHeight="1" x14ac:dyDescent="0.2">
      <c r="A26" s="133"/>
      <c r="B26" s="71"/>
      <c r="C26" s="64">
        <f>'POAI -MARZO-2021'!D45</f>
        <v>12</v>
      </c>
      <c r="D26" s="62" t="str">
        <f>'POAI -MARZO-2021'!E45</f>
        <v>Justicia y del derecho</v>
      </c>
      <c r="E26" s="478"/>
      <c r="F26" s="478"/>
      <c r="G26" s="479">
        <f>F27</f>
        <v>24750000</v>
      </c>
      <c r="H26" s="480"/>
      <c r="I26" s="478"/>
    </row>
    <row r="27" spans="1:16" ht="61.5" customHeight="1" x14ac:dyDescent="0.2">
      <c r="A27" s="133"/>
      <c r="B27" s="71"/>
      <c r="C27" s="71"/>
      <c r="D27" s="71">
        <f>'POAI -MARZO-2021'!F46</f>
        <v>1202</v>
      </c>
      <c r="E27" s="364" t="str">
        <f>'POAI -MARZO-2021'!G46</f>
        <v>Promoción al acceso a la justicia. "Tú y yo con justicia"</v>
      </c>
      <c r="F27" s="252">
        <f>'POAI -MARZO-2021'!AI46</f>
        <v>24750000</v>
      </c>
      <c r="G27" s="252"/>
      <c r="H27" s="252"/>
      <c r="I27" s="252"/>
    </row>
    <row r="28" spans="1:16" ht="34.5" customHeight="1" x14ac:dyDescent="0.2">
      <c r="A28" s="133"/>
      <c r="B28" s="71"/>
      <c r="C28" s="64">
        <f>'POAI -MARZO-2021'!D48</f>
        <v>19</v>
      </c>
      <c r="D28" s="62" t="str">
        <f>'POAI -MARZO-2021'!E48</f>
        <v>Salud y protección social</v>
      </c>
      <c r="E28" s="478"/>
      <c r="F28" s="478"/>
      <c r="G28" s="479">
        <f>F29</f>
        <v>38000000</v>
      </c>
      <c r="H28" s="480"/>
      <c r="I28" s="478"/>
    </row>
    <row r="29" spans="1:16" ht="55.5" customHeight="1" x14ac:dyDescent="0.2">
      <c r="A29" s="133"/>
      <c r="B29" s="71"/>
      <c r="C29" s="71"/>
      <c r="D29" s="71">
        <f>'POAI -MARZO-2021'!F49</f>
        <v>1906</v>
      </c>
      <c r="E29" s="364" t="str">
        <f>'POAI -MARZO-2021'!G49</f>
        <v>Aseguramiento y Prestación integral de servicios de salud "Tú y yo con servicios de salud"</v>
      </c>
      <c r="F29" s="252">
        <f>'POAI -MARZO-2021'!AI49</f>
        <v>38000000</v>
      </c>
      <c r="G29" s="252"/>
      <c r="H29" s="252"/>
      <c r="I29" s="252"/>
    </row>
    <row r="30" spans="1:16" ht="36.75" customHeight="1" x14ac:dyDescent="0.2">
      <c r="A30" s="133"/>
      <c r="B30" s="71"/>
      <c r="C30" s="64">
        <f>'POAI -MARZO-2021'!D51</f>
        <v>22</v>
      </c>
      <c r="D30" s="481" t="str">
        <f>'POAI -MARZO-2021'!E51</f>
        <v>Educación</v>
      </c>
      <c r="E30" s="482"/>
      <c r="F30" s="478"/>
      <c r="G30" s="479">
        <f>F31</f>
        <v>2083257220</v>
      </c>
      <c r="H30" s="480"/>
      <c r="I30" s="478"/>
    </row>
    <row r="31" spans="1:16" ht="80.25" customHeight="1" x14ac:dyDescent="0.2">
      <c r="A31" s="133"/>
      <c r="B31" s="71"/>
      <c r="C31" s="71"/>
      <c r="D31" s="71">
        <f>'POAI -MARZO-2021'!F52</f>
        <v>2201</v>
      </c>
      <c r="E31" s="364" t="str">
        <f>'POAI -MARZO-2021'!G52</f>
        <v>Calidad, cobertura y fortalecimiento de la educación inicial, prescolar, básica y media." Tú y yo con educación y  calidad"</v>
      </c>
      <c r="F31" s="252">
        <f>'POAI -MARZO-2021'!AI52</f>
        <v>2083257220</v>
      </c>
      <c r="G31" s="252"/>
      <c r="H31" s="252"/>
      <c r="I31" s="252"/>
    </row>
    <row r="32" spans="1:16" ht="24.75" customHeight="1" x14ac:dyDescent="0.2">
      <c r="A32" s="133"/>
      <c r="B32" s="71"/>
      <c r="C32" s="64">
        <f>'POAI -MARZO-2021'!D54</f>
        <v>33</v>
      </c>
      <c r="D32" s="481" t="str">
        <f>'POAI -MARZO-2021'!E54</f>
        <v>Cultura</v>
      </c>
      <c r="E32" s="482"/>
      <c r="F32" s="478"/>
      <c r="G32" s="479">
        <f>F33</f>
        <v>30000000</v>
      </c>
      <c r="H32" s="480"/>
      <c r="I32" s="478"/>
    </row>
    <row r="33" spans="1:16" ht="63" customHeight="1" x14ac:dyDescent="0.2">
      <c r="A33" s="133"/>
      <c r="B33" s="71"/>
      <c r="C33" s="71"/>
      <c r="D33" s="71">
        <f>'POAI -MARZO-2021'!F55</f>
        <v>3301</v>
      </c>
      <c r="E33" s="364" t="str">
        <f>'POAI -MARZO-2021'!G55</f>
        <v>Promoción y acceso efectivo a procesos culturales y artísticos. "Tú y yo somos cultura Quindiana"</v>
      </c>
      <c r="F33" s="252">
        <f>'POAI -MARZO-2021'!AI55</f>
        <v>30000000</v>
      </c>
      <c r="G33" s="252"/>
      <c r="H33" s="252"/>
      <c r="I33" s="252"/>
      <c r="K33" s="36"/>
    </row>
    <row r="34" spans="1:16" ht="30.75" customHeight="1" x14ac:dyDescent="0.2">
      <c r="A34" s="133"/>
      <c r="B34" s="71"/>
      <c r="C34" s="64">
        <f>'POAI -MARZO-2021'!D57</f>
        <v>43</v>
      </c>
      <c r="D34" s="62" t="str">
        <f>'POAI -MARZO-2021'!E57</f>
        <v>Deporte y recreación</v>
      </c>
      <c r="E34" s="62"/>
      <c r="F34" s="478"/>
      <c r="G34" s="479">
        <f>F35</f>
        <v>1836073375</v>
      </c>
      <c r="H34" s="480"/>
      <c r="I34" s="478"/>
    </row>
    <row r="35" spans="1:16" ht="65.25" customHeight="1" x14ac:dyDescent="0.2">
      <c r="A35" s="133"/>
      <c r="B35" s="71"/>
      <c r="C35" s="71"/>
      <c r="D35" s="71">
        <f>'POAI -MARZO-2021'!F58</f>
        <v>4301</v>
      </c>
      <c r="E35" s="364" t="str">
        <f>'POAI -MARZO-2021'!G58</f>
        <v>Fomento a la recreación, la actividad física y el deporte para desarrollar entornos de convivencia y paz "Tú y yo en la recreación y en deporte"</v>
      </c>
      <c r="F35" s="252">
        <f>'POAI -MARZO-2021'!AI58</f>
        <v>1836073375</v>
      </c>
      <c r="G35" s="252"/>
      <c r="H35" s="252"/>
      <c r="I35" s="252"/>
      <c r="J35" s="21"/>
      <c r="K35" s="1"/>
      <c r="L35" s="1"/>
      <c r="M35" s="1"/>
      <c r="N35" s="1"/>
      <c r="O35" s="1"/>
      <c r="P35" s="1"/>
    </row>
    <row r="36" spans="1:16" ht="30" customHeight="1" x14ac:dyDescent="0.2">
      <c r="A36" s="133"/>
      <c r="B36" s="116">
        <f>'POAI -MARZO-2021'!B60</f>
        <v>3</v>
      </c>
      <c r="C36" s="61" t="str">
        <f>'POAI -MARZO-2021'!D60</f>
        <v xml:space="preserve">TERRITORIO, AMBIENTE Y DESARROLLO SOSTENIBLE </v>
      </c>
      <c r="D36" s="61"/>
      <c r="E36" s="61"/>
      <c r="F36" s="61"/>
      <c r="G36" s="61"/>
      <c r="H36" s="476">
        <f>SUM(G37:G41)</f>
        <v>3984119288.0999999</v>
      </c>
      <c r="I36" s="61"/>
      <c r="J36" s="21"/>
      <c r="K36" s="1"/>
      <c r="L36" s="1"/>
      <c r="M36" s="1"/>
      <c r="N36" s="1"/>
      <c r="O36" s="1"/>
      <c r="P36" s="1"/>
    </row>
    <row r="37" spans="1:16" ht="30.75" customHeight="1" x14ac:dyDescent="0.2">
      <c r="A37" s="133"/>
      <c r="B37" s="71"/>
      <c r="C37" s="483">
        <f>'POAI -MARZO-2021'!D61</f>
        <v>24</v>
      </c>
      <c r="D37" s="484" t="str">
        <f>'POAI -MARZO-2021'!E61</f>
        <v>Transporte</v>
      </c>
      <c r="E37" s="482"/>
      <c r="F37" s="478"/>
      <c r="G37" s="479">
        <f>F38</f>
        <v>390000000</v>
      </c>
      <c r="H37" s="480"/>
      <c r="I37" s="478"/>
    </row>
    <row r="38" spans="1:16" ht="59.25" customHeight="1" x14ac:dyDescent="0.2">
      <c r="A38" s="133"/>
      <c r="B38" s="71"/>
      <c r="C38" s="71"/>
      <c r="D38" s="71">
        <f>'POAI -MARZO-2021'!F62</f>
        <v>2402</v>
      </c>
      <c r="E38" s="364" t="str">
        <f>'POAI -MARZO-2021'!G62</f>
        <v>Infraestructura red vial regional. "Tú y yo con movilidad vial"</v>
      </c>
      <c r="F38" s="252">
        <f>'POAI -MARZO-2021'!AI62</f>
        <v>390000000</v>
      </c>
      <c r="G38" s="252"/>
      <c r="H38" s="252"/>
      <c r="I38" s="252"/>
      <c r="J38" s="21"/>
      <c r="K38" s="1"/>
      <c r="L38" s="1"/>
      <c r="M38" s="1"/>
      <c r="N38" s="1"/>
      <c r="O38" s="1"/>
      <c r="P38" s="1"/>
    </row>
    <row r="39" spans="1:16" ht="25.5" customHeight="1" x14ac:dyDescent="0.2">
      <c r="A39" s="133"/>
      <c r="B39" s="71"/>
      <c r="C39" s="64">
        <f>'POAI -MARZO-2021'!D66</f>
        <v>32</v>
      </c>
      <c r="D39" s="62" t="str">
        <f>'POAI -MARZO-2021'!E66</f>
        <v>Ambiente y desarrollo sostenible</v>
      </c>
      <c r="E39" s="62"/>
      <c r="F39" s="478"/>
      <c r="G39" s="479">
        <f>F40</f>
        <v>271108067</v>
      </c>
      <c r="H39" s="480"/>
      <c r="I39" s="478"/>
    </row>
    <row r="40" spans="1:16" ht="54.75" customHeight="1" x14ac:dyDescent="0.2">
      <c r="A40" s="133"/>
      <c r="B40" s="71"/>
      <c r="C40" s="71"/>
      <c r="D40" s="71">
        <f>'POAI -MARZO-2021'!F67</f>
        <v>3205</v>
      </c>
      <c r="E40" s="364" t="str">
        <f>'POAI -MARZO-2021'!G67</f>
        <v>Ordenamiento Ambiental Territorial. "Tú y yo planificamos con sentido ambiental"</v>
      </c>
      <c r="F40" s="252">
        <f>'POAI -MARZO-2021'!AI67</f>
        <v>271108067</v>
      </c>
      <c r="G40" s="252"/>
      <c r="H40" s="252"/>
      <c r="I40" s="252"/>
      <c r="J40" s="21"/>
      <c r="K40" s="1"/>
      <c r="L40" s="1"/>
      <c r="M40" s="1"/>
      <c r="N40" s="1"/>
      <c r="O40" s="1"/>
      <c r="P40" s="1"/>
    </row>
    <row r="41" spans="1:16" ht="25.5" customHeight="1" x14ac:dyDescent="0.2">
      <c r="A41" s="133"/>
      <c r="B41" s="71"/>
      <c r="C41" s="64">
        <f>'POAI -MARZO-2021'!D70</f>
        <v>40</v>
      </c>
      <c r="D41" s="62" t="str">
        <f>'POAI -MARZO-2021'!E70</f>
        <v>Vivienda, Ciudad y Territorio</v>
      </c>
      <c r="E41" s="482"/>
      <c r="F41" s="478"/>
      <c r="G41" s="479">
        <f>SUM(F42:F43)</f>
        <v>3323011221.0999999</v>
      </c>
      <c r="H41" s="480"/>
      <c r="I41" s="478"/>
    </row>
    <row r="42" spans="1:16" ht="48.75" customHeight="1" x14ac:dyDescent="0.2">
      <c r="A42" s="133"/>
      <c r="B42" s="71"/>
      <c r="C42" s="71"/>
      <c r="D42" s="71">
        <f>'POAI -MARZO-2021'!F71</f>
        <v>4001</v>
      </c>
      <c r="E42" s="364" t="str">
        <f>'POAI -MARZO-2021'!G71</f>
        <v>Acceso a soluciones de vivienda. "Tú y yo con vivienda digna"</v>
      </c>
      <c r="F42" s="252">
        <f>'POAI -MARZO-2021'!AI71</f>
        <v>120000000.09999999</v>
      </c>
      <c r="G42" s="252"/>
      <c r="H42" s="252"/>
      <c r="I42" s="252"/>
      <c r="J42" s="21"/>
      <c r="K42" s="1"/>
      <c r="L42" s="1"/>
      <c r="M42" s="1"/>
      <c r="N42" s="1"/>
      <c r="O42" s="1"/>
      <c r="P42" s="1"/>
    </row>
    <row r="43" spans="1:16" ht="59.25" customHeight="1" x14ac:dyDescent="0.2">
      <c r="A43" s="133"/>
      <c r="B43" s="71"/>
      <c r="C43" s="71"/>
      <c r="D43" s="71">
        <f>'POAI -MARZO-2021'!F73</f>
        <v>4003</v>
      </c>
      <c r="E43" s="364" t="str">
        <f>'POAI -MARZO-2021'!G73</f>
        <v>Acceso de la población a los servicios de agua potable y saneamiento básico. "Tú y yo con calidad del agua"</v>
      </c>
      <c r="F43" s="252">
        <f>'POAI -MARZO-2021'!AI73</f>
        <v>3203011221</v>
      </c>
      <c r="G43" s="252"/>
      <c r="H43" s="252"/>
      <c r="I43" s="252"/>
      <c r="J43" s="21"/>
      <c r="K43" s="1"/>
      <c r="L43" s="1"/>
      <c r="M43" s="1"/>
      <c r="N43" s="1"/>
      <c r="O43" s="1"/>
      <c r="P43" s="1"/>
    </row>
    <row r="44" spans="1:16" ht="25.5" customHeight="1" x14ac:dyDescent="0.2">
      <c r="A44" s="133"/>
      <c r="B44" s="116">
        <f>'POAI -MARZO-2021'!B80</f>
        <v>4</v>
      </c>
      <c r="C44" s="61" t="str">
        <f>'POAI -MARZO-2021'!D80</f>
        <v xml:space="preserve">LIDERAZGO, GOBERNABILIDAD Y TRANSPARENCIA </v>
      </c>
      <c r="D44" s="61"/>
      <c r="E44" s="61"/>
      <c r="F44" s="61"/>
      <c r="G44" s="61"/>
      <c r="H44" s="476">
        <f>G45</f>
        <v>78000000</v>
      </c>
      <c r="I44" s="61"/>
      <c r="J44" s="21"/>
      <c r="K44" s="1"/>
      <c r="L44" s="1"/>
      <c r="M44" s="1"/>
      <c r="N44" s="1"/>
      <c r="O44" s="1"/>
      <c r="P44" s="1"/>
    </row>
    <row r="45" spans="1:16" ht="25.5" customHeight="1" x14ac:dyDescent="0.2">
      <c r="A45" s="133"/>
      <c r="B45" s="71"/>
      <c r="C45" s="64">
        <f>'POAI -MARZO-2021'!D81</f>
        <v>45</v>
      </c>
      <c r="D45" s="62" t="str">
        <f>'POAI -MARZO-2021'!E81</f>
        <v>Gobierno territorial</v>
      </c>
      <c r="E45" s="478"/>
      <c r="F45" s="478"/>
      <c r="G45" s="479">
        <f>SUM(F46:F47)</f>
        <v>78000000</v>
      </c>
      <c r="H45" s="480"/>
      <c r="I45" s="478"/>
    </row>
    <row r="46" spans="1:16" ht="66" customHeight="1" x14ac:dyDescent="0.2">
      <c r="A46" s="133"/>
      <c r="B46" s="71"/>
      <c r="C46" s="71"/>
      <c r="D46" s="71">
        <f>'POAI -MARZO-2021'!F82</f>
        <v>4599</v>
      </c>
      <c r="E46" s="364" t="str">
        <f>'POAI -MARZO-2021'!G82</f>
        <v>Fortalecimiento a la gestión y dirección de la administración pública territorial "Quindío con una administración al servicio de la ciudadanía "</v>
      </c>
      <c r="F46" s="252">
        <f>'POAI -MARZO-2021'!AI82</f>
        <v>40000000</v>
      </c>
      <c r="G46" s="252"/>
      <c r="H46" s="252"/>
      <c r="I46" s="252"/>
      <c r="J46" s="21"/>
      <c r="K46" s="1"/>
      <c r="L46" s="1"/>
      <c r="M46" s="1"/>
      <c r="N46" s="1"/>
      <c r="O46" s="1"/>
      <c r="P46" s="1"/>
    </row>
    <row r="47" spans="1:16" ht="53.25" customHeight="1" x14ac:dyDescent="0.2">
      <c r="A47" s="133"/>
      <c r="B47" s="71"/>
      <c r="C47" s="71"/>
      <c r="D47" s="71">
        <f>'POAI -MARZO-2021'!F84</f>
        <v>4502</v>
      </c>
      <c r="E47" s="364" t="str">
        <f>'POAI -MARZO-2021'!G84</f>
        <v>Fortalecimiento del buen gobierno para el respeto y garantía de los derechos humanos. "Quindío integrado y participativo"</v>
      </c>
      <c r="F47" s="252">
        <f>'POAI -MARZO-2021'!AI84</f>
        <v>38000000</v>
      </c>
      <c r="G47" s="252"/>
      <c r="H47" s="252"/>
      <c r="I47" s="252"/>
    </row>
    <row r="48" spans="1:16" s="11" customFormat="1" x14ac:dyDescent="0.2">
      <c r="A48" s="1"/>
      <c r="B48" s="13"/>
      <c r="C48" s="13"/>
      <c r="D48" s="13"/>
      <c r="E48" s="14"/>
      <c r="F48" s="14"/>
      <c r="G48" s="14"/>
      <c r="H48" s="14"/>
      <c r="I48" s="14"/>
      <c r="J48" s="48"/>
      <c r="K48" s="18"/>
      <c r="L48" s="18"/>
      <c r="M48" s="18"/>
      <c r="N48" s="18"/>
      <c r="O48" s="18"/>
      <c r="P48" s="18"/>
    </row>
    <row r="49" spans="1:16" ht="29.25" customHeight="1" x14ac:dyDescent="0.2">
      <c r="A49" s="41" t="s">
        <v>280</v>
      </c>
      <c r="B49" s="42"/>
      <c r="C49" s="42"/>
      <c r="D49" s="42"/>
      <c r="E49" s="43"/>
      <c r="F49" s="43"/>
      <c r="G49" s="43"/>
      <c r="H49" s="43"/>
      <c r="I49" s="43">
        <f>SUM(H50:H67)</f>
        <v>2819447380.3299999</v>
      </c>
    </row>
    <row r="50" spans="1:16" ht="21" customHeight="1" x14ac:dyDescent="0.2">
      <c r="A50" s="133"/>
      <c r="B50" s="116">
        <f>'POAI -MARZO-2021'!B88</f>
        <v>1</v>
      </c>
      <c r="C50" s="61" t="str">
        <f>'POAI -MARZO-2021'!D88</f>
        <v xml:space="preserve">INCLUSIÓN SOCIAL Y EQUIDAD </v>
      </c>
      <c r="D50" s="61"/>
      <c r="E50" s="61"/>
      <c r="F50" s="61"/>
      <c r="G50" s="61"/>
      <c r="H50" s="476">
        <f>SUM(G51:G60)</f>
        <v>2313447380.3299999</v>
      </c>
      <c r="I50" s="61"/>
    </row>
    <row r="51" spans="1:16" ht="25.5" customHeight="1" x14ac:dyDescent="0.2">
      <c r="A51" s="133"/>
      <c r="B51" s="71"/>
      <c r="C51" s="64">
        <f>'POAI -MARZO-2021'!D89</f>
        <v>12</v>
      </c>
      <c r="D51" s="62" t="str">
        <f>'POAI -MARZO-2021'!E89</f>
        <v>Justicia y del derecho</v>
      </c>
      <c r="E51" s="62"/>
      <c r="F51" s="478"/>
      <c r="G51" s="479">
        <f>SUM(F52:F54)</f>
        <v>186000000</v>
      </c>
      <c r="H51" s="480"/>
      <c r="I51" s="478"/>
    </row>
    <row r="52" spans="1:16" ht="34.5" customHeight="1" x14ac:dyDescent="0.2">
      <c r="A52" s="133"/>
      <c r="B52" s="71"/>
      <c r="C52" s="71"/>
      <c r="D52" s="71">
        <f>'POAI -MARZO-2021'!F90</f>
        <v>1202</v>
      </c>
      <c r="E52" s="364" t="str">
        <f>'POAI -MARZO-2021'!G90</f>
        <v>Promoción al acceso a la justicia. "Tú y yo con justicia"</v>
      </c>
      <c r="F52" s="252">
        <f>'POAI -MARZO-2021'!AI90</f>
        <v>114000000</v>
      </c>
      <c r="G52" s="252"/>
      <c r="H52" s="252"/>
      <c r="I52" s="252"/>
    </row>
    <row r="53" spans="1:16" ht="36.75" customHeight="1" x14ac:dyDescent="0.2">
      <c r="A53" s="133"/>
      <c r="B53" s="71"/>
      <c r="C53" s="71"/>
      <c r="D53" s="71">
        <f>'POAI -MARZO-2021'!F92</f>
        <v>1203</v>
      </c>
      <c r="E53" s="364" t="str">
        <f>'POAI -MARZO-2021'!G92</f>
        <v>Promoción de los métodos de resolución de conflictos. "Tú y yo resolvemos los conflictos"</v>
      </c>
      <c r="F53" s="252">
        <f>'POAI -MARZO-2021'!AI92</f>
        <v>36000000</v>
      </c>
      <c r="G53" s="252"/>
      <c r="H53" s="252"/>
      <c r="I53" s="252"/>
    </row>
    <row r="54" spans="1:16" ht="60" customHeight="1" x14ac:dyDescent="0.2">
      <c r="A54" s="133"/>
      <c r="B54" s="71"/>
      <c r="C54" s="71"/>
      <c r="D54" s="71">
        <f>'POAI -MARZO-2021'!F94</f>
        <v>1206</v>
      </c>
      <c r="E54" s="364" t="str">
        <f>'POAI -MARZO-2021'!G94</f>
        <v>Sistema penitenciario y carcelario en el marco de los derechos humanos. "Quindío respeta derechos penitenciarios"</v>
      </c>
      <c r="F54" s="252">
        <f>'POAI -MARZO-2021'!AI94</f>
        <v>36000000</v>
      </c>
      <c r="G54" s="252"/>
      <c r="H54" s="252"/>
      <c r="I54" s="252"/>
    </row>
    <row r="55" spans="1:16" ht="25.5" customHeight="1" x14ac:dyDescent="0.2">
      <c r="A55" s="133"/>
      <c r="B55" s="71"/>
      <c r="C55" s="64">
        <f>'POAI -MARZO-2021'!D96</f>
        <v>22</v>
      </c>
      <c r="D55" s="481" t="str">
        <f>'POAI -MARZO-2021'!E96</f>
        <v>Educación</v>
      </c>
      <c r="E55" s="482"/>
      <c r="F55" s="478"/>
      <c r="G55" s="479">
        <f>F56</f>
        <v>30000000</v>
      </c>
      <c r="H55" s="480"/>
      <c r="I55" s="478"/>
    </row>
    <row r="56" spans="1:16" ht="62.25" customHeight="1" x14ac:dyDescent="0.2">
      <c r="A56" s="133"/>
      <c r="B56" s="71"/>
      <c r="C56" s="71"/>
      <c r="D56" s="71">
        <f>'POAI -MARZO-2021'!F97</f>
        <v>2201</v>
      </c>
      <c r="E56" s="364" t="str">
        <f>'POAI -MARZO-2021'!G97</f>
        <v>Calidad, cobertura y fortalecimiento de la educación inicial, prescolar, básica y media." Tú y yo con educación y de calidad"</v>
      </c>
      <c r="F56" s="252">
        <f>'POAI -MARZO-2021'!AI97</f>
        <v>30000000</v>
      </c>
      <c r="G56" s="252"/>
      <c r="H56" s="252"/>
      <c r="I56" s="252"/>
    </row>
    <row r="57" spans="1:16" ht="25.5" customHeight="1" x14ac:dyDescent="0.2">
      <c r="A57" s="133"/>
      <c r="B57" s="71"/>
      <c r="C57" s="64">
        <f>'POAI -MARZO-2021'!D99</f>
        <v>41</v>
      </c>
      <c r="D57" s="62" t="str">
        <f>'POAI -MARZO-2021'!E99</f>
        <v xml:space="preserve">Inclusión social y Reconciliación </v>
      </c>
      <c r="E57" s="478"/>
      <c r="F57" s="478"/>
      <c r="G57" s="479">
        <f>SUM(F58:F59)</f>
        <v>224000000</v>
      </c>
      <c r="H57" s="480"/>
      <c r="I57" s="478"/>
    </row>
    <row r="58" spans="1:16" ht="44.25" customHeight="1" x14ac:dyDescent="0.2">
      <c r="A58" s="133"/>
      <c r="B58" s="71"/>
      <c r="C58" s="71"/>
      <c r="D58" s="71">
        <f>'POAI -MARZO-2021'!F100</f>
        <v>4101</v>
      </c>
      <c r="E58" s="364" t="str">
        <f>'POAI -MARZO-2021'!G100</f>
        <v>Atención, asistencia y reparación integral a las víctimas. "Tú y yo con reparación integral"</v>
      </c>
      <c r="F58" s="252">
        <f>'POAI -MARZO-2021'!AI100</f>
        <v>206000000</v>
      </c>
      <c r="G58" s="252"/>
      <c r="H58" s="252"/>
      <c r="I58" s="252"/>
    </row>
    <row r="59" spans="1:16" ht="57" customHeight="1" x14ac:dyDescent="0.2">
      <c r="A59" s="133"/>
      <c r="B59" s="71"/>
      <c r="C59" s="71"/>
      <c r="D59" s="71">
        <f>'POAI -MARZO-2021'!F106</f>
        <v>4103</v>
      </c>
      <c r="E59" s="364" t="str">
        <f>'POAI -MARZO-2021'!G106</f>
        <v>Inclusión social y productiva para la población en situación de vulnerabilidad. "Tú y yo, población vulnerable incluida"</v>
      </c>
      <c r="F59" s="252">
        <f>'POAI -MARZO-2021'!AI106</f>
        <v>18000000</v>
      </c>
      <c r="G59" s="252"/>
      <c r="H59" s="252"/>
      <c r="I59" s="252"/>
      <c r="J59" s="21"/>
      <c r="K59" s="1"/>
      <c r="L59" s="1"/>
      <c r="M59" s="1"/>
      <c r="N59" s="1"/>
      <c r="O59" s="1"/>
      <c r="P59" s="1"/>
    </row>
    <row r="60" spans="1:16" ht="25.5" customHeight="1" x14ac:dyDescent="0.2">
      <c r="A60" s="133"/>
      <c r="B60" s="71"/>
      <c r="C60" s="64">
        <f>'POAI -MARZO-2021'!D108</f>
        <v>45</v>
      </c>
      <c r="D60" s="62" t="str">
        <f>'POAI -MARZO-2021'!E108</f>
        <v>Gobierno territorial</v>
      </c>
      <c r="E60" s="478"/>
      <c r="F60" s="478"/>
      <c r="G60" s="479">
        <f>F61</f>
        <v>1873447380.3299999</v>
      </c>
      <c r="H60" s="480"/>
      <c r="I60" s="478"/>
    </row>
    <row r="61" spans="1:16" ht="53.25" customHeight="1" x14ac:dyDescent="0.2">
      <c r="A61" s="133"/>
      <c r="B61" s="71"/>
      <c r="C61" s="71"/>
      <c r="D61" s="71">
        <f>'POAI -MARZO-2021'!F109</f>
        <v>4501</v>
      </c>
      <c r="E61" s="364" t="str">
        <f>'POAI -MARZO-2021'!G109</f>
        <v>Fortalecimiento de la convivencia y la seguridad ciudadana. "Tú y yo seguros"</v>
      </c>
      <c r="F61" s="252">
        <f>'POAI -MARZO-2021'!AI109</f>
        <v>1873447380.3299999</v>
      </c>
      <c r="G61" s="252"/>
      <c r="H61" s="252"/>
      <c r="I61" s="252"/>
      <c r="J61" s="21"/>
      <c r="K61" s="1"/>
      <c r="L61" s="1"/>
      <c r="M61" s="1"/>
      <c r="N61" s="1"/>
      <c r="O61" s="1"/>
      <c r="P61" s="1"/>
    </row>
    <row r="62" spans="1:16" ht="20.25" customHeight="1" x14ac:dyDescent="0.2">
      <c r="A62" s="133"/>
      <c r="B62" s="116">
        <f>'POAI -MARZO-2021'!B112</f>
        <v>3</v>
      </c>
      <c r="C62" s="61" t="str">
        <f>'POAI -MARZO-2021'!D112</f>
        <v xml:space="preserve">TERRITORIO, AMBIENTE Y DESARROLLO SOSTENIBLE </v>
      </c>
      <c r="D62" s="61"/>
      <c r="E62" s="61"/>
      <c r="F62" s="61"/>
      <c r="G62" s="61"/>
      <c r="H62" s="476">
        <f>SUM(G63:G65)</f>
        <v>193000000</v>
      </c>
      <c r="I62" s="61"/>
      <c r="J62" s="21"/>
      <c r="K62" s="1"/>
      <c r="L62" s="1"/>
      <c r="M62" s="1"/>
      <c r="N62" s="1"/>
      <c r="O62" s="1"/>
      <c r="P62" s="1"/>
    </row>
    <row r="63" spans="1:16" ht="25.5" customHeight="1" x14ac:dyDescent="0.2">
      <c r="A63" s="133"/>
      <c r="B63" s="71"/>
      <c r="C63" s="64">
        <f>'POAI -MARZO-2021'!D113</f>
        <v>32</v>
      </c>
      <c r="D63" s="62" t="str">
        <f>'POAI -MARZO-2021'!E113</f>
        <v>Ambiente y desarrollo sostenible</v>
      </c>
      <c r="E63" s="62"/>
      <c r="F63" s="478"/>
      <c r="G63" s="479">
        <f>F64</f>
        <v>45000000</v>
      </c>
      <c r="H63" s="480"/>
      <c r="I63" s="478"/>
    </row>
    <row r="64" spans="1:16" ht="46.5" customHeight="1" x14ac:dyDescent="0.2">
      <c r="A64" s="133"/>
      <c r="B64" s="71"/>
      <c r="C64" s="71"/>
      <c r="D64" s="71">
        <f>'POAI -MARZO-2021'!F114</f>
        <v>3205</v>
      </c>
      <c r="E64" s="364" t="str">
        <f>'POAI -MARZO-2021'!G114</f>
        <v>Ordenamiento Ambiental Territorial. "Tú y yo planificamos con sentido ambiental"</v>
      </c>
      <c r="F64" s="252">
        <f>'POAI -MARZO-2021'!AI114</f>
        <v>45000000</v>
      </c>
      <c r="G64" s="252"/>
      <c r="H64" s="252"/>
      <c r="I64" s="252"/>
      <c r="J64" s="21"/>
      <c r="K64" s="1"/>
      <c r="L64" s="1"/>
      <c r="M64" s="1"/>
      <c r="N64" s="1"/>
      <c r="O64" s="1"/>
      <c r="P64" s="1"/>
    </row>
    <row r="65" spans="1:16" ht="25.5" customHeight="1" x14ac:dyDescent="0.2">
      <c r="A65" s="133"/>
      <c r="B65" s="71"/>
      <c r="C65" s="64">
        <f>'POAI -MARZO-2021'!D116</f>
        <v>45</v>
      </c>
      <c r="D65" s="62" t="str">
        <f>'POAI -MARZO-2021'!E116</f>
        <v>Gobierno territorial</v>
      </c>
      <c r="E65" s="478"/>
      <c r="F65" s="478"/>
      <c r="G65" s="479">
        <f>F66</f>
        <v>148000000</v>
      </c>
      <c r="H65" s="480"/>
      <c r="I65" s="478"/>
    </row>
    <row r="66" spans="1:16" ht="44.25" customHeight="1" x14ac:dyDescent="0.2">
      <c r="A66" s="133"/>
      <c r="B66" s="71"/>
      <c r="C66" s="71"/>
      <c r="D66" s="71">
        <f>'POAI -MARZO-2021'!F117</f>
        <v>4503</v>
      </c>
      <c r="E66" s="364" t="str">
        <f>'POAI -MARZO-2021'!G117</f>
        <v>Gestión del riesgo de desastres y emergencias. "Tú y yo preparados en gestión del riesgo"</v>
      </c>
      <c r="F66" s="252">
        <f>'POAI -MARZO-2021'!AI117</f>
        <v>148000000</v>
      </c>
      <c r="G66" s="252"/>
      <c r="H66" s="252"/>
      <c r="I66" s="252"/>
      <c r="J66" s="21"/>
      <c r="K66" s="1"/>
      <c r="L66" s="1"/>
      <c r="M66" s="1"/>
      <c r="N66" s="1"/>
      <c r="O66" s="1"/>
      <c r="P66" s="1"/>
    </row>
    <row r="67" spans="1:16" ht="22.5" customHeight="1" x14ac:dyDescent="0.2">
      <c r="A67" s="133"/>
      <c r="B67" s="116">
        <f>'POAI -MARZO-2021'!B121</f>
        <v>4</v>
      </c>
      <c r="C67" s="61" t="str">
        <f>'POAI -MARZO-2021'!D121</f>
        <v xml:space="preserve">LIDERAZGO, GOBERNABILIDAD Y TRANSPARENCIA </v>
      </c>
      <c r="D67" s="61"/>
      <c r="E67" s="485"/>
      <c r="F67" s="61"/>
      <c r="G67" s="61"/>
      <c r="H67" s="476">
        <f>G68</f>
        <v>313000000</v>
      </c>
      <c r="I67" s="61"/>
      <c r="J67" s="21"/>
      <c r="K67" s="1"/>
      <c r="L67" s="1"/>
      <c r="M67" s="1"/>
      <c r="N67" s="1"/>
      <c r="O67" s="1"/>
      <c r="P67" s="1"/>
    </row>
    <row r="68" spans="1:16" ht="25.5" customHeight="1" x14ac:dyDescent="0.2">
      <c r="A68" s="133"/>
      <c r="B68" s="71"/>
      <c r="C68" s="64">
        <f>'POAI -MARZO-2021'!D122</f>
        <v>45</v>
      </c>
      <c r="D68" s="62" t="str">
        <f>'POAI -MARZO-2021'!E122</f>
        <v>Gobierno territorial</v>
      </c>
      <c r="E68" s="486"/>
      <c r="F68" s="478"/>
      <c r="G68" s="479">
        <f>F69</f>
        <v>313000000</v>
      </c>
      <c r="H68" s="480"/>
      <c r="I68" s="478"/>
    </row>
    <row r="69" spans="1:16" ht="54.75" customHeight="1" x14ac:dyDescent="0.2">
      <c r="A69" s="133"/>
      <c r="B69" s="66"/>
      <c r="C69" s="66"/>
      <c r="D69" s="71">
        <f>'POAI -MARZO-2021'!F123</f>
        <v>4502</v>
      </c>
      <c r="E69" s="364" t="str">
        <f>'POAI -MARZO-2021'!G123</f>
        <v>Fortalecimiento del buen gobierno para el respeto y garantía de los derechos humanos. "Quindío integrado y participativo"</v>
      </c>
      <c r="F69" s="115">
        <f>'POAI -MARZO-2021'!AI123</f>
        <v>313000000</v>
      </c>
      <c r="G69" s="115"/>
      <c r="H69" s="115"/>
      <c r="I69" s="115"/>
      <c r="J69" s="21"/>
      <c r="K69" s="1"/>
      <c r="L69" s="1"/>
      <c r="M69" s="1"/>
      <c r="N69" s="1"/>
      <c r="O69" s="1"/>
      <c r="P69" s="1"/>
    </row>
    <row r="70" spans="1:16" s="11" customFormat="1" x14ac:dyDescent="0.2">
      <c r="A70" s="1"/>
      <c r="B70" s="13"/>
      <c r="C70" s="13"/>
      <c r="D70" s="13"/>
      <c r="E70" s="14"/>
      <c r="F70" s="14"/>
      <c r="G70" s="14"/>
      <c r="H70" s="14"/>
      <c r="I70" s="14"/>
      <c r="J70" s="48"/>
      <c r="K70" s="18"/>
      <c r="L70" s="18"/>
      <c r="M70" s="18"/>
      <c r="N70" s="18"/>
      <c r="O70" s="18"/>
      <c r="P70" s="18"/>
    </row>
    <row r="71" spans="1:16" ht="32.25" customHeight="1" x14ac:dyDescent="0.2">
      <c r="A71" s="41" t="s">
        <v>379</v>
      </c>
      <c r="B71" s="42"/>
      <c r="C71" s="42"/>
      <c r="D71" s="42"/>
      <c r="E71" s="43"/>
      <c r="F71" s="43"/>
      <c r="G71" s="43"/>
      <c r="H71" s="43"/>
      <c r="I71" s="43">
        <f>H72</f>
        <v>4038357225.02</v>
      </c>
      <c r="J71" s="21"/>
      <c r="K71" s="1"/>
      <c r="L71" s="1"/>
      <c r="M71" s="1"/>
      <c r="N71" s="1"/>
      <c r="O71" s="1"/>
      <c r="P71" s="1"/>
    </row>
    <row r="72" spans="1:16" ht="20.25" customHeight="1" x14ac:dyDescent="0.2">
      <c r="A72" s="133"/>
      <c r="B72" s="116">
        <f>'POAI -MARZO-2021'!B131</f>
        <v>1</v>
      </c>
      <c r="C72" s="61" t="str">
        <f>'POAI -MARZO-2021'!D131</f>
        <v xml:space="preserve">INCLUSIÓN SOCIAL Y EQUIDAD </v>
      </c>
      <c r="D72" s="61"/>
      <c r="E72" s="61"/>
      <c r="F72" s="61"/>
      <c r="G72" s="61"/>
      <c r="H72" s="476">
        <f>G73</f>
        <v>4038357225.02</v>
      </c>
      <c r="I72" s="61"/>
      <c r="J72" s="21"/>
      <c r="K72" s="1"/>
      <c r="L72" s="1"/>
      <c r="M72" s="1"/>
      <c r="N72" s="1"/>
      <c r="O72" s="1"/>
      <c r="P72" s="1"/>
    </row>
    <row r="73" spans="1:16" ht="25.5" customHeight="1" x14ac:dyDescent="0.2">
      <c r="A73" s="133"/>
      <c r="B73" s="71"/>
      <c r="C73" s="64">
        <f>'POAI -MARZO-2021'!D132</f>
        <v>33</v>
      </c>
      <c r="D73" s="481" t="str">
        <f>'POAI -MARZO-2021'!E132</f>
        <v>Cultura</v>
      </c>
      <c r="E73" s="482"/>
      <c r="F73" s="478"/>
      <c r="G73" s="479">
        <f>SUM(F74:F75)</f>
        <v>4038357225.02</v>
      </c>
      <c r="H73" s="480"/>
      <c r="I73" s="478"/>
    </row>
    <row r="74" spans="1:16" ht="46.5" customHeight="1" x14ac:dyDescent="0.2">
      <c r="A74" s="133"/>
      <c r="B74" s="71"/>
      <c r="C74" s="71"/>
      <c r="D74" s="71">
        <f>'POAI -MARZO-2021'!F133</f>
        <v>3301</v>
      </c>
      <c r="E74" s="364" t="str">
        <f>'POAI -MARZO-2021'!G133</f>
        <v>Promoción y acceso efectivo a procesos culturales y artísticos. "Tú y yo somos cultura Quindiana"</v>
      </c>
      <c r="F74" s="252">
        <f>'POAI -MARZO-2021'!AI133</f>
        <v>3642319083.02</v>
      </c>
      <c r="G74" s="252"/>
      <c r="H74" s="252"/>
      <c r="I74" s="252"/>
      <c r="J74" s="21"/>
      <c r="K74" s="1"/>
      <c r="L74" s="1"/>
      <c r="M74" s="1"/>
      <c r="N74" s="1"/>
      <c r="O74" s="1"/>
      <c r="P74" s="1"/>
    </row>
    <row r="75" spans="1:16" ht="51" customHeight="1" x14ac:dyDescent="0.2">
      <c r="A75" s="133"/>
      <c r="B75" s="71"/>
      <c r="C75" s="71"/>
      <c r="D75" s="71">
        <f>'POAI -MARZO-2021'!F142</f>
        <v>3302</v>
      </c>
      <c r="E75" s="364" t="str">
        <f>'POAI -MARZO-2021'!G142</f>
        <v>Gestión, protección y salvaguardia del patrimonio cultural colombiano. "Tú y yo protectores del patrimonio cultural"</v>
      </c>
      <c r="F75" s="115">
        <f>'POAI -MARZO-2021'!AI142</f>
        <v>396038142</v>
      </c>
      <c r="G75" s="115"/>
      <c r="H75" s="115"/>
      <c r="I75" s="115"/>
      <c r="J75" s="21"/>
      <c r="K75" s="1"/>
      <c r="L75" s="1"/>
      <c r="M75" s="1"/>
      <c r="N75" s="1"/>
      <c r="O75" s="1"/>
      <c r="P75" s="1"/>
    </row>
    <row r="76" spans="1:16" s="11" customFormat="1" x14ac:dyDescent="0.2">
      <c r="A76" s="1"/>
      <c r="B76" s="13"/>
      <c r="C76" s="13"/>
      <c r="D76" s="13"/>
      <c r="E76" s="14"/>
      <c r="F76" s="14"/>
      <c r="G76" s="14"/>
      <c r="H76" s="14"/>
      <c r="I76" s="14"/>
      <c r="J76" s="48"/>
      <c r="K76" s="18"/>
      <c r="L76" s="18"/>
      <c r="M76" s="18"/>
      <c r="N76" s="18"/>
      <c r="O76" s="18"/>
      <c r="P76" s="18"/>
    </row>
    <row r="77" spans="1:16" ht="28.5" customHeight="1" x14ac:dyDescent="0.2">
      <c r="A77" s="41" t="s">
        <v>420</v>
      </c>
      <c r="B77" s="42"/>
      <c r="C77" s="42"/>
      <c r="D77" s="42"/>
      <c r="E77" s="43"/>
      <c r="F77" s="43"/>
      <c r="G77" s="43"/>
      <c r="H77" s="43"/>
      <c r="I77" s="43">
        <f>SUM(H78)</f>
        <v>2926228339.7600002</v>
      </c>
      <c r="J77" s="21"/>
      <c r="K77" s="1"/>
      <c r="L77" s="1"/>
      <c r="M77" s="1"/>
      <c r="N77" s="1"/>
      <c r="O77" s="1"/>
      <c r="P77" s="1"/>
    </row>
    <row r="78" spans="1:16" ht="23.25" customHeight="1" x14ac:dyDescent="0.2">
      <c r="A78" s="133"/>
      <c r="B78" s="227">
        <f>'POAI -MARZO-2021'!B147</f>
        <v>2</v>
      </c>
      <c r="C78" s="61" t="str">
        <f>'POAI -MARZO-2021'!D147</f>
        <v>PRODUCTIVIDAD Y COMPETITIVIDAD</v>
      </c>
      <c r="D78" s="61"/>
      <c r="E78" s="61"/>
      <c r="F78" s="61"/>
      <c r="G78" s="61"/>
      <c r="H78" s="476">
        <f>SUM(G79:G81)</f>
        <v>2926228339.7600002</v>
      </c>
      <c r="I78" s="61"/>
      <c r="J78" s="21"/>
      <c r="K78" s="1"/>
      <c r="L78" s="1"/>
      <c r="M78" s="1"/>
      <c r="N78" s="1"/>
      <c r="O78" s="1"/>
      <c r="P78" s="1"/>
    </row>
    <row r="79" spans="1:16" ht="25.5" customHeight="1" x14ac:dyDescent="0.2">
      <c r="A79" s="133"/>
      <c r="B79" s="71"/>
      <c r="C79" s="64">
        <f>'POAI -MARZO-2021'!D148</f>
        <v>35</v>
      </c>
      <c r="D79" s="62" t="str">
        <f>'POAI -MARZO-2021'!E148</f>
        <v>Comercio, Industria y Turismo</v>
      </c>
      <c r="E79" s="478"/>
      <c r="F79" s="478"/>
      <c r="G79" s="479">
        <f>F80</f>
        <v>2688728339.7600002</v>
      </c>
      <c r="H79" s="480"/>
      <c r="I79" s="478"/>
    </row>
    <row r="80" spans="1:16" ht="53.25" customHeight="1" x14ac:dyDescent="0.2">
      <c r="A80" s="133"/>
      <c r="B80" s="71"/>
      <c r="C80" s="71"/>
      <c r="D80" s="244">
        <f>'POAI -MARZO-2021'!F149</f>
        <v>3502</v>
      </c>
      <c r="E80" s="364" t="str">
        <f>'POAI -MARZO-2021'!G149</f>
        <v xml:space="preserve">Productividad y competitividad de las empresas colombianas. "Tú y yo con empresas competitivas" </v>
      </c>
      <c r="F80" s="252">
        <f>'POAI -MARZO-2021'!AI149</f>
        <v>2688728339.7600002</v>
      </c>
      <c r="G80" s="252"/>
      <c r="H80" s="252"/>
      <c r="I80" s="252"/>
      <c r="J80" s="21"/>
      <c r="K80" s="1"/>
      <c r="L80" s="1"/>
      <c r="M80" s="1"/>
      <c r="N80" s="1"/>
      <c r="O80" s="1"/>
      <c r="P80" s="1"/>
    </row>
    <row r="81" spans="1:16" ht="25.5" customHeight="1" x14ac:dyDescent="0.2">
      <c r="A81" s="133"/>
      <c r="B81" s="71"/>
      <c r="C81" s="64">
        <f>'POAI -MARZO-2021'!D158</f>
        <v>36</v>
      </c>
      <c r="D81" s="481" t="str">
        <f>'POAI -MARZO-2021'!E158</f>
        <v>Trabajo</v>
      </c>
      <c r="E81" s="482"/>
      <c r="F81" s="478"/>
      <c r="G81" s="479">
        <f>F82</f>
        <v>237500000</v>
      </c>
      <c r="H81" s="480"/>
      <c r="I81" s="478"/>
    </row>
    <row r="82" spans="1:16" ht="53.25" customHeight="1" x14ac:dyDescent="0.2">
      <c r="A82" s="133"/>
      <c r="B82" s="71"/>
      <c r="C82" s="71"/>
      <c r="D82" s="244">
        <f>'POAI -MARZO-2021'!F159</f>
        <v>3602</v>
      </c>
      <c r="E82" s="364" t="str">
        <f>'POAI -MARZO-2021'!G159</f>
        <v>Generación y formalización del empleo. "Tú y yo con empleo de calidad"</v>
      </c>
      <c r="F82" s="252">
        <f>'POAI -MARZO-2021'!AI159</f>
        <v>237500000</v>
      </c>
      <c r="G82" s="252"/>
      <c r="H82" s="252"/>
      <c r="I82" s="252"/>
      <c r="J82" s="21"/>
      <c r="K82" s="1"/>
      <c r="L82" s="1"/>
      <c r="M82" s="1"/>
      <c r="N82" s="1"/>
      <c r="O82" s="1"/>
      <c r="P82" s="1"/>
    </row>
    <row r="83" spans="1:16" s="11" customFormat="1" x14ac:dyDescent="0.2">
      <c r="A83" s="1"/>
      <c r="B83" s="13"/>
      <c r="C83" s="13"/>
      <c r="D83" s="13"/>
      <c r="E83" s="14"/>
      <c r="F83" s="14"/>
      <c r="G83" s="14"/>
      <c r="H83" s="14"/>
      <c r="I83" s="14"/>
      <c r="J83" s="48"/>
      <c r="K83" s="18"/>
      <c r="L83" s="18"/>
      <c r="M83" s="18"/>
      <c r="N83" s="18"/>
      <c r="O83" s="18"/>
      <c r="P83" s="18"/>
    </row>
    <row r="84" spans="1:16" ht="23.25" customHeight="1" x14ac:dyDescent="0.2">
      <c r="A84" s="41" t="s">
        <v>472</v>
      </c>
      <c r="B84" s="42"/>
      <c r="C84" s="42"/>
      <c r="D84" s="42"/>
      <c r="E84" s="43"/>
      <c r="F84" s="43"/>
      <c r="G84" s="43"/>
      <c r="H84" s="43"/>
      <c r="I84" s="43">
        <f>SUM(H85:H96)</f>
        <v>2573248186</v>
      </c>
    </row>
    <row r="85" spans="1:16" ht="26.25" customHeight="1" x14ac:dyDescent="0.2">
      <c r="A85" s="133"/>
      <c r="B85" s="116">
        <f>'POAI -MARZO-2021'!B166</f>
        <v>2</v>
      </c>
      <c r="C85" s="61" t="str">
        <f>'POAI -MARZO-2021'!D166</f>
        <v>PRODUCTIVIDAD Y COMPETITIVIDAD</v>
      </c>
      <c r="D85" s="61"/>
      <c r="E85" s="61"/>
      <c r="F85" s="61"/>
      <c r="G85" s="61"/>
      <c r="H85" s="476">
        <f>SUM(G86:G94)</f>
        <v>1226000000</v>
      </c>
      <c r="I85" s="61"/>
      <c r="J85" s="22"/>
      <c r="K85" s="22"/>
      <c r="L85" s="22"/>
      <c r="M85" s="22"/>
      <c r="N85" s="22"/>
      <c r="O85" s="23"/>
    </row>
    <row r="86" spans="1:16" ht="25.5" customHeight="1" x14ac:dyDescent="0.2">
      <c r="A86" s="133"/>
      <c r="B86" s="71"/>
      <c r="C86" s="64">
        <v>17</v>
      </c>
      <c r="D86" s="62" t="str">
        <f>'POAI -MARZO-2021'!E167</f>
        <v>Agricultura y desarrollo rural</v>
      </c>
      <c r="E86" s="478"/>
      <c r="F86" s="478"/>
      <c r="G86" s="479">
        <f>SUM(F87:F93)</f>
        <v>1190000000</v>
      </c>
      <c r="H86" s="480"/>
      <c r="I86" s="478"/>
    </row>
    <row r="87" spans="1:16" ht="57.75" customHeight="1" x14ac:dyDescent="0.2">
      <c r="A87" s="133"/>
      <c r="B87" s="71"/>
      <c r="C87" s="71"/>
      <c r="D87" s="71">
        <f>'POAI -MARZO-2021'!F168</f>
        <v>1702</v>
      </c>
      <c r="E87" s="364" t="str">
        <f>'POAI -MARZO-2021'!G168</f>
        <v>Inclusión productiva de pequeños productores rurales. "Tú y yo con oportunidades para el pequeño campesino"</v>
      </c>
      <c r="F87" s="252">
        <f>'POAI -MARZO-2021'!AI168</f>
        <v>834000000</v>
      </c>
      <c r="G87" s="252"/>
      <c r="H87" s="252"/>
      <c r="I87" s="252"/>
      <c r="J87" s="22"/>
      <c r="K87" s="22"/>
      <c r="L87" s="22"/>
      <c r="M87" s="22"/>
      <c r="N87" s="22"/>
      <c r="O87" s="23"/>
    </row>
    <row r="88" spans="1:16" ht="54" customHeight="1" x14ac:dyDescent="0.2">
      <c r="A88" s="133"/>
      <c r="B88" s="71"/>
      <c r="C88" s="71"/>
      <c r="D88" s="71">
        <f>'POAI -MARZO-2021'!F180</f>
        <v>1703</v>
      </c>
      <c r="E88" s="364" t="str">
        <f>'POAI -MARZO-2021'!G180</f>
        <v>Servicios financieros y gestión del riesgo para las actividades agropecuarias y rurales. "Tú y yo con un campo protegido"</v>
      </c>
      <c r="F88" s="252">
        <f>'POAI -MARZO-2021'!AI180</f>
        <v>75000000</v>
      </c>
      <c r="G88" s="252"/>
      <c r="H88" s="252"/>
      <c r="I88" s="252"/>
      <c r="J88" s="22"/>
      <c r="K88" s="22"/>
      <c r="L88" s="22"/>
      <c r="M88" s="22"/>
      <c r="N88" s="22"/>
      <c r="O88" s="23"/>
      <c r="P88" s="1"/>
    </row>
    <row r="89" spans="1:16" ht="62.25" customHeight="1" x14ac:dyDescent="0.2">
      <c r="A89" s="133"/>
      <c r="B89" s="71"/>
      <c r="C89" s="71"/>
      <c r="D89" s="71">
        <f>'POAI -MARZO-2021'!F182</f>
        <v>1704</v>
      </c>
      <c r="E89" s="364" t="str">
        <f>'POAI -MARZO-2021'!G182</f>
        <v>Ordenamiento social y uso productivo del territorio rural. "Tú y yo con un campo planificado"</v>
      </c>
      <c r="F89" s="252">
        <f>'POAI -MARZO-2021'!AI182</f>
        <v>70000000</v>
      </c>
      <c r="G89" s="252"/>
      <c r="H89" s="252"/>
      <c r="I89" s="252"/>
      <c r="J89" s="25"/>
      <c r="K89" s="25"/>
      <c r="L89" s="25"/>
      <c r="M89" s="25"/>
      <c r="N89" s="25"/>
      <c r="O89" s="23"/>
      <c r="P89" s="1"/>
    </row>
    <row r="90" spans="1:16" ht="42" customHeight="1" x14ac:dyDescent="0.2">
      <c r="A90" s="133"/>
      <c r="B90" s="71"/>
      <c r="C90" s="71"/>
      <c r="D90" s="71">
        <f>'POAI -MARZO-2021'!F185</f>
        <v>1706</v>
      </c>
      <c r="E90" s="364" t="str">
        <f>'POAI -MARZO-2021'!G185</f>
        <v>Aprovechamiento de mercados externos. "Tú y yo a los mercados internacionales"</v>
      </c>
      <c r="F90" s="252">
        <f>'POAI -MARZO-2021'!AI185</f>
        <v>20000000</v>
      </c>
      <c r="G90" s="252"/>
      <c r="H90" s="252"/>
      <c r="I90" s="252"/>
      <c r="J90" s="22"/>
      <c r="K90" s="22"/>
      <c r="L90" s="22"/>
      <c r="M90" s="22"/>
      <c r="N90" s="22"/>
      <c r="O90" s="23"/>
      <c r="P90" s="1"/>
    </row>
    <row r="91" spans="1:16" ht="57" customHeight="1" x14ac:dyDescent="0.2">
      <c r="A91" s="133"/>
      <c r="B91" s="71"/>
      <c r="C91" s="71"/>
      <c r="D91" s="71">
        <f>'POAI -MARZO-2021'!F187</f>
        <v>1707</v>
      </c>
      <c r="E91" s="364" t="str">
        <f>'POAI -MARZO-2021'!G187</f>
        <v>Sanidad agropecuaria e inocuidad agroalimentaria. "Tú y yo con un agro saludable"</v>
      </c>
      <c r="F91" s="252">
        <f>'POAI -MARZO-2021'!AI187</f>
        <v>43000000</v>
      </c>
      <c r="G91" s="252"/>
      <c r="H91" s="252"/>
      <c r="I91" s="252"/>
      <c r="J91" s="22"/>
      <c r="K91" s="22"/>
      <c r="L91" s="22"/>
      <c r="M91" s="22"/>
      <c r="N91" s="22"/>
      <c r="O91" s="23"/>
      <c r="P91" s="1"/>
    </row>
    <row r="92" spans="1:16" ht="60.75" customHeight="1" x14ac:dyDescent="0.2">
      <c r="A92" s="133"/>
      <c r="B92" s="71"/>
      <c r="C92" s="71"/>
      <c r="D92" s="71">
        <f>'POAI -MARZO-2021'!F189</f>
        <v>1708</v>
      </c>
      <c r="E92" s="364" t="str">
        <f>'POAI -MARZO-2021'!G189</f>
        <v>Ciencia, tecnología e innovación agropecuaria. "Tú y yo con un agro interconectado"</v>
      </c>
      <c r="F92" s="252">
        <f>'POAI -MARZO-2021'!AI189</f>
        <v>40000000</v>
      </c>
      <c r="G92" s="252"/>
      <c r="H92" s="252"/>
      <c r="I92" s="252"/>
      <c r="J92" s="22"/>
      <c r="K92" s="22"/>
      <c r="L92" s="22"/>
      <c r="M92" s="22"/>
      <c r="N92" s="22"/>
      <c r="O92" s="23"/>
    </row>
    <row r="93" spans="1:16" ht="42" customHeight="1" x14ac:dyDescent="0.2">
      <c r="A93" s="133"/>
      <c r="B93" s="71"/>
      <c r="C93" s="71"/>
      <c r="D93" s="71">
        <f>'POAI -MARZO-2021'!F192</f>
        <v>1709</v>
      </c>
      <c r="E93" s="364" t="str">
        <f>'POAI -MARZO-2021'!G192</f>
        <v>Infraestructura productiva y comercialización. "Tú y yo con agro competitivo"</v>
      </c>
      <c r="F93" s="252">
        <f>'POAI -MARZO-2021'!AI192</f>
        <v>108000000</v>
      </c>
      <c r="G93" s="252"/>
      <c r="H93" s="252"/>
      <c r="I93" s="252"/>
      <c r="J93" s="25"/>
      <c r="K93" s="25"/>
      <c r="L93" s="25"/>
      <c r="M93" s="25"/>
      <c r="N93" s="25"/>
      <c r="O93" s="23"/>
    </row>
    <row r="94" spans="1:16" ht="25.5" customHeight="1" x14ac:dyDescent="0.2">
      <c r="A94" s="133"/>
      <c r="B94" s="71"/>
      <c r="C94" s="64">
        <f>'POAI -MARZO-2021'!D196</f>
        <v>35</v>
      </c>
      <c r="D94" s="62" t="str">
        <f>'POAI -MARZO-2021'!E196</f>
        <v>Comercio, Industria y Turismo</v>
      </c>
      <c r="E94" s="478"/>
      <c r="F94" s="478"/>
      <c r="G94" s="479">
        <f>F95</f>
        <v>36000000</v>
      </c>
      <c r="H94" s="480"/>
      <c r="I94" s="478"/>
    </row>
    <row r="95" spans="1:16" ht="73.5" customHeight="1" x14ac:dyDescent="0.2">
      <c r="A95" s="133"/>
      <c r="B95" s="71"/>
      <c r="C95" s="71"/>
      <c r="D95" s="71">
        <f>'POAI -MARZO-2021'!F197</f>
        <v>3502</v>
      </c>
      <c r="E95" s="364" t="str">
        <f>'POAI -MARZO-2021'!G197</f>
        <v xml:space="preserve">Productividad y competitividad de las empresas colombianas. "Tú y yo con empresas competitivas" </v>
      </c>
      <c r="F95" s="252">
        <f>'POAI -MARZO-2021'!AI197</f>
        <v>36000000</v>
      </c>
      <c r="G95" s="252"/>
      <c r="H95" s="252"/>
      <c r="I95" s="252"/>
      <c r="J95" s="22"/>
      <c r="K95" s="22"/>
      <c r="L95" s="22"/>
      <c r="M95" s="22"/>
      <c r="N95" s="22"/>
      <c r="O95" s="23"/>
    </row>
    <row r="96" spans="1:16" ht="24.75" customHeight="1" x14ac:dyDescent="0.2">
      <c r="A96" s="133"/>
      <c r="B96" s="116">
        <f>'POAI -MARZO-2021'!B200</f>
        <v>3</v>
      </c>
      <c r="C96" s="61" t="str">
        <f>'POAI -MARZO-2021'!D200</f>
        <v xml:space="preserve">TERRITORIO, AMBIENTE Y DESARROLLO SOSTENIBLE </v>
      </c>
      <c r="D96" s="61"/>
      <c r="E96" s="61"/>
      <c r="F96" s="61"/>
      <c r="G96" s="61"/>
      <c r="H96" s="476">
        <f>G97</f>
        <v>1347248186</v>
      </c>
      <c r="I96" s="61"/>
      <c r="J96" s="22"/>
      <c r="K96" s="22"/>
      <c r="L96" s="22"/>
      <c r="M96" s="22"/>
      <c r="N96" s="22"/>
      <c r="O96" s="23"/>
    </row>
    <row r="97" spans="1:16" ht="25.5" customHeight="1" x14ac:dyDescent="0.2">
      <c r="A97" s="133"/>
      <c r="B97" s="71"/>
      <c r="C97" s="64">
        <f>'POAI -MARZO-2021'!D201</f>
        <v>32</v>
      </c>
      <c r="D97" s="62" t="str">
        <f>'POAI -MARZO-2021'!E201</f>
        <v>Ambiente y desarrollo sostenible</v>
      </c>
      <c r="E97" s="478"/>
      <c r="F97" s="478"/>
      <c r="G97" s="479">
        <f>SUM(F98:F102)</f>
        <v>1347248186</v>
      </c>
      <c r="H97" s="480"/>
      <c r="I97" s="478"/>
    </row>
    <row r="98" spans="1:16" ht="52.5" customHeight="1" x14ac:dyDescent="0.2">
      <c r="A98" s="133"/>
      <c r="B98" s="71"/>
      <c r="C98" s="71"/>
      <c r="D98" s="71" t="str">
        <f>'POAI -MARZO-2021'!F202</f>
        <v>3201</v>
      </c>
      <c r="E98" s="364" t="str">
        <f>'POAI -MARZO-2021'!G202</f>
        <v>Fortalecimiento del desempeño ambiental de los sectores productivos. "Tú y yo guardianes de la biodiversidad.</v>
      </c>
      <c r="F98" s="252">
        <f>'POAI -MARZO-2021'!AI202</f>
        <v>82000000</v>
      </c>
      <c r="G98" s="252"/>
      <c r="H98" s="252"/>
      <c r="I98" s="252"/>
      <c r="J98" s="47"/>
      <c r="K98" s="47"/>
      <c r="L98" s="47"/>
      <c r="M98" s="47"/>
      <c r="N98" s="47"/>
      <c r="O98" s="24"/>
      <c r="P98" s="1"/>
    </row>
    <row r="99" spans="1:16" ht="52.5" customHeight="1" x14ac:dyDescent="0.2">
      <c r="A99" s="133"/>
      <c r="B99" s="71"/>
      <c r="C99" s="71"/>
      <c r="D99" s="71">
        <f>'POAI -MARZO-2021'!F205</f>
        <v>3202</v>
      </c>
      <c r="E99" s="364" t="str">
        <f>'POAI -MARZO-2021'!G205</f>
        <v>Conservación de la biodiversidad y sus servicios ecosistémicos. "Tú y yo en territorios biodiversos"</v>
      </c>
      <c r="F99" s="252">
        <f>'POAI -MARZO-2021'!AI205</f>
        <v>945248186</v>
      </c>
      <c r="G99" s="252"/>
      <c r="H99" s="252"/>
      <c r="I99" s="252"/>
      <c r="J99" s="47"/>
      <c r="K99" s="47"/>
      <c r="L99" s="47"/>
      <c r="M99" s="47"/>
      <c r="N99" s="47"/>
      <c r="O99" s="24"/>
      <c r="P99" s="1"/>
    </row>
    <row r="100" spans="1:16" ht="52.5" customHeight="1" x14ac:dyDescent="0.2">
      <c r="A100" s="133"/>
      <c r="B100" s="71"/>
      <c r="C100" s="71"/>
      <c r="D100" s="71" t="str">
        <f>'POAI -MARZO-2021'!F212</f>
        <v>3204</v>
      </c>
      <c r="E100" s="364" t="str">
        <f>'POAI -MARZO-2021'!G212</f>
        <v>Gestión de la información y en conocimiento ambiental. "Tú y yo conscientes con la naturaleza"</v>
      </c>
      <c r="F100" s="252">
        <f>'POAI -MARZO-2021'!AI212</f>
        <v>120000000</v>
      </c>
      <c r="G100" s="252"/>
      <c r="H100" s="252"/>
      <c r="I100" s="252"/>
      <c r="J100" s="47"/>
      <c r="K100" s="47"/>
      <c r="L100" s="47"/>
      <c r="M100" s="47"/>
      <c r="N100" s="47"/>
      <c r="O100" s="24"/>
      <c r="P100" s="1"/>
    </row>
    <row r="101" spans="1:16" ht="52.5" customHeight="1" x14ac:dyDescent="0.2">
      <c r="A101" s="133"/>
      <c r="B101" s="71"/>
      <c r="C101" s="71"/>
      <c r="D101" s="71">
        <f>'POAI -MARZO-2021'!F214</f>
        <v>3205</v>
      </c>
      <c r="E101" s="364" t="str">
        <f>'POAI -MARZO-2021'!G214</f>
        <v>Ordenamiento Ambiental Territorial. "Tú y yo planificamos con sentido ambiental"</v>
      </c>
      <c r="F101" s="252">
        <f>'POAI -MARZO-2021'!AI214</f>
        <v>82000000</v>
      </c>
      <c r="G101" s="252"/>
      <c r="H101" s="252"/>
      <c r="I101" s="252"/>
      <c r="J101" s="47"/>
      <c r="K101" s="47"/>
      <c r="L101" s="47"/>
      <c r="M101" s="47"/>
      <c r="N101" s="47"/>
      <c r="O101" s="24"/>
      <c r="P101" s="1"/>
    </row>
    <row r="102" spans="1:16" ht="52.5" customHeight="1" x14ac:dyDescent="0.2">
      <c r="A102" s="133"/>
      <c r="B102" s="71"/>
      <c r="C102" s="71"/>
      <c r="D102" s="71" t="str">
        <f>'POAI -MARZO-2021'!F218</f>
        <v>3206</v>
      </c>
      <c r="E102" s="364" t="str">
        <f>'POAI -MARZO-2021'!G218</f>
        <v>Gestión del cambio climático para un desarrollo bajo en carbono y resiliente al clima. "Tú y yo preparados para el cambio climático"</v>
      </c>
      <c r="F102" s="252">
        <f>'POAI -MARZO-2021'!AI218</f>
        <v>118000000</v>
      </c>
      <c r="G102" s="252"/>
      <c r="H102" s="252"/>
      <c r="I102" s="252"/>
      <c r="J102" s="47"/>
      <c r="K102" s="47"/>
      <c r="L102" s="47"/>
      <c r="M102" s="47"/>
      <c r="N102" s="47"/>
      <c r="O102" s="24"/>
      <c r="P102" s="1"/>
    </row>
    <row r="103" spans="1:16" s="11" customFormat="1" x14ac:dyDescent="0.2">
      <c r="A103" s="1"/>
      <c r="B103" s="13"/>
      <c r="C103" s="13"/>
      <c r="D103" s="13"/>
      <c r="E103" s="14"/>
      <c r="F103" s="14"/>
      <c r="G103" s="14"/>
      <c r="H103" s="14"/>
      <c r="I103" s="14"/>
      <c r="J103" s="48"/>
      <c r="K103" s="18"/>
      <c r="L103" s="18"/>
      <c r="M103" s="18"/>
      <c r="N103" s="18"/>
      <c r="O103" s="18"/>
      <c r="P103" s="18"/>
    </row>
    <row r="104" spans="1:16" ht="25.5" customHeight="1" x14ac:dyDescent="0.2">
      <c r="A104" s="41" t="s">
        <v>657</v>
      </c>
      <c r="B104" s="42"/>
      <c r="C104" s="42"/>
      <c r="D104" s="42"/>
      <c r="E104" s="43"/>
      <c r="F104" s="43"/>
      <c r="G104" s="43"/>
      <c r="H104" s="43"/>
      <c r="I104" s="43">
        <f>H105</f>
        <v>695000000</v>
      </c>
    </row>
    <row r="105" spans="1:16" ht="24" customHeight="1" x14ac:dyDescent="0.2">
      <c r="A105" s="133"/>
      <c r="B105" s="116">
        <f>'POAI -MARZO-2021'!B224</f>
        <v>4</v>
      </c>
      <c r="C105" s="61" t="str">
        <f>'POAI -MARZO-2021'!D224</f>
        <v xml:space="preserve">LIDERAZGO, GOBERNABILIDAD Y TRANSPARENCIA </v>
      </c>
      <c r="D105" s="61"/>
      <c r="E105" s="61"/>
      <c r="F105" s="61"/>
      <c r="G105" s="61"/>
      <c r="H105" s="476">
        <f>G106</f>
        <v>695000000</v>
      </c>
      <c r="I105" s="61"/>
    </row>
    <row r="106" spans="1:16" ht="25.5" customHeight="1" x14ac:dyDescent="0.2">
      <c r="A106" s="133"/>
      <c r="B106" s="71"/>
      <c r="C106" s="64">
        <f>'POAI -MARZO-2021'!D225</f>
        <v>45</v>
      </c>
      <c r="D106" s="62" t="str">
        <f>'POAI -MARZO-2021'!E225</f>
        <v>Gobierno territorial</v>
      </c>
      <c r="E106" s="478"/>
      <c r="F106" s="478"/>
      <c r="G106" s="479">
        <f>SUM(F107:F108)</f>
        <v>695000000</v>
      </c>
      <c r="H106" s="480"/>
      <c r="I106" s="478"/>
    </row>
    <row r="107" spans="1:16" s="9" customFormat="1" ht="74.25" customHeight="1" x14ac:dyDescent="0.25">
      <c r="A107" s="115"/>
      <c r="B107" s="71"/>
      <c r="C107" s="71"/>
      <c r="D107" s="71">
        <f>'POAI -MARZO-2021'!F226</f>
        <v>4599</v>
      </c>
      <c r="E107" s="364" t="str">
        <f>'POAI -MARZO-2021'!G226</f>
        <v>Fortalecimiento a la gestión y dirección de la administración pública territorial "Quindío con una administración al servicio de la ciudadanía"</v>
      </c>
      <c r="F107" s="252">
        <f>'POAI -MARZO-2021'!AI226</f>
        <v>550000000</v>
      </c>
      <c r="G107" s="252"/>
      <c r="H107" s="252"/>
      <c r="I107" s="252"/>
    </row>
    <row r="108" spans="1:16" ht="54.75" customHeight="1" x14ac:dyDescent="0.2">
      <c r="A108" s="133"/>
      <c r="B108" s="71"/>
      <c r="C108" s="71"/>
      <c r="D108" s="71">
        <f>'POAI -MARZO-2021'!F229</f>
        <v>4502</v>
      </c>
      <c r="E108" s="364" t="str">
        <f>'POAI -MARZO-2021'!G229</f>
        <v>Fortalecimiento del buen gobierno para el respeto y garantía de los derechos humanos. "Quindío integrado y participativo"</v>
      </c>
      <c r="F108" s="115">
        <f>'POAI -MARZO-2021'!AI229</f>
        <v>145000000</v>
      </c>
      <c r="G108" s="115"/>
      <c r="H108" s="115"/>
      <c r="I108" s="115"/>
      <c r="J108" s="21"/>
      <c r="K108" s="1"/>
      <c r="L108" s="1"/>
      <c r="M108" s="1"/>
      <c r="N108" s="1"/>
      <c r="O108" s="1"/>
      <c r="P108" s="1"/>
    </row>
    <row r="109" spans="1:16" s="11" customFormat="1" x14ac:dyDescent="0.2">
      <c r="A109" s="1"/>
      <c r="B109" s="13"/>
      <c r="C109" s="13"/>
      <c r="D109" s="13"/>
      <c r="E109" s="14"/>
      <c r="F109" s="14"/>
      <c r="G109" s="14"/>
      <c r="H109" s="14"/>
      <c r="I109" s="14"/>
      <c r="J109" s="48"/>
      <c r="K109" s="18"/>
      <c r="L109" s="18"/>
      <c r="M109" s="18"/>
      <c r="N109" s="18"/>
      <c r="O109" s="18"/>
      <c r="P109" s="18"/>
    </row>
    <row r="110" spans="1:16" ht="27" customHeight="1" x14ac:dyDescent="0.2">
      <c r="A110" s="41" t="s">
        <v>676</v>
      </c>
      <c r="B110" s="42"/>
      <c r="C110" s="42"/>
      <c r="D110" s="42"/>
      <c r="E110" s="43"/>
      <c r="F110" s="43"/>
      <c r="G110" s="43"/>
      <c r="H110" s="43"/>
      <c r="I110" s="43">
        <f>SUM(H111:H115)</f>
        <v>188710574997.32007</v>
      </c>
      <c r="J110" s="21"/>
      <c r="K110" s="1"/>
      <c r="L110" s="1"/>
      <c r="M110" s="1"/>
      <c r="N110" s="1"/>
      <c r="O110" s="1"/>
      <c r="P110" s="1"/>
    </row>
    <row r="111" spans="1:16" ht="24.75" customHeight="1" x14ac:dyDescent="0.2">
      <c r="A111" s="133"/>
      <c r="B111" s="116">
        <f>'POAI -MARZO-2021'!B233</f>
        <v>1</v>
      </c>
      <c r="C111" s="61" t="str">
        <f>'POAI -MARZO-2021'!D233</f>
        <v xml:space="preserve">INCLUSIÓN SOCIAL Y EQUIDAD </v>
      </c>
      <c r="D111" s="61"/>
      <c r="E111" s="61"/>
      <c r="F111" s="61"/>
      <c r="G111" s="61"/>
      <c r="H111" s="476">
        <f>SUM(G112)</f>
        <v>188703074997.32007</v>
      </c>
      <c r="I111" s="61"/>
      <c r="J111" s="21"/>
      <c r="K111" s="1"/>
      <c r="L111" s="1"/>
      <c r="M111" s="1"/>
      <c r="N111" s="1"/>
      <c r="O111" s="1"/>
      <c r="P111" s="1"/>
    </row>
    <row r="112" spans="1:16" ht="25.5" customHeight="1" x14ac:dyDescent="0.2">
      <c r="A112" s="133"/>
      <c r="B112" s="71"/>
      <c r="C112" s="64">
        <f>'POAI -MARZO-2021'!D234</f>
        <v>22</v>
      </c>
      <c r="D112" s="64" t="str">
        <f>'POAI -MARZO-2021'!E234</f>
        <v>Educación</v>
      </c>
      <c r="E112" s="478"/>
      <c r="F112" s="478"/>
      <c r="G112" s="479">
        <f>SUM(F113:F114)</f>
        <v>188703074997.32007</v>
      </c>
      <c r="H112" s="480"/>
      <c r="I112" s="478"/>
    </row>
    <row r="113" spans="1:16" ht="55.5" customHeight="1" x14ac:dyDescent="0.2">
      <c r="A113" s="133"/>
      <c r="B113" s="71"/>
      <c r="C113" s="71"/>
      <c r="D113" s="244">
        <f>'POAI -MARZO-2021'!F235</f>
        <v>2201</v>
      </c>
      <c r="E113" s="364" t="str">
        <f>'POAI -MARZO-2021'!G235</f>
        <v>Calidad, cobertura y fortalecimiento de la educación inicial, prescolar, básica y media." Tú y yo con educación y de calidad"</v>
      </c>
      <c r="F113" s="115">
        <f>'POAI -MARZO-2021'!AI235</f>
        <v>188603074997.32007</v>
      </c>
      <c r="G113" s="115"/>
      <c r="H113" s="115"/>
      <c r="I113" s="115"/>
      <c r="J113" s="21"/>
      <c r="K113" s="1"/>
      <c r="L113" s="1"/>
      <c r="M113" s="1"/>
      <c r="N113" s="1"/>
      <c r="O113" s="1"/>
      <c r="P113" s="1"/>
    </row>
    <row r="114" spans="1:16" ht="55.5" customHeight="1" x14ac:dyDescent="0.2">
      <c r="A114" s="133"/>
      <c r="B114" s="71"/>
      <c r="C114" s="71"/>
      <c r="D114" s="71">
        <f>'POAI -MARZO-2021'!F270</f>
        <v>2202</v>
      </c>
      <c r="E114" s="364" t="str">
        <f>'POAI -MARZO-2021'!G270</f>
        <v>Calidad y fomento de la Educación "Tú y yo preparados para la educación superior"</v>
      </c>
      <c r="F114" s="252">
        <f>'POAI -MARZO-2021'!AI270</f>
        <v>100000000</v>
      </c>
      <c r="G114" s="252"/>
      <c r="H114" s="252"/>
      <c r="I114" s="252"/>
      <c r="J114" s="21"/>
      <c r="K114" s="1"/>
      <c r="L114" s="1"/>
      <c r="M114" s="1"/>
      <c r="N114" s="1"/>
      <c r="O114" s="1"/>
      <c r="P114" s="1"/>
    </row>
    <row r="115" spans="1:16" ht="25.5" customHeight="1" x14ac:dyDescent="0.2">
      <c r="A115" s="133"/>
      <c r="B115" s="116">
        <f>'POAI -MARZO-2021'!B272</f>
        <v>2</v>
      </c>
      <c r="C115" s="61" t="str">
        <f>'POAI -MARZO-2021'!D272</f>
        <v>PRODUCTIVIDAD Y COMPETITIVIDAD</v>
      </c>
      <c r="D115" s="61"/>
      <c r="E115" s="61"/>
      <c r="F115" s="61"/>
      <c r="G115" s="61"/>
      <c r="H115" s="476">
        <f>G116</f>
        <v>7500000</v>
      </c>
      <c r="I115" s="61"/>
      <c r="J115" s="22"/>
      <c r="K115" s="22"/>
      <c r="L115" s="22"/>
      <c r="M115" s="22"/>
      <c r="N115" s="22"/>
      <c r="O115" s="23"/>
    </row>
    <row r="116" spans="1:16" ht="25.5" customHeight="1" x14ac:dyDescent="0.2">
      <c r="A116" s="133"/>
      <c r="B116" s="71"/>
      <c r="C116" s="64">
        <f>'POAI -MARZO-2021'!D273</f>
        <v>39</v>
      </c>
      <c r="D116" s="62" t="str">
        <f>'POAI -MARZO-2021'!E273</f>
        <v>Ciencia, Tecnología e Innovación</v>
      </c>
      <c r="E116" s="62"/>
      <c r="F116" s="478"/>
      <c r="G116" s="479">
        <f>SUM(F117)</f>
        <v>7500000</v>
      </c>
      <c r="H116" s="480"/>
      <c r="I116" s="478"/>
    </row>
    <row r="117" spans="1:16" ht="39.75" customHeight="1" x14ac:dyDescent="0.2">
      <c r="A117" s="133"/>
      <c r="B117" s="71"/>
      <c r="C117" s="71"/>
      <c r="D117" s="71">
        <f>'POAI -MARZO-2021'!F274</f>
        <v>3904</v>
      </c>
      <c r="E117" s="364" t="str">
        <f>'POAI -MARZO-2021'!G274</f>
        <v>Generación de una cultura qué valora y gestiona en conocimiento y la innovación.</v>
      </c>
      <c r="F117" s="252">
        <f>'POAI -MARZO-2021'!AI274</f>
        <v>7500000</v>
      </c>
      <c r="G117" s="252"/>
      <c r="H117" s="252"/>
      <c r="I117" s="252"/>
      <c r="J117" s="21"/>
      <c r="K117" s="1"/>
      <c r="L117" s="1"/>
      <c r="M117" s="1"/>
      <c r="N117" s="1"/>
      <c r="O117" s="1"/>
      <c r="P117" s="1"/>
    </row>
    <row r="118" spans="1:16" s="11" customFormat="1" x14ac:dyDescent="0.2">
      <c r="A118" s="1"/>
      <c r="B118" s="13"/>
      <c r="C118" s="13"/>
      <c r="D118" s="13"/>
      <c r="E118" s="14"/>
      <c r="F118" s="14"/>
      <c r="G118" s="14"/>
      <c r="H118" s="14"/>
      <c r="I118" s="14"/>
      <c r="J118" s="48"/>
      <c r="K118" s="18"/>
      <c r="L118" s="18"/>
      <c r="M118" s="18"/>
      <c r="N118" s="18"/>
      <c r="O118" s="18"/>
      <c r="P118" s="18"/>
    </row>
    <row r="119" spans="1:16" s="11" customFormat="1" ht="24.75" customHeight="1" x14ac:dyDescent="0.2">
      <c r="A119" s="41" t="s">
        <v>795</v>
      </c>
      <c r="B119" s="42"/>
      <c r="C119" s="42"/>
      <c r="D119" s="42"/>
      <c r="E119" s="43"/>
      <c r="F119" s="43"/>
      <c r="G119" s="43"/>
      <c r="H119" s="43"/>
      <c r="I119" s="43">
        <f>SUM(H120:H134)</f>
        <v>5182789574</v>
      </c>
      <c r="J119" s="48"/>
      <c r="K119" s="18"/>
      <c r="L119" s="18"/>
      <c r="M119" s="18"/>
      <c r="N119" s="18"/>
      <c r="O119" s="18"/>
      <c r="P119" s="18"/>
    </row>
    <row r="120" spans="1:16" s="11" customFormat="1" ht="20.25" customHeight="1" x14ac:dyDescent="0.2">
      <c r="A120" s="487"/>
      <c r="B120" s="116">
        <f>'POAI -MARZO-2021'!B278</f>
        <v>1</v>
      </c>
      <c r="C120" s="61" t="str">
        <f>'POAI -MARZO-2021'!D278</f>
        <v xml:space="preserve">INCLUSIÓN SOCIAL Y EQUIDAD </v>
      </c>
      <c r="D120" s="61"/>
      <c r="E120" s="61"/>
      <c r="F120" s="61"/>
      <c r="G120" s="61"/>
      <c r="H120" s="476">
        <f>SUM(G121:G128)</f>
        <v>4791789574</v>
      </c>
      <c r="I120" s="61"/>
      <c r="J120" s="48"/>
      <c r="K120" s="18"/>
      <c r="L120" s="18"/>
      <c r="M120" s="18"/>
      <c r="N120" s="18"/>
      <c r="O120" s="18"/>
      <c r="P120" s="18"/>
    </row>
    <row r="121" spans="1:16" ht="25.5" customHeight="1" x14ac:dyDescent="0.2">
      <c r="A121" s="133"/>
      <c r="B121" s="71"/>
      <c r="C121" s="64">
        <f>'POAI -MARZO-2021'!D279</f>
        <v>19</v>
      </c>
      <c r="D121" s="62" t="str">
        <f>'POAI -MARZO-2021'!E279</f>
        <v>Salud y protección social</v>
      </c>
      <c r="E121" s="478"/>
      <c r="F121" s="478"/>
      <c r="G121" s="479">
        <f>F122</f>
        <v>175000000</v>
      </c>
      <c r="H121" s="480"/>
      <c r="I121" s="478"/>
    </row>
    <row r="122" spans="1:16" s="11" customFormat="1" ht="51" customHeight="1" x14ac:dyDescent="0.2">
      <c r="A122" s="487"/>
      <c r="B122" s="71"/>
      <c r="C122" s="71"/>
      <c r="D122" s="71">
        <f>'POAI -MARZO-2021'!F280</f>
        <v>1905</v>
      </c>
      <c r="E122" s="488" t="str">
        <f>'POAI -MARZO-2021'!G280</f>
        <v>Salud Pública, "Tú y yo con salud de calidad"</v>
      </c>
      <c r="F122" s="252">
        <f>'POAI -MARZO-2021'!AI280</f>
        <v>175000000</v>
      </c>
      <c r="G122" s="252"/>
      <c r="H122" s="489"/>
      <c r="I122" s="489"/>
      <c r="J122" s="49"/>
    </row>
    <row r="123" spans="1:16" ht="25.5" customHeight="1" x14ac:dyDescent="0.2">
      <c r="A123" s="133"/>
      <c r="B123" s="71"/>
      <c r="C123" s="64">
        <f>'POAI -MARZO-2021'!D283</f>
        <v>33</v>
      </c>
      <c r="D123" s="481" t="str">
        <f>'POAI -MARZO-2021'!E283</f>
        <v>Cultura</v>
      </c>
      <c r="E123" s="482"/>
      <c r="F123" s="478"/>
      <c r="G123" s="479">
        <f>F124</f>
        <v>14250000</v>
      </c>
      <c r="H123" s="480"/>
      <c r="I123" s="478"/>
    </row>
    <row r="124" spans="1:16" s="11" customFormat="1" ht="51.75" customHeight="1" x14ac:dyDescent="0.2">
      <c r="A124" s="487"/>
      <c r="B124" s="71"/>
      <c r="C124" s="71"/>
      <c r="D124" s="71">
        <f>'POAI -MARZO-2021'!F284</f>
        <v>3301</v>
      </c>
      <c r="E124" s="364" t="str">
        <f>'POAI -MARZO-2021'!G284</f>
        <v>Promoción y acceso efectivo a procesos culturales y artísticos. "Tú y yo somos cultura Quindiana"</v>
      </c>
      <c r="F124" s="252">
        <f>'POAI -MARZO-2021'!AI284</f>
        <v>14250000</v>
      </c>
      <c r="G124" s="252"/>
      <c r="H124" s="252"/>
      <c r="I124" s="252"/>
      <c r="J124" s="49"/>
    </row>
    <row r="125" spans="1:16" ht="25.5" customHeight="1" x14ac:dyDescent="0.2">
      <c r="A125" s="133"/>
      <c r="B125" s="71"/>
      <c r="C125" s="64">
        <f>'POAI -MARZO-2021'!D286</f>
        <v>41</v>
      </c>
      <c r="D125" s="62" t="str">
        <f>'POAI -MARZO-2021'!E286</f>
        <v>Inclusión social y Reconciliación</v>
      </c>
      <c r="E125" s="478"/>
      <c r="F125" s="478"/>
      <c r="G125" s="479">
        <f>SUM(F126:F128)</f>
        <v>4602539574</v>
      </c>
      <c r="H125" s="480"/>
      <c r="I125" s="478"/>
    </row>
    <row r="126" spans="1:16" s="11" customFormat="1" ht="53.25" customHeight="1" x14ac:dyDescent="0.2">
      <c r="A126" s="487"/>
      <c r="B126" s="71"/>
      <c r="C126" s="71"/>
      <c r="D126" s="71">
        <f>'POAI -MARZO-2021'!F287</f>
        <v>4102</v>
      </c>
      <c r="E126" s="364" t="str">
        <f>'POAI -MARZO-2021'!G287</f>
        <v>Desarrollo Integral de Niños, Niñas, Adolescentes y sus Familias. "Tú y yo niños, niñas y adolescentes con desarrollo integral"</v>
      </c>
      <c r="F126" s="252">
        <f>'POAI -MARZO-2021'!AI287</f>
        <v>748000000</v>
      </c>
      <c r="G126" s="252"/>
      <c r="H126" s="252"/>
      <c r="I126" s="252"/>
      <c r="J126" s="49"/>
    </row>
    <row r="127" spans="1:16" s="11" customFormat="1" ht="48.75" customHeight="1" x14ac:dyDescent="0.2">
      <c r="A127" s="487"/>
      <c r="B127" s="71"/>
      <c r="C127" s="71"/>
      <c r="D127" s="71">
        <f>'POAI -MARZO-2021'!F298</f>
        <v>4103</v>
      </c>
      <c r="E127" s="364" t="str">
        <f>'POAI -MARZO-2021'!G298</f>
        <v>Inclusión social y productiva para la población en situación de vulnerabilidad. "Tú y yo, población vulnerable incluida"</v>
      </c>
      <c r="F127" s="252">
        <f>'POAI -MARZO-2021'!AI298</f>
        <v>175000000</v>
      </c>
      <c r="G127" s="252"/>
      <c r="H127" s="252"/>
      <c r="I127" s="252"/>
      <c r="J127" s="49"/>
    </row>
    <row r="128" spans="1:16" s="11" customFormat="1" ht="51.75" customHeight="1" x14ac:dyDescent="0.2">
      <c r="A128" s="487"/>
      <c r="B128" s="71"/>
      <c r="C128" s="71"/>
      <c r="D128" s="71">
        <f>'POAI -MARZO-2021'!F306</f>
        <v>4104</v>
      </c>
      <c r="E128" s="364" t="str">
        <f>'POAI -MARZO-2021'!G306</f>
        <v>Atención integral de población en situación permanente de desprotección social y/o familiar "Tú y yo con atención integral"</v>
      </c>
      <c r="F128" s="252">
        <f>'POAI -MARZO-2021'!AI306</f>
        <v>3679539574</v>
      </c>
      <c r="G128" s="252"/>
      <c r="H128" s="252"/>
      <c r="I128" s="252"/>
      <c r="J128" s="49"/>
    </row>
    <row r="129" spans="1:16" s="11" customFormat="1" ht="20.25" customHeight="1" x14ac:dyDescent="0.2">
      <c r="A129" s="487"/>
      <c r="B129" s="116">
        <f>'POAI -MARZO-2021'!B312</f>
        <v>2</v>
      </c>
      <c r="C129" s="61" t="str">
        <f>'POAI -MARZO-2021'!D312</f>
        <v>PRODUCTIVIDAD Y COMPETITIVIDAD</v>
      </c>
      <c r="D129" s="61"/>
      <c r="E129" s="61"/>
      <c r="F129" s="61"/>
      <c r="G129" s="61"/>
      <c r="H129" s="476">
        <f>SUM(G130:G132)</f>
        <v>36000000</v>
      </c>
      <c r="I129" s="61"/>
      <c r="J129" s="48"/>
      <c r="K129" s="18"/>
      <c r="L129" s="18"/>
      <c r="M129" s="18"/>
      <c r="N129" s="18"/>
      <c r="O129" s="18"/>
      <c r="P129" s="18"/>
    </row>
    <row r="130" spans="1:16" ht="25.5" customHeight="1" x14ac:dyDescent="0.2">
      <c r="A130" s="133"/>
      <c r="B130" s="71"/>
      <c r="C130" s="64">
        <f>'POAI -MARZO-2021'!D313</f>
        <v>17</v>
      </c>
      <c r="D130" s="62" t="str">
        <f>'POAI -MARZO-2021'!E313</f>
        <v>Agricultura y desarrollo rural</v>
      </c>
      <c r="E130" s="478"/>
      <c r="F130" s="478"/>
      <c r="G130" s="479">
        <f>F131</f>
        <v>18000000</v>
      </c>
      <c r="H130" s="480"/>
      <c r="I130" s="478"/>
    </row>
    <row r="131" spans="1:16" s="11" customFormat="1" ht="51.75" customHeight="1" x14ac:dyDescent="0.2">
      <c r="A131" s="487"/>
      <c r="B131" s="71"/>
      <c r="C131" s="71"/>
      <c r="D131" s="71">
        <f>'POAI -MARZO-2021'!F314</f>
        <v>1702</v>
      </c>
      <c r="E131" s="364" t="str">
        <f>'POAI -MARZO-2021'!G314</f>
        <v>Inclusión productiva de pequeños productores rurales. "Tú y yo con oportunidades para el pequeño campesino"</v>
      </c>
      <c r="F131" s="252">
        <f>'POAI -MARZO-2021'!AI314</f>
        <v>18000000</v>
      </c>
      <c r="G131" s="252"/>
      <c r="H131" s="252"/>
      <c r="I131" s="252"/>
      <c r="J131" s="49"/>
    </row>
    <row r="132" spans="1:16" ht="25.5" customHeight="1" x14ac:dyDescent="0.2">
      <c r="A132" s="133"/>
      <c r="B132" s="71"/>
      <c r="C132" s="64">
        <f>'POAI -MARZO-2021'!D316</f>
        <v>36</v>
      </c>
      <c r="D132" s="481" t="str">
        <f>'POAI -MARZO-2021'!E316</f>
        <v>Trabajo</v>
      </c>
      <c r="E132" s="482"/>
      <c r="F132" s="478"/>
      <c r="G132" s="479">
        <f>F133</f>
        <v>18000000</v>
      </c>
      <c r="H132" s="480"/>
      <c r="I132" s="478"/>
    </row>
    <row r="133" spans="1:16" s="11" customFormat="1" ht="51" customHeight="1" x14ac:dyDescent="0.2">
      <c r="A133" s="487"/>
      <c r="B133" s="71"/>
      <c r="C133" s="71"/>
      <c r="D133" s="71">
        <f>'POAI -MARZO-2021'!F317</f>
        <v>3604</v>
      </c>
      <c r="E133" s="364" t="str">
        <f>'POAI -MARZO-2021'!G317</f>
        <v>Derechos fundamentales del trabajo y fortalecimiento del diálogo social. "Tú y yo con una niñez protegida"</v>
      </c>
      <c r="F133" s="252">
        <f>'POAI -MARZO-2021'!AI317</f>
        <v>18000000</v>
      </c>
      <c r="G133" s="252"/>
      <c r="H133" s="252"/>
      <c r="I133" s="252"/>
      <c r="J133" s="49"/>
    </row>
    <row r="134" spans="1:16" s="11" customFormat="1" ht="21" customHeight="1" x14ac:dyDescent="0.2">
      <c r="A134" s="487"/>
      <c r="B134" s="116">
        <f>'POAI -MARZO-2021'!B319</f>
        <v>4</v>
      </c>
      <c r="C134" s="61" t="str">
        <f>'POAI -MARZO-2021'!D319</f>
        <v xml:space="preserve">LIDERAZGO, GOBERNABILIDAD Y TRANSPARENCIA </v>
      </c>
      <c r="D134" s="61"/>
      <c r="E134" s="61"/>
      <c r="F134" s="61"/>
      <c r="G134" s="61"/>
      <c r="H134" s="476">
        <f>G135</f>
        <v>355000000</v>
      </c>
      <c r="I134" s="61"/>
      <c r="J134" s="48"/>
      <c r="K134" s="18"/>
      <c r="L134" s="18"/>
      <c r="M134" s="18"/>
      <c r="N134" s="18"/>
      <c r="O134" s="18"/>
      <c r="P134" s="18"/>
    </row>
    <row r="135" spans="1:16" ht="25.5" customHeight="1" x14ac:dyDescent="0.2">
      <c r="A135" s="270"/>
      <c r="B135" s="490"/>
      <c r="C135" s="491">
        <f>'POAI -MARZO-2021'!D320</f>
        <v>45</v>
      </c>
      <c r="D135" s="492" t="str">
        <f>'POAI -MARZO-2021'!E320</f>
        <v>Gobierno Territorial</v>
      </c>
      <c r="E135" s="493"/>
      <c r="F135" s="493"/>
      <c r="G135" s="494">
        <f>SUM(F136:F137)</f>
        <v>355000000</v>
      </c>
      <c r="H135" s="495"/>
      <c r="I135" s="493"/>
    </row>
    <row r="136" spans="1:16" ht="50.25" customHeight="1" x14ac:dyDescent="0.2">
      <c r="A136" s="496"/>
      <c r="B136" s="357"/>
      <c r="C136" s="497"/>
      <c r="D136" s="357">
        <f>'POAI -MARZO-2021'!F321</f>
        <v>4502</v>
      </c>
      <c r="E136" s="358" t="str">
        <f>'POAI -MARZO-2021'!G321</f>
        <v>Fortalecimiento del buen gobierno para el respeto y garantía de los derechos humanos. "Quindío integrado y participativo"</v>
      </c>
      <c r="F136" s="5">
        <f>'POAI -MARZO-2021'!AI321</f>
        <v>251000000</v>
      </c>
      <c r="G136" s="498"/>
      <c r="H136" s="499"/>
      <c r="I136" s="500"/>
    </row>
    <row r="137" spans="1:16" ht="76.5" customHeight="1" x14ac:dyDescent="0.2">
      <c r="A137" s="496"/>
      <c r="B137" s="357"/>
      <c r="C137" s="497"/>
      <c r="D137" s="357">
        <f>'POAI -MARZO-2021'!F327</f>
        <v>4599</v>
      </c>
      <c r="E137" s="356" t="str">
        <f>'POAI -MARZO-2021'!G327</f>
        <v>Fortalecimiento a la gestión y dirección de la administración pública territorial "Quindío con una administración al servicio de la ciudadanía"</v>
      </c>
      <c r="F137" s="5">
        <f>'POAI -MARZO-2021'!AI327</f>
        <v>104000000</v>
      </c>
      <c r="G137" s="498"/>
      <c r="H137" s="499"/>
      <c r="I137" s="500"/>
    </row>
    <row r="138" spans="1:16" s="11" customFormat="1" x14ac:dyDescent="0.2">
      <c r="A138" s="1"/>
      <c r="B138" s="13"/>
      <c r="C138" s="13"/>
      <c r="D138" s="13"/>
      <c r="E138" s="14"/>
      <c r="F138" s="14"/>
      <c r="G138" s="14"/>
      <c r="H138" s="14"/>
      <c r="I138" s="14"/>
      <c r="J138" s="48"/>
      <c r="K138" s="18"/>
      <c r="L138" s="18"/>
      <c r="M138" s="18"/>
      <c r="N138" s="18"/>
      <c r="O138" s="18"/>
      <c r="P138" s="18"/>
    </row>
    <row r="139" spans="1:16" ht="30.75" customHeight="1" x14ac:dyDescent="0.2">
      <c r="A139" s="41" t="s">
        <v>1017</v>
      </c>
      <c r="B139" s="42"/>
      <c r="C139" s="42"/>
      <c r="D139" s="42"/>
      <c r="E139" s="43"/>
      <c r="F139" s="43"/>
      <c r="G139" s="43"/>
      <c r="H139" s="43"/>
      <c r="I139" s="43">
        <f>H140</f>
        <v>47203229647.489998</v>
      </c>
    </row>
    <row r="140" spans="1:16" ht="28.5" customHeight="1" x14ac:dyDescent="0.2">
      <c r="A140" s="133"/>
      <c r="B140" s="116">
        <f>'POAI -MARZO-2021'!B333</f>
        <v>1</v>
      </c>
      <c r="C140" s="61" t="str">
        <f>'POAI -MARZO-2021'!D333</f>
        <v xml:space="preserve">INCLUSIÓN SOCIAL Y EQUIDAD </v>
      </c>
      <c r="D140" s="61"/>
      <c r="E140" s="61"/>
      <c r="F140" s="61"/>
      <c r="G140" s="61"/>
      <c r="H140" s="476">
        <f>G141</f>
        <v>47203229647.489998</v>
      </c>
      <c r="I140" s="61"/>
    </row>
    <row r="141" spans="1:16" ht="25.5" customHeight="1" x14ac:dyDescent="0.2">
      <c r="A141" s="133"/>
      <c r="B141" s="71"/>
      <c r="C141" s="64">
        <f>'POAI -MARZO-2021'!D334</f>
        <v>19</v>
      </c>
      <c r="D141" s="62" t="str">
        <f>'POAI -MARZO-2021'!E334</f>
        <v>Salud y protección social</v>
      </c>
      <c r="E141" s="478"/>
      <c r="F141" s="478"/>
      <c r="G141" s="479">
        <f>SUM(F142:F144)</f>
        <v>47203229647.489998</v>
      </c>
      <c r="H141" s="480"/>
      <c r="I141" s="478"/>
    </row>
    <row r="142" spans="1:16" ht="35.25" customHeight="1" x14ac:dyDescent="0.2">
      <c r="A142" s="133"/>
      <c r="B142" s="71"/>
      <c r="C142" s="71"/>
      <c r="D142" s="71">
        <f>'POAI -MARZO-2021'!F335</f>
        <v>1903</v>
      </c>
      <c r="E142" s="364" t="str">
        <f>'POAI -MARZO-2021'!G335</f>
        <v xml:space="preserve">Inspección, vigilancia y control. "Tú y yo con salud certificada" </v>
      </c>
      <c r="F142" s="252">
        <f>'POAI -MARZO-2021'!AI335</f>
        <v>2611085314</v>
      </c>
      <c r="G142" s="252"/>
      <c r="H142" s="252"/>
      <c r="I142" s="252"/>
      <c r="J142" s="21"/>
      <c r="K142" s="1"/>
      <c r="L142" s="1"/>
      <c r="M142" s="1"/>
      <c r="N142" s="1"/>
      <c r="O142" s="1"/>
      <c r="P142" s="1"/>
    </row>
    <row r="143" spans="1:16" ht="31.5" customHeight="1" x14ac:dyDescent="0.2">
      <c r="A143" s="133"/>
      <c r="B143" s="71"/>
      <c r="C143" s="71"/>
      <c r="D143" s="71">
        <f>'POAI -MARZO-2021'!F358</f>
        <v>1905</v>
      </c>
      <c r="E143" s="364" t="str">
        <f>'POAI -MARZO-2021'!G358</f>
        <v>Salud Pública, "Tú y yo con salud de calidad"</v>
      </c>
      <c r="F143" s="252">
        <f>'POAI -MARZO-2021'!AI358</f>
        <v>5224357109.4899998</v>
      </c>
      <c r="G143" s="252"/>
      <c r="H143" s="252"/>
      <c r="I143" s="252"/>
      <c r="J143" s="21"/>
      <c r="K143" s="1"/>
      <c r="L143" s="1"/>
      <c r="M143" s="1"/>
      <c r="N143" s="1"/>
      <c r="O143" s="1"/>
      <c r="P143" s="1"/>
    </row>
    <row r="144" spans="1:16" ht="57.75" customHeight="1" x14ac:dyDescent="0.2">
      <c r="A144" s="133"/>
      <c r="B144" s="71"/>
      <c r="C144" s="71"/>
      <c r="D144" s="71">
        <f>'POAI -MARZO-2021'!F388</f>
        <v>1906</v>
      </c>
      <c r="E144" s="364" t="str">
        <f>'POAI -MARZO-2021'!G388</f>
        <v>Aseguramiento y Prestación integral de servicios de salud "Tú y yo con servicios de salud"</v>
      </c>
      <c r="F144" s="252">
        <f>'POAI -MARZO-2021'!AI388</f>
        <v>39367787224</v>
      </c>
      <c r="G144" s="252"/>
      <c r="H144" s="252"/>
      <c r="I144" s="252"/>
      <c r="J144" s="21"/>
      <c r="K144" s="1"/>
      <c r="L144" s="1"/>
      <c r="M144" s="1"/>
      <c r="N144" s="1"/>
      <c r="O144" s="1"/>
      <c r="P144" s="1"/>
    </row>
    <row r="145" spans="1:16" s="11" customFormat="1" x14ac:dyDescent="0.2">
      <c r="A145" s="1"/>
      <c r="B145" s="13"/>
      <c r="C145" s="13"/>
      <c r="D145" s="13"/>
      <c r="E145" s="14"/>
      <c r="F145" s="14"/>
      <c r="G145" s="14"/>
      <c r="H145" s="14"/>
      <c r="I145" s="14"/>
      <c r="J145" s="48"/>
      <c r="K145" s="18"/>
      <c r="L145" s="18"/>
      <c r="M145" s="18"/>
      <c r="N145" s="18"/>
      <c r="O145" s="18"/>
      <c r="P145" s="18"/>
    </row>
    <row r="146" spans="1:16" s="9" customFormat="1" ht="29.25" customHeight="1" x14ac:dyDescent="0.25">
      <c r="A146" s="41" t="s">
        <v>1236</v>
      </c>
      <c r="B146" s="42"/>
      <c r="C146" s="42"/>
      <c r="D146" s="42"/>
      <c r="E146" s="43"/>
      <c r="F146" s="43"/>
      <c r="G146" s="43"/>
      <c r="H146" s="43"/>
      <c r="I146" s="43">
        <f>SUM(H147:H155)</f>
        <v>896000000</v>
      </c>
      <c r="J146" s="8"/>
      <c r="K146" s="8"/>
      <c r="L146" s="8"/>
      <c r="M146" s="8"/>
      <c r="N146" s="8"/>
      <c r="O146" s="8"/>
      <c r="P146" s="8"/>
    </row>
    <row r="147" spans="1:16" s="9" customFormat="1" ht="25.5" customHeight="1" x14ac:dyDescent="0.25">
      <c r="A147" s="115"/>
      <c r="B147" s="116">
        <f>'POAI -MARZO-2021'!B401</f>
        <v>1</v>
      </c>
      <c r="C147" s="61" t="str">
        <f>'POAI -MARZO-2021'!D401</f>
        <v xml:space="preserve">INCLUSIÓN SOCIAL Y EQUIDAD </v>
      </c>
      <c r="D147" s="61"/>
      <c r="E147" s="61"/>
      <c r="F147" s="61"/>
      <c r="G147" s="61"/>
      <c r="H147" s="476">
        <f>G148</f>
        <v>520000000</v>
      </c>
      <c r="I147" s="61"/>
      <c r="J147" s="8"/>
      <c r="K147" s="8"/>
      <c r="L147" s="8"/>
      <c r="M147" s="8"/>
      <c r="N147" s="8"/>
      <c r="O147" s="8"/>
      <c r="P147" s="8"/>
    </row>
    <row r="148" spans="1:16" ht="25.5" customHeight="1" x14ac:dyDescent="0.2">
      <c r="A148" s="133"/>
      <c r="B148" s="71"/>
      <c r="C148" s="64">
        <f>'POAI -MARZO-2021'!D402</f>
        <v>23</v>
      </c>
      <c r="D148" s="62" t="str">
        <f>'POAI -MARZO-2021'!E402</f>
        <v>Tecnologías de la información y las comunicaciones</v>
      </c>
      <c r="E148" s="478"/>
      <c r="F148" s="478"/>
      <c r="G148" s="479">
        <f>SUM(F149:F150)</f>
        <v>520000000</v>
      </c>
      <c r="H148" s="480"/>
      <c r="I148" s="478"/>
    </row>
    <row r="149" spans="1:16" s="9" customFormat="1" ht="75.75" customHeight="1" x14ac:dyDescent="0.25">
      <c r="A149" s="115"/>
      <c r="B149" s="71"/>
      <c r="C149" s="71"/>
      <c r="D149" s="244">
        <f>'POAI -MARZO-2021'!F403</f>
        <v>2301</v>
      </c>
      <c r="E149" s="364" t="str">
        <f>'POAI -MARZO-2021'!G403</f>
        <v>Facilitar en acceso y uso de las Tecnologías de la Información y las Comunicaciones (TIC)  en todo el territorio nacional.  "Tú y yo somos ciudadanos TIC"</v>
      </c>
      <c r="F149" s="252">
        <f>'POAI -MARZO-2021'!AI403</f>
        <v>374000000</v>
      </c>
      <c r="G149" s="252"/>
      <c r="H149" s="252"/>
      <c r="I149" s="252"/>
    </row>
    <row r="150" spans="1:16" s="9" customFormat="1" ht="76.5" customHeight="1" x14ac:dyDescent="0.25">
      <c r="A150" s="115"/>
      <c r="B150" s="71"/>
      <c r="C150" s="71"/>
      <c r="D150" s="244">
        <f>'POAI -MARZO-2021'!F413</f>
        <v>2302</v>
      </c>
      <c r="E150" s="364" t="str">
        <f>'POAI -MARZO-2021'!G413</f>
        <v>Fomento del desarrollo de aplicaciones, software y contenidos para impulsar la apropiación de las Tecnologías de la Información y las Comunicaciones (TIC) "Quindío paraíso empresarial TIC-Quindío TIC"</v>
      </c>
      <c r="F150" s="252">
        <f>'POAI -MARZO-2021'!AI413</f>
        <v>146000000</v>
      </c>
      <c r="G150" s="252"/>
      <c r="H150" s="252"/>
      <c r="I150" s="252"/>
    </row>
    <row r="151" spans="1:16" s="9" customFormat="1" ht="26.25" customHeight="1" x14ac:dyDescent="0.25">
      <c r="A151" s="115"/>
      <c r="B151" s="116">
        <f>'POAI -MARZO-2021'!B419</f>
        <v>2</v>
      </c>
      <c r="C151" s="61" t="str">
        <f>'POAI -MARZO-2021'!D419</f>
        <v>PRODUCTIVIDAD Y COMPETITIVIDAD</v>
      </c>
      <c r="D151" s="61"/>
      <c r="E151" s="61"/>
      <c r="F151" s="61"/>
      <c r="G151" s="61"/>
      <c r="H151" s="476">
        <f>G152</f>
        <v>78000000</v>
      </c>
      <c r="I151" s="61"/>
      <c r="J151" s="8"/>
      <c r="K151" s="8"/>
      <c r="L151" s="8"/>
      <c r="M151" s="8"/>
      <c r="N151" s="8"/>
      <c r="O151" s="8"/>
      <c r="P151" s="8"/>
    </row>
    <row r="152" spans="1:16" ht="25.5" customHeight="1" x14ac:dyDescent="0.2">
      <c r="A152" s="133"/>
      <c r="B152" s="71"/>
      <c r="C152" s="64">
        <f>'POAI -MARZO-2021'!D420</f>
        <v>39</v>
      </c>
      <c r="D152" s="62" t="str">
        <f>'POAI -MARZO-2021'!E420</f>
        <v>Ciencia, Tecnología e Innovación</v>
      </c>
      <c r="E152" s="478"/>
      <c r="F152" s="478"/>
      <c r="G152" s="479">
        <f>SUM(F153:F154)</f>
        <v>78000000</v>
      </c>
      <c r="H152" s="480"/>
      <c r="I152" s="478"/>
    </row>
    <row r="153" spans="1:16" s="9" customFormat="1" ht="44.25" customHeight="1" x14ac:dyDescent="0.25">
      <c r="A153" s="115"/>
      <c r="B153" s="71"/>
      <c r="C153" s="71"/>
      <c r="D153" s="244" t="str">
        <f>'POAI -MARZO-2021'!F421</f>
        <v>3903</v>
      </c>
      <c r="E153" s="364" t="str">
        <f>'POAI -MARZO-2021'!G421</f>
        <v xml:space="preserve">Desarrollo tecnológico e innovación para el crecimiento empresarial </v>
      </c>
      <c r="F153" s="252">
        <f>'POAI -MARZO-2021'!AI421</f>
        <v>60000000</v>
      </c>
      <c r="G153" s="252"/>
      <c r="H153" s="252"/>
      <c r="I153" s="252"/>
    </row>
    <row r="154" spans="1:16" s="9" customFormat="1" ht="44.25" customHeight="1" x14ac:dyDescent="0.25">
      <c r="A154" s="115"/>
      <c r="B154" s="71"/>
      <c r="C154" s="71"/>
      <c r="D154" s="244">
        <f>'POAI -MARZO-2021'!F425</f>
        <v>3904</v>
      </c>
      <c r="E154" s="364" t="str">
        <f>'POAI -MARZO-2021'!G425</f>
        <v>Generación de una cultura qué valora y gestiona en conocimiento y la innovación.</v>
      </c>
      <c r="F154" s="252">
        <f>'POAI -MARZO-2021'!AI425</f>
        <v>18000000</v>
      </c>
      <c r="G154" s="252"/>
      <c r="H154" s="252"/>
      <c r="I154" s="252"/>
    </row>
    <row r="155" spans="1:16" s="9" customFormat="1" ht="21" customHeight="1" x14ac:dyDescent="0.25">
      <c r="A155" s="115"/>
      <c r="B155" s="116">
        <f>'POAI -MARZO-2021'!B427</f>
        <v>4</v>
      </c>
      <c r="C155" s="61" t="str">
        <f>'POAI -MARZO-2021'!D427</f>
        <v xml:space="preserve">LIDERAZGO, GOBERNABILIDAD Y TRANSPARENCIA </v>
      </c>
      <c r="D155" s="61"/>
      <c r="E155" s="61"/>
      <c r="F155" s="61"/>
      <c r="G155" s="61"/>
      <c r="H155" s="476">
        <f>G156</f>
        <v>298000000</v>
      </c>
      <c r="I155" s="61"/>
      <c r="J155" s="8"/>
      <c r="K155" s="8"/>
      <c r="L155" s="8"/>
      <c r="M155" s="8"/>
      <c r="N155" s="8"/>
      <c r="O155" s="8"/>
      <c r="P155" s="8"/>
    </row>
    <row r="156" spans="1:16" ht="25.5" customHeight="1" x14ac:dyDescent="0.2">
      <c r="A156" s="133"/>
      <c r="B156" s="71"/>
      <c r="C156" s="64">
        <f>'POAI -MARZO-2021'!D428</f>
        <v>23</v>
      </c>
      <c r="D156" s="62" t="str">
        <f>'POAI -MARZO-2021'!E428</f>
        <v>Tecnologías de la información y las comunicaciones</v>
      </c>
      <c r="E156" s="62"/>
      <c r="F156" s="478"/>
      <c r="G156" s="479">
        <f>F157</f>
        <v>298000000</v>
      </c>
      <c r="H156" s="480"/>
      <c r="I156" s="478"/>
    </row>
    <row r="157" spans="1:16" s="9" customFormat="1" ht="99.75" customHeight="1" x14ac:dyDescent="0.25">
      <c r="A157" s="115"/>
      <c r="B157" s="71"/>
      <c r="C157" s="71"/>
      <c r="D157" s="244">
        <f>'POAI -MARZO-2021'!F429</f>
        <v>2302</v>
      </c>
      <c r="E157" s="364" t="str">
        <f>'POAI -MARZO-2021'!G429</f>
        <v>Fomento del desarrollo de aplicaciones, software y contenidos para impulsar la apropiación de las Tecnologías de la Información y las Comunicaciones (TIC) "Quindío paraíso empresarial TIC-Quindío TIC"</v>
      </c>
      <c r="F157" s="252">
        <f>'POAI -MARZO-2021'!AI429</f>
        <v>298000000</v>
      </c>
      <c r="G157" s="252"/>
      <c r="H157" s="252"/>
      <c r="I157" s="252"/>
    </row>
    <row r="158" spans="1:16" s="11" customFormat="1" ht="18.75" customHeight="1" x14ac:dyDescent="0.2">
      <c r="A158" s="1"/>
      <c r="B158" s="13"/>
      <c r="C158" s="13"/>
      <c r="D158" s="13"/>
      <c r="E158" s="14"/>
      <c r="F158" s="14"/>
      <c r="G158" s="14"/>
      <c r="H158" s="14"/>
      <c r="I158" s="14"/>
      <c r="J158" s="48"/>
      <c r="K158" s="18"/>
      <c r="L158" s="18"/>
      <c r="M158" s="18"/>
      <c r="N158" s="18"/>
      <c r="O158" s="18"/>
      <c r="P158" s="18"/>
    </row>
    <row r="159" spans="1:16" s="28" customFormat="1" ht="39" customHeight="1" x14ac:dyDescent="0.25">
      <c r="A159" s="501" t="s">
        <v>1313</v>
      </c>
      <c r="B159" s="502"/>
      <c r="C159" s="502"/>
      <c r="D159" s="501"/>
      <c r="E159" s="503"/>
      <c r="F159" s="504">
        <f>SUM(F7:F157)</f>
        <v>266871471112.02005</v>
      </c>
      <c r="G159" s="504">
        <f>SUM(G7:G157)</f>
        <v>266871471112.02005</v>
      </c>
      <c r="H159" s="504">
        <f>SUM(H7:H157)</f>
        <v>266871471112.02005</v>
      </c>
      <c r="I159" s="504">
        <f>SUM(I7:I157)</f>
        <v>266871471112.02005</v>
      </c>
      <c r="J159" s="8"/>
      <c r="K159" s="27"/>
      <c r="L159" s="27"/>
      <c r="M159" s="27"/>
      <c r="N159" s="27"/>
      <c r="O159" s="27"/>
      <c r="P159" s="27"/>
    </row>
    <row r="160" spans="1:16" s="11" customFormat="1" ht="29.25" customHeight="1" x14ac:dyDescent="0.2">
      <c r="A160" s="1"/>
      <c r="B160" s="13"/>
      <c r="C160" s="13"/>
      <c r="D160" s="13"/>
      <c r="E160" s="14"/>
      <c r="F160" s="14"/>
      <c r="G160" s="14"/>
      <c r="H160" s="14"/>
      <c r="I160" s="14"/>
      <c r="J160" s="48"/>
      <c r="K160" s="18"/>
      <c r="L160" s="18"/>
      <c r="M160" s="18"/>
      <c r="N160" s="18"/>
      <c r="O160" s="18"/>
      <c r="P160" s="18"/>
    </row>
    <row r="161" spans="1:16" ht="30.75" customHeight="1" x14ac:dyDescent="0.2">
      <c r="A161" s="41" t="s">
        <v>1314</v>
      </c>
      <c r="B161" s="42"/>
      <c r="C161" s="42"/>
      <c r="D161" s="42"/>
      <c r="E161" s="43"/>
      <c r="F161" s="43"/>
      <c r="G161" s="43"/>
      <c r="H161" s="43"/>
      <c r="I161" s="43">
        <f>H162</f>
        <v>6167355779.5499992</v>
      </c>
    </row>
    <row r="162" spans="1:16" ht="24" customHeight="1" x14ac:dyDescent="0.2">
      <c r="A162" s="133"/>
      <c r="B162" s="116">
        <f>'POAI -MARZO-2021'!B439</f>
        <v>1</v>
      </c>
      <c r="C162" s="61" t="str">
        <f>'POAI -MARZO-2021'!D439</f>
        <v xml:space="preserve">INCLUSIÓN SOCIAL Y EQUIDAD </v>
      </c>
      <c r="D162" s="61"/>
      <c r="E162" s="61"/>
      <c r="F162" s="61"/>
      <c r="G162" s="61"/>
      <c r="H162" s="476">
        <f>G163</f>
        <v>6167355779.5499992</v>
      </c>
      <c r="I162" s="61"/>
    </row>
    <row r="163" spans="1:16" ht="25.5" customHeight="1" x14ac:dyDescent="0.2">
      <c r="A163" s="133"/>
      <c r="B163" s="71"/>
      <c r="C163" s="64">
        <f>'POAI -MARZO-2021'!D440</f>
        <v>43</v>
      </c>
      <c r="D163" s="62" t="str">
        <f>'POAI -MARZO-2021'!E440</f>
        <v>Deporte y recreación</v>
      </c>
      <c r="E163" s="478"/>
      <c r="F163" s="478"/>
      <c r="G163" s="479">
        <f>SUM(F164:F165)</f>
        <v>6167355779.5499992</v>
      </c>
      <c r="H163" s="480"/>
      <c r="I163" s="478"/>
    </row>
    <row r="164" spans="1:16" ht="76.5" customHeight="1" x14ac:dyDescent="0.2">
      <c r="A164" s="133"/>
      <c r="B164" s="71"/>
      <c r="C164" s="71"/>
      <c r="D164" s="71">
        <f>'POAI -MARZO-2021'!F441</f>
        <v>4301</v>
      </c>
      <c r="E164" s="365" t="str">
        <f>'POAI -MARZO-2021'!G441</f>
        <v>Fomento a la recreación, la actividad física y el deporte para desarrollar entornos de convivencia y paz "Tú y yo en la recreación y en deporte"</v>
      </c>
      <c r="F164" s="252">
        <f>'POAI -MARZO-2021'!AI441</f>
        <v>3114923723.1399999</v>
      </c>
      <c r="G164" s="252"/>
      <c r="H164" s="252"/>
      <c r="I164" s="252"/>
      <c r="J164" s="21"/>
      <c r="K164" s="1"/>
      <c r="L164" s="1"/>
      <c r="M164" s="1"/>
      <c r="N164" s="1"/>
      <c r="O164" s="1"/>
      <c r="P164" s="1"/>
    </row>
    <row r="165" spans="1:16" ht="37.5" customHeight="1" x14ac:dyDescent="0.2">
      <c r="A165" s="133"/>
      <c r="B165" s="71"/>
      <c r="C165" s="71"/>
      <c r="D165" s="71">
        <f>'POAI -MARZO-2021'!F446</f>
        <v>4302</v>
      </c>
      <c r="E165" s="365" t="str">
        <f>'POAI -MARZO-2021'!G446</f>
        <v>Formación y preparación de deportistas. "Tú y yo campeones"</v>
      </c>
      <c r="F165" s="252">
        <f>'POAI -MARZO-2021'!AI446</f>
        <v>3052432056.4099998</v>
      </c>
      <c r="G165" s="252"/>
      <c r="H165" s="252"/>
      <c r="I165" s="252"/>
      <c r="J165" s="21"/>
      <c r="K165" s="1"/>
      <c r="L165" s="1"/>
      <c r="M165" s="1"/>
      <c r="N165" s="1"/>
      <c r="O165" s="1"/>
      <c r="P165" s="1"/>
    </row>
    <row r="166" spans="1:16" s="11" customFormat="1" ht="18.75" customHeight="1" x14ac:dyDescent="0.2">
      <c r="A166" s="1"/>
      <c r="B166" s="13"/>
      <c r="C166" s="13"/>
      <c r="D166" s="13"/>
      <c r="E166" s="14"/>
      <c r="F166" s="14"/>
      <c r="G166" s="14"/>
      <c r="H166" s="14"/>
      <c r="I166" s="14"/>
      <c r="J166" s="48"/>
      <c r="K166" s="18"/>
      <c r="L166" s="18"/>
      <c r="M166" s="18"/>
      <c r="N166" s="18"/>
      <c r="O166" s="18"/>
      <c r="P166" s="18"/>
    </row>
    <row r="167" spans="1:16" s="11" customFormat="1" ht="27.75" customHeight="1" x14ac:dyDescent="0.2">
      <c r="A167" s="41" t="s">
        <v>1341</v>
      </c>
      <c r="B167" s="42"/>
      <c r="C167" s="42"/>
      <c r="D167" s="42"/>
      <c r="E167" s="43"/>
      <c r="F167" s="43"/>
      <c r="G167" s="43"/>
      <c r="H167" s="43"/>
      <c r="I167" s="43">
        <f>SUM(H168:H177)</f>
        <v>2024983199</v>
      </c>
      <c r="J167" s="48"/>
      <c r="K167" s="18"/>
      <c r="L167" s="18"/>
      <c r="M167" s="18"/>
      <c r="N167" s="18"/>
      <c r="O167" s="18"/>
      <c r="P167" s="18"/>
    </row>
    <row r="168" spans="1:16" s="11" customFormat="1" ht="24" customHeight="1" x14ac:dyDescent="0.2">
      <c r="A168" s="487"/>
      <c r="B168" s="116">
        <f>'POAI -MARZO-2021'!B451</f>
        <v>1</v>
      </c>
      <c r="C168" s="61" t="str">
        <f>'POAI -MARZO-2021'!D451</f>
        <v xml:space="preserve">INCLUSIÓN SOCIAL Y EQUIDAD </v>
      </c>
      <c r="D168" s="61"/>
      <c r="E168" s="61"/>
      <c r="F168" s="61"/>
      <c r="G168" s="61"/>
      <c r="H168" s="476">
        <f>G169+G171</f>
        <v>616604845.79999995</v>
      </c>
      <c r="I168" s="61"/>
      <c r="J168" s="48"/>
      <c r="K168" s="18"/>
      <c r="L168" s="18"/>
      <c r="M168" s="18"/>
      <c r="N168" s="18"/>
      <c r="O168" s="18"/>
      <c r="P168" s="18"/>
    </row>
    <row r="169" spans="1:16" ht="25.5" customHeight="1" x14ac:dyDescent="0.2">
      <c r="A169" s="133"/>
      <c r="B169" s="71"/>
      <c r="C169" s="483">
        <f>'POAI -MARZO-2021'!D452</f>
        <v>43</v>
      </c>
      <c r="D169" s="394" t="str">
        <f>'POAI -MARZO-2021'!E452</f>
        <v>Deporte y recreación</v>
      </c>
      <c r="E169" s="478"/>
      <c r="F169" s="478"/>
      <c r="G169" s="479">
        <f>F170</f>
        <v>308302422.89999998</v>
      </c>
      <c r="H169" s="480"/>
      <c r="I169" s="478"/>
    </row>
    <row r="170" spans="1:16" s="11" customFormat="1" ht="76.5" customHeight="1" x14ac:dyDescent="0.2">
      <c r="A170" s="487"/>
      <c r="B170" s="244"/>
      <c r="C170" s="244"/>
      <c r="D170" s="71">
        <f>'POAI -MARZO-2021'!F453</f>
        <v>4301</v>
      </c>
      <c r="E170" s="364" t="str">
        <f>'POAI -MARZO-2021'!G453</f>
        <v>Fomento a la recreación, la actividad física y el deporte para desarrollar entornos de convivencia y paz "Tú y yo en la recreación y en deporte"</v>
      </c>
      <c r="F170" s="252">
        <f>'POAI -MARZO-2021'!AI453</f>
        <v>308302422.89999998</v>
      </c>
      <c r="G170" s="252"/>
      <c r="H170" s="252"/>
      <c r="I170" s="252"/>
      <c r="J170" s="49"/>
    </row>
    <row r="171" spans="1:16" ht="25.5" customHeight="1" x14ac:dyDescent="0.2">
      <c r="A171" s="133"/>
      <c r="B171" s="71"/>
      <c r="C171" s="483">
        <f>'POAI -MARZO-2021'!D455</f>
        <v>22</v>
      </c>
      <c r="D171" s="505" t="str">
        <f>'POAI -MARZO-2021'!E455</f>
        <v>Educación</v>
      </c>
      <c r="E171" s="478"/>
      <c r="F171" s="478"/>
      <c r="G171" s="479">
        <f>F172</f>
        <v>308302422.89999998</v>
      </c>
      <c r="H171" s="480"/>
      <c r="I171" s="478"/>
    </row>
    <row r="172" spans="1:16" s="11" customFormat="1" ht="53.25" customHeight="1" x14ac:dyDescent="0.2">
      <c r="A172" s="487"/>
      <c r="B172" s="244"/>
      <c r="C172" s="244"/>
      <c r="D172" s="71">
        <f>'POAI -MARZO-2021'!F456</f>
        <v>2201</v>
      </c>
      <c r="E172" s="364" t="str">
        <f>'POAI -MARZO-2021'!G456</f>
        <v>Calidad, cobertura y fortalecimiento de la educación inicial, prescolar, básica y media." Tú y yo con educación y de calidad"</v>
      </c>
      <c r="F172" s="252">
        <f>'POAI -MARZO-2021'!AI456</f>
        <v>308302422.89999998</v>
      </c>
      <c r="G172" s="252"/>
      <c r="H172" s="252"/>
      <c r="I172" s="252"/>
      <c r="J172" s="49"/>
    </row>
    <row r="173" spans="1:16" s="11" customFormat="1" ht="21" customHeight="1" x14ac:dyDescent="0.2">
      <c r="A173" s="487"/>
      <c r="B173" s="116">
        <f>'POAI -MARZO-2021'!B458</f>
        <v>3</v>
      </c>
      <c r="C173" s="61" t="str">
        <f>'POAI -MARZO-2021'!D458</f>
        <v xml:space="preserve">TERRITORIO, AMBIENTE Y DESARROLLO SOSTENIBLE </v>
      </c>
      <c r="D173" s="61"/>
      <c r="E173" s="61"/>
      <c r="F173" s="61"/>
      <c r="G173" s="61"/>
      <c r="H173" s="476">
        <f>G174+G176</f>
        <v>1408378353.2</v>
      </c>
      <c r="I173" s="61"/>
      <c r="J173" s="48"/>
      <c r="K173" s="18"/>
      <c r="L173" s="18"/>
      <c r="M173" s="18"/>
      <c r="N173" s="18"/>
      <c r="O173" s="18"/>
      <c r="P173" s="18"/>
    </row>
    <row r="174" spans="1:16" ht="25.5" customHeight="1" x14ac:dyDescent="0.2">
      <c r="A174" s="133"/>
      <c r="B174" s="71"/>
      <c r="C174" s="483">
        <f>'POAI -MARZO-2021'!D459</f>
        <v>24</v>
      </c>
      <c r="D174" s="505" t="str">
        <f>'POAI -MARZO-2021'!E459</f>
        <v>Transporte</v>
      </c>
      <c r="E174" s="482"/>
      <c r="F174" s="478"/>
      <c r="G174" s="479">
        <f>F175</f>
        <v>199461691.20000002</v>
      </c>
      <c r="H174" s="480"/>
      <c r="I174" s="478"/>
    </row>
    <row r="175" spans="1:16" s="11" customFormat="1" ht="42" customHeight="1" x14ac:dyDescent="0.2">
      <c r="A175" s="487"/>
      <c r="B175" s="244"/>
      <c r="C175" s="244"/>
      <c r="D175" s="71">
        <f>'POAI -MARZO-2021'!F460</f>
        <v>2402</v>
      </c>
      <c r="E175" s="506" t="str">
        <f>'POAI -MARZO-2021'!G460</f>
        <v>Infraestructura red vial regional. "Tú y yo con movilidad vial"</v>
      </c>
      <c r="F175" s="252">
        <f>'POAI -MARZO-2021'!AI460</f>
        <v>199461691.20000002</v>
      </c>
      <c r="G175" s="252"/>
      <c r="H175" s="334"/>
      <c r="I175" s="334"/>
      <c r="J175" s="48"/>
      <c r="K175" s="18"/>
      <c r="L175" s="18"/>
      <c r="M175" s="18"/>
      <c r="N175" s="18"/>
      <c r="O175" s="18"/>
      <c r="P175" s="18"/>
    </row>
    <row r="176" spans="1:16" ht="25.5" customHeight="1" x14ac:dyDescent="0.2">
      <c r="A176" s="133"/>
      <c r="B176" s="71"/>
      <c r="C176" s="483">
        <f>'POAI -MARZO-2021'!D462</f>
        <v>40</v>
      </c>
      <c r="D176" s="394" t="str">
        <f>'POAI -MARZO-2021'!E462</f>
        <v>Vivienda, Ciudad y Territorio</v>
      </c>
      <c r="E176" s="482"/>
      <c r="F176" s="478"/>
      <c r="G176" s="479">
        <f>F177</f>
        <v>1208916662</v>
      </c>
      <c r="H176" s="480"/>
      <c r="I176" s="478"/>
    </row>
    <row r="177" spans="1:16" s="11" customFormat="1" ht="44.25" customHeight="1" x14ac:dyDescent="0.2">
      <c r="A177" s="487"/>
      <c r="B177" s="244"/>
      <c r="C177" s="244"/>
      <c r="D177" s="71">
        <f>'POAI -MARZO-2021'!F463</f>
        <v>4001</v>
      </c>
      <c r="E177" s="507" t="str">
        <f>'POAI -MARZO-2021'!G463</f>
        <v>Acceso a soluciones de vivienda. "Tú y yo con vivienda digna"</v>
      </c>
      <c r="F177" s="252">
        <f>'POAI -MARZO-2021'!AI463</f>
        <v>1208916662</v>
      </c>
      <c r="G177" s="252"/>
      <c r="H177" s="334"/>
      <c r="I177" s="334"/>
      <c r="J177" s="48"/>
      <c r="K177" s="18"/>
      <c r="L177" s="18"/>
      <c r="M177" s="18"/>
      <c r="N177" s="18"/>
      <c r="O177" s="18"/>
      <c r="P177" s="18"/>
    </row>
    <row r="178" spans="1:16" s="11" customFormat="1" ht="18.75" customHeight="1" x14ac:dyDescent="0.2">
      <c r="A178" s="1"/>
      <c r="B178" s="13"/>
      <c r="C178" s="13"/>
      <c r="D178" s="13"/>
      <c r="E178" s="14"/>
      <c r="F178" s="14"/>
      <c r="G178" s="14"/>
      <c r="H178" s="14"/>
      <c r="I178" s="14"/>
      <c r="J178" s="48"/>
      <c r="K178" s="18"/>
      <c r="L178" s="18"/>
      <c r="M178" s="18"/>
      <c r="N178" s="18"/>
      <c r="O178" s="18"/>
      <c r="P178" s="18"/>
    </row>
    <row r="179" spans="1:16" ht="25.5" customHeight="1" x14ac:dyDescent="0.2">
      <c r="A179" s="41" t="s">
        <v>1376</v>
      </c>
      <c r="B179" s="42"/>
      <c r="C179" s="42"/>
      <c r="D179" s="42"/>
      <c r="E179" s="43"/>
      <c r="F179" s="43"/>
      <c r="G179" s="43"/>
      <c r="H179" s="43"/>
      <c r="I179" s="43">
        <f>H180</f>
        <v>110210000</v>
      </c>
    </row>
    <row r="180" spans="1:16" ht="24" customHeight="1" x14ac:dyDescent="0.2">
      <c r="A180" s="133"/>
      <c r="B180" s="116">
        <f>'POAI -MARZO-2021'!B473</f>
        <v>3</v>
      </c>
      <c r="C180" s="61" t="str">
        <f>'POAI -MARZO-2021'!D473</f>
        <v xml:space="preserve">TERRITORIO, AMBIENTE Y DESARROLLO SOSTENIBLE </v>
      </c>
      <c r="D180" s="61"/>
      <c r="E180" s="61"/>
      <c r="F180" s="61"/>
      <c r="G180" s="61"/>
      <c r="H180" s="476">
        <f>G181</f>
        <v>110210000</v>
      </c>
      <c r="I180" s="61"/>
    </row>
    <row r="181" spans="1:16" ht="25.5" customHeight="1" x14ac:dyDescent="0.2">
      <c r="A181" s="133"/>
      <c r="B181" s="71"/>
      <c r="C181" s="64">
        <f>'POAI -MARZO-2021'!D474</f>
        <v>24</v>
      </c>
      <c r="D181" s="508" t="str">
        <f>'POAI -MARZO-2021'!E474</f>
        <v>Transporte</v>
      </c>
      <c r="E181" s="482"/>
      <c r="F181" s="478"/>
      <c r="G181" s="479">
        <f>F182</f>
        <v>110210000</v>
      </c>
      <c r="H181" s="480"/>
      <c r="I181" s="478"/>
    </row>
    <row r="182" spans="1:16" ht="54" customHeight="1" x14ac:dyDescent="0.2">
      <c r="A182" s="133"/>
      <c r="B182" s="71"/>
      <c r="C182" s="71"/>
      <c r="D182" s="71">
        <f>'POAI -MARZO-2021'!F475</f>
        <v>2409</v>
      </c>
      <c r="E182" s="364" t="str">
        <f>'POAI -MARZO-2021'!G475</f>
        <v>Seguridad de Transporte. "Tú y yo seguros en la vía"</v>
      </c>
      <c r="F182" s="252">
        <f>'POAI -MARZO-2021'!AI472</f>
        <v>110210000</v>
      </c>
      <c r="G182" s="252"/>
      <c r="H182" s="252"/>
      <c r="I182" s="252"/>
      <c r="J182" s="21"/>
      <c r="K182" s="1"/>
      <c r="L182" s="1"/>
      <c r="M182" s="1"/>
      <c r="N182" s="1"/>
      <c r="O182" s="1"/>
      <c r="P182" s="1"/>
    </row>
    <row r="183" spans="1:16" s="50" customFormat="1" ht="23.25" customHeight="1" x14ac:dyDescent="0.2">
      <c r="A183" s="1"/>
      <c r="B183" s="13"/>
      <c r="C183" s="13"/>
      <c r="D183" s="13"/>
      <c r="E183" s="14"/>
      <c r="F183" s="14"/>
      <c r="G183" s="14"/>
      <c r="H183" s="14"/>
      <c r="I183" s="14"/>
      <c r="J183" s="48"/>
      <c r="K183" s="18"/>
      <c r="L183" s="18"/>
      <c r="M183" s="18"/>
      <c r="N183" s="18"/>
      <c r="O183" s="18"/>
      <c r="P183" s="18"/>
    </row>
    <row r="184" spans="1:16" s="28" customFormat="1" ht="26.25" customHeight="1" x14ac:dyDescent="0.25">
      <c r="A184" s="577" t="s">
        <v>1394</v>
      </c>
      <c r="B184" s="577"/>
      <c r="C184" s="577"/>
      <c r="D184" s="577"/>
      <c r="E184" s="577"/>
      <c r="F184" s="509">
        <f>SUM(F161:F182)</f>
        <v>8302548978.5499983</v>
      </c>
      <c r="G184" s="509">
        <f>SUM(G161:G182)</f>
        <v>8302548978.5499983</v>
      </c>
      <c r="H184" s="509">
        <f>SUM(H161:H182)</f>
        <v>8302548978.5499992</v>
      </c>
      <c r="I184" s="509">
        <f>SUM(I161:I182)</f>
        <v>8302548978.5499992</v>
      </c>
      <c r="J184" s="9"/>
    </row>
    <row r="185" spans="1:16" s="28" customFormat="1" ht="16.5" thickBot="1" x14ac:dyDescent="0.3">
      <c r="A185" s="33"/>
      <c r="B185" s="34"/>
      <c r="C185" s="34"/>
      <c r="D185" s="34"/>
      <c r="E185" s="35"/>
      <c r="F185" s="35"/>
      <c r="G185" s="35"/>
      <c r="H185" s="35"/>
      <c r="I185" s="35"/>
      <c r="J185" s="9"/>
    </row>
    <row r="186" spans="1:16" s="28" customFormat="1" ht="27" customHeight="1" thickBot="1" x14ac:dyDescent="0.3">
      <c r="A186" s="377" t="s">
        <v>1395</v>
      </c>
      <c r="B186" s="378"/>
      <c r="C186" s="378"/>
      <c r="D186" s="378"/>
      <c r="E186" s="379"/>
      <c r="F186" s="575">
        <f>F159+F184</f>
        <v>275174020090.57007</v>
      </c>
      <c r="G186" s="575">
        <f>G159+G184</f>
        <v>275174020090.57007</v>
      </c>
      <c r="H186" s="575">
        <f>H159+H184</f>
        <v>275174020090.57007</v>
      </c>
      <c r="I186" s="380">
        <f>I159+I184</f>
        <v>275174020090.57007</v>
      </c>
      <c r="J186" s="9"/>
    </row>
  </sheetData>
  <sheetProtection password="A60F" sheet="1" objects="1" scenarios="1"/>
  <mergeCells count="6">
    <mergeCell ref="A1:I3"/>
    <mergeCell ref="F5:I5"/>
    <mergeCell ref="D5:E5"/>
    <mergeCell ref="F6:F7"/>
    <mergeCell ref="G6:G7"/>
    <mergeCell ref="H6:H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-MARZO-2021</vt:lpstr>
      <vt:lpstr>RESUMEN POR UNIDAD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Bryan</cp:lastModifiedBy>
  <cp:revision/>
  <dcterms:created xsi:type="dcterms:W3CDTF">2020-08-12T15:20:51Z</dcterms:created>
  <dcterms:modified xsi:type="dcterms:W3CDTF">2023-06-02T21:22:35Z</dcterms:modified>
  <cp:category/>
  <cp:contentStatus/>
</cp:coreProperties>
</file>