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66925"/>
  <mc:AlternateContent xmlns:mc="http://schemas.openxmlformats.org/markup-compatibility/2006">
    <mc:Choice Requires="x15">
      <x15ac:absPath xmlns:x15ac="http://schemas.microsoft.com/office/spreadsheetml/2010/11/ac" url="C:\Users\Bryan\Documents\2022\TRABAJO IDTQ GOBIERNO DIGITAL\documentos de apoyo para gobierno digital idtq\Planeacion IDTQ\POAI IDTQ VIGENCIAS\2021\"/>
    </mc:Choice>
  </mc:AlternateContent>
  <xr:revisionPtr revIDLastSave="0" documentId="13_ncr:1_{1CF6AD24-678E-4BA5-9799-D340AFEE4545}" xr6:coauthVersionLast="47" xr6:coauthVersionMax="47" xr10:uidLastSave="{00000000-0000-0000-0000-000000000000}"/>
  <bookViews>
    <workbookView xWindow="-120" yWindow="-120" windowWidth="20730" windowHeight="11040" activeTab="1" xr2:uid="{00000000-000D-0000-FFFF-FFFF00000000}"/>
  </bookViews>
  <sheets>
    <sheet name="SGTO POAI VIGENCIA 2021" sheetId="1" r:id="rId1"/>
    <sheet name="RESUMEN POR UNIDAD" sheetId="5" r:id="rId2"/>
  </sheets>
  <definedNames>
    <definedName name="_1._Apoyo_con_equipos_para_la_seguridad_vial_Licenciamiento_de_software_para_comunicaciones">#REF!</definedName>
    <definedName name="_xlnm._FilterDatabase" localSheetId="1" hidden="1">'RESUMEN POR UNIDAD'!$E$1:$E$15</definedName>
    <definedName name="_xlnm._FilterDatabase" localSheetId="0" hidden="1">'SGTO POAI VIGENCIA 2021'!$A$6:$CA$308</definedName>
    <definedName name="aa">#REF!</definedName>
    <definedName name="CODIGO_DIVIPOLA">#REF!</definedName>
    <definedName name="DboREGISTRO_LEY_617">#REF!</definedName>
    <definedName name="ññ">#REF!</definedName>
  </definedNames>
  <calcPr calcId="191029"/>
</workbook>
</file>

<file path=xl/calcChain.xml><?xml version="1.0" encoding="utf-8"?>
<calcChain xmlns="http://schemas.openxmlformats.org/spreadsheetml/2006/main">
  <c r="E15" i="5" l="1"/>
  <c r="E13" i="5"/>
  <c r="U228" i="1"/>
  <c r="U279" i="1" l="1"/>
  <c r="U215" i="1" l="1"/>
  <c r="U201" i="1" l="1"/>
  <c r="U186" i="1" l="1"/>
  <c r="U73" i="1" l="1"/>
  <c r="U67" i="1"/>
  <c r="U96" i="1" l="1"/>
  <c r="U94" i="1"/>
  <c r="U93" i="1"/>
  <c r="U92" i="1"/>
  <c r="U90" i="1"/>
  <c r="AI290" i="1" l="1"/>
  <c r="AJ290" i="1"/>
  <c r="AK288" i="1" l="1"/>
  <c r="AJ288" i="1"/>
  <c r="AK287" i="1" l="1"/>
  <c r="AJ287" i="1"/>
  <c r="AM28" i="1" l="1"/>
  <c r="AM240" i="1" l="1"/>
  <c r="AM248" i="1" l="1"/>
  <c r="AC251" i="1"/>
  <c r="AC255" i="1"/>
  <c r="AK254" i="1"/>
  <c r="AK205" i="1"/>
  <c r="AI257" i="1"/>
  <c r="AD256" i="1"/>
  <c r="AD253" i="1"/>
  <c r="AM204" i="1"/>
  <c r="AM158" i="1"/>
  <c r="AM155" i="1"/>
  <c r="AM156" i="1"/>
  <c r="AM142" i="1"/>
  <c r="AM130" i="1"/>
  <c r="AI83" i="1"/>
  <c r="Y299" i="1" l="1"/>
  <c r="AC256" i="1" l="1"/>
  <c r="AM257" i="1"/>
  <c r="AM259" i="1"/>
  <c r="AM145" i="1" l="1"/>
  <c r="AM143" i="1"/>
  <c r="AI194" i="1"/>
  <c r="AI170" i="1"/>
  <c r="AI167" i="1"/>
  <c r="AI276" i="1"/>
  <c r="AI117" i="1"/>
  <c r="AI98" i="1"/>
  <c r="AI97" i="1"/>
  <c r="AI31" i="1" l="1"/>
  <c r="Y290" i="1" l="1"/>
  <c r="Y288" i="1"/>
  <c r="AK286" i="1"/>
  <c r="Y297" i="1" l="1"/>
  <c r="Y292" i="1"/>
  <c r="AJ305" i="1" l="1"/>
  <c r="AJ303" i="1"/>
  <c r="AJ302" i="1"/>
  <c r="AL314" i="1" l="1"/>
  <c r="AM31" i="1" l="1"/>
  <c r="AB256" i="1" l="1"/>
  <c r="AB255" i="1"/>
  <c r="AI197" i="1"/>
  <c r="AI162" i="1"/>
  <c r="AI112" i="1"/>
  <c r="AI105" i="1"/>
  <c r="AI86" i="1"/>
  <c r="AI85" i="1"/>
  <c r="AI84" i="1"/>
  <c r="AI80" i="1"/>
  <c r="AI79" i="1"/>
  <c r="AI78" i="1"/>
  <c r="AI17" i="1" l="1"/>
  <c r="AI10" i="1"/>
  <c r="AA306" i="1" l="1"/>
  <c r="AF306" i="1"/>
  <c r="AL306" i="1"/>
  <c r="Z307" i="1"/>
  <c r="AA307" i="1"/>
  <c r="AB307" i="1"/>
  <c r="AC307" i="1"/>
  <c r="AD307" i="1"/>
  <c r="AE307" i="1"/>
  <c r="AF307" i="1"/>
  <c r="AG307" i="1"/>
  <c r="AH307" i="1"/>
  <c r="AK307" i="1"/>
  <c r="AL307" i="1"/>
  <c r="AA308" i="1" l="1"/>
  <c r="AF308" i="1"/>
  <c r="AL308" i="1"/>
  <c r="Y300" i="1" l="1"/>
  <c r="AJ300" i="1"/>
  <c r="AJ299" i="1"/>
  <c r="AJ297" i="1"/>
  <c r="Y296" i="1"/>
  <c r="AJ295" i="1"/>
  <c r="AJ294" i="1" l="1"/>
  <c r="Y293" i="1"/>
  <c r="Y307" i="1" s="1"/>
  <c r="AM90" i="1" l="1"/>
  <c r="AM91" i="1"/>
  <c r="AM93" i="1"/>
  <c r="AM94" i="1"/>
  <c r="AM95" i="1"/>
  <c r="AM96" i="1"/>
  <c r="AM97" i="1"/>
  <c r="AM98" i="1"/>
  <c r="AM99" i="1"/>
  <c r="AM100" i="1"/>
  <c r="AM101" i="1"/>
  <c r="AM102" i="1"/>
  <c r="AM103" i="1"/>
  <c r="AM104" i="1"/>
  <c r="AM105" i="1"/>
  <c r="AM106" i="1"/>
  <c r="AM107" i="1"/>
  <c r="AM108" i="1"/>
  <c r="AM109" i="1"/>
  <c r="AM110" i="1"/>
  <c r="AM111" i="1"/>
  <c r="AM112" i="1"/>
  <c r="AM113" i="1"/>
  <c r="AM118" i="1"/>
  <c r="AM119" i="1"/>
  <c r="AM120" i="1"/>
  <c r="AM121" i="1"/>
  <c r="AM122" i="1"/>
  <c r="AM123" i="1"/>
  <c r="AM124" i="1"/>
  <c r="AM125" i="1"/>
  <c r="AM126" i="1"/>
  <c r="AI288" i="1" l="1"/>
  <c r="AG306" i="1"/>
  <c r="AG308" i="1" s="1"/>
  <c r="AI132" i="1"/>
  <c r="AK243" i="1" l="1"/>
  <c r="AM243" i="1" s="1"/>
  <c r="AC239" i="1"/>
  <c r="AM197" i="1"/>
  <c r="AI161" i="1"/>
  <c r="AI151" i="1"/>
  <c r="AM151" i="1" s="1"/>
  <c r="AI138" i="1"/>
  <c r="AM127" i="1"/>
  <c r="AM289" i="1" l="1"/>
  <c r="AJ286" i="1" l="1"/>
  <c r="AI264" i="1"/>
  <c r="AI263" i="1"/>
  <c r="AD220" i="1"/>
  <c r="AM202" i="1" l="1"/>
  <c r="AC236" i="1"/>
  <c r="AC235" i="1"/>
  <c r="AC229" i="1"/>
  <c r="AC228" i="1"/>
  <c r="AC207" i="1"/>
  <c r="AM206" i="1"/>
  <c r="AC205" i="1"/>
  <c r="AM196" i="1"/>
  <c r="AM198" i="1"/>
  <c r="AI200" i="1"/>
  <c r="AM200" i="1" s="1"/>
  <c r="AI189" i="1"/>
  <c r="AI175" i="1"/>
  <c r="AI174" i="1"/>
  <c r="AI172" i="1"/>
  <c r="AI171" i="1"/>
  <c r="AI166" i="1"/>
  <c r="AM162" i="1"/>
  <c r="AM161" i="1"/>
  <c r="AM160" i="1"/>
  <c r="AM159" i="1"/>
  <c r="AM154" i="1"/>
  <c r="AM150" i="1"/>
  <c r="AM149" i="1"/>
  <c r="AM148" i="1"/>
  <c r="AM147" i="1"/>
  <c r="AM141" i="1"/>
  <c r="AM138" i="1"/>
  <c r="AM134" i="1"/>
  <c r="AM132" i="1"/>
  <c r="AI163" i="1"/>
  <c r="AM163" i="1" s="1"/>
  <c r="AI153" i="1"/>
  <c r="AM153" i="1" s="1"/>
  <c r="AM152" i="1"/>
  <c r="AI140" i="1"/>
  <c r="AM140" i="1" s="1"/>
  <c r="AM137" i="1"/>
  <c r="AM164" i="1" l="1"/>
  <c r="AM136" i="1"/>
  <c r="AM135" i="1" l="1"/>
  <c r="AI88" i="1" l="1"/>
  <c r="AI21" i="1"/>
  <c r="AI20" i="1"/>
  <c r="AI18" i="1"/>
  <c r="AM16" i="1"/>
  <c r="AM15" i="1"/>
  <c r="AI8" i="1"/>
  <c r="AM85" i="1" l="1"/>
  <c r="AM67" i="1"/>
  <c r="AI291" i="1"/>
  <c r="AI307" i="1" l="1"/>
  <c r="AJ296" i="1" l="1"/>
  <c r="AJ307" i="1" s="1"/>
  <c r="AI187" i="1" l="1"/>
  <c r="AI186" i="1"/>
  <c r="AM282" i="1" l="1"/>
  <c r="AM190" i="1" l="1"/>
  <c r="AK306" i="1" l="1"/>
  <c r="AI277" i="1"/>
  <c r="AI266" i="1"/>
  <c r="AK308" i="1" l="1"/>
  <c r="AD254" i="1"/>
  <c r="AD306" i="1" s="1"/>
  <c r="AD308" i="1" s="1"/>
  <c r="AI192" i="1"/>
  <c r="AI185" i="1"/>
  <c r="AI182" i="1"/>
  <c r="AI176" i="1"/>
  <c r="AI169" i="1"/>
  <c r="AC306" i="1" l="1"/>
  <c r="AC308" i="1" s="1"/>
  <c r="AI116" i="1"/>
  <c r="AM116" i="1" s="1"/>
  <c r="AJ84" i="1"/>
  <c r="Z306" i="1" l="1"/>
  <c r="Z308" i="1" s="1"/>
  <c r="AJ306" i="1"/>
  <c r="AJ308" i="1" s="1"/>
  <c r="AM92" i="1"/>
  <c r="AH306" i="1" l="1"/>
  <c r="AH308" i="1" s="1"/>
  <c r="AM12" i="1"/>
  <c r="AM35" i="1" l="1"/>
  <c r="AM57" i="1"/>
  <c r="AM89" i="1" l="1"/>
  <c r="AM146" i="1" l="1"/>
  <c r="AI211" i="1"/>
  <c r="AE157" i="1"/>
  <c r="AM157" i="1" s="1"/>
  <c r="AM133" i="1"/>
  <c r="AM36" i="1"/>
  <c r="AE306" i="1" l="1"/>
  <c r="AE308" i="1" s="1"/>
  <c r="Y306" i="1"/>
  <c r="Y308" i="1" s="1"/>
  <c r="AB249" i="1" l="1"/>
  <c r="AB236" i="1"/>
  <c r="AB211" i="1"/>
  <c r="AB306" i="1" l="1"/>
  <c r="AB308" i="1" s="1"/>
  <c r="AM70" i="1"/>
  <c r="AI199" i="1" l="1"/>
  <c r="AM199" i="1" l="1"/>
  <c r="AM195" i="1"/>
  <c r="AM194" i="1"/>
  <c r="AM173" i="1"/>
  <c r="AM172" i="1" l="1"/>
  <c r="AM139" i="1" l="1"/>
  <c r="AI131" i="1"/>
  <c r="AM131" i="1" l="1"/>
  <c r="AM62" i="1" l="1"/>
  <c r="AM144" i="1" l="1"/>
  <c r="AM178" i="1" l="1"/>
  <c r="AM177" i="1"/>
  <c r="AM176" i="1"/>
  <c r="AM175" i="1"/>
  <c r="AM174" i="1"/>
  <c r="AM171" i="1"/>
  <c r="AM170" i="1"/>
  <c r="AM169" i="1"/>
  <c r="AM167" i="1"/>
  <c r="AM166" i="1"/>
  <c r="AM168" i="1"/>
  <c r="AI115" i="1" l="1"/>
  <c r="AM115" i="1" s="1"/>
  <c r="AM117" i="1"/>
  <c r="AI114" i="1"/>
  <c r="AM114" i="1" s="1"/>
  <c r="AM191" i="1" l="1"/>
  <c r="AM63" i="1"/>
  <c r="AM66" i="1"/>
  <c r="AM65" i="1"/>
  <c r="AM64" i="1"/>
  <c r="AM61" i="1"/>
  <c r="AM60" i="1"/>
  <c r="AM59" i="1"/>
  <c r="AM58" i="1"/>
  <c r="AM11" i="1"/>
  <c r="AM10" i="1"/>
  <c r="AM9" i="1"/>
  <c r="AM8" i="1"/>
  <c r="AM299" i="1" l="1"/>
  <c r="AM300" i="1"/>
  <c r="AM301" i="1"/>
  <c r="AM71" i="1" l="1"/>
  <c r="AM260" i="1" l="1"/>
  <c r="AM261" i="1"/>
  <c r="AM281" i="1" l="1"/>
  <c r="AM283" i="1"/>
  <c r="AM284" i="1"/>
  <c r="AM285" i="1"/>
  <c r="AM272" i="1"/>
  <c r="AM273" i="1"/>
  <c r="AM274" i="1"/>
  <c r="AM275" i="1"/>
  <c r="AM263" i="1"/>
  <c r="AM264" i="1"/>
  <c r="AM265" i="1"/>
  <c r="AM266" i="1"/>
  <c r="AM267" i="1"/>
  <c r="AM268" i="1"/>
  <c r="AM269" i="1"/>
  <c r="AM270" i="1"/>
  <c r="AM43" i="1" l="1"/>
  <c r="AM258" i="1" l="1"/>
  <c r="AM76" i="1" l="1"/>
  <c r="AM165" i="1" l="1"/>
  <c r="AM69" i="1" l="1"/>
  <c r="AM13" i="1"/>
  <c r="AM305" i="1"/>
  <c r="AM304" i="1"/>
  <c r="AM303" i="1"/>
  <c r="AM302" i="1"/>
  <c r="AM298" i="1"/>
  <c r="AM297" i="1"/>
  <c r="AM296" i="1"/>
  <c r="AM295" i="1"/>
  <c r="AM294" i="1"/>
  <c r="AM292" i="1"/>
  <c r="AM291" i="1"/>
  <c r="AM290" i="1"/>
  <c r="AM288" i="1"/>
  <c r="AM287" i="1"/>
  <c r="AM286" i="1"/>
  <c r="AM280" i="1"/>
  <c r="AM279" i="1"/>
  <c r="AM278" i="1"/>
  <c r="AM277" i="1"/>
  <c r="AM276" i="1"/>
  <c r="AM271" i="1"/>
  <c r="AM262" i="1"/>
  <c r="AM255" i="1"/>
  <c r="AM254" i="1"/>
  <c r="AM252" i="1"/>
  <c r="AM250" i="1"/>
  <c r="AM249" i="1"/>
  <c r="AM247" i="1"/>
  <c r="AM246" i="1"/>
  <c r="AM245" i="1"/>
  <c r="AM244" i="1"/>
  <c r="AI241" i="1"/>
  <c r="AM239" i="1"/>
  <c r="AM238" i="1"/>
  <c r="AM237" i="1"/>
  <c r="AM236"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210" i="1"/>
  <c r="AM209" i="1"/>
  <c r="AM208" i="1"/>
  <c r="AM207" i="1"/>
  <c r="AM205" i="1"/>
  <c r="AM203" i="1"/>
  <c r="AI201" i="1"/>
  <c r="AM201" i="1" s="1"/>
  <c r="AM193" i="1"/>
  <c r="AM192" i="1"/>
  <c r="AM189" i="1"/>
  <c r="AM188" i="1"/>
  <c r="AM187" i="1"/>
  <c r="AM186" i="1"/>
  <c r="AM185" i="1"/>
  <c r="AM184" i="1"/>
  <c r="AM183" i="1"/>
  <c r="AM182" i="1"/>
  <c r="AM181" i="1"/>
  <c r="AM180" i="1"/>
  <c r="AM179" i="1"/>
  <c r="AM129" i="1"/>
  <c r="AM128" i="1"/>
  <c r="AM88" i="1"/>
  <c r="AM87" i="1"/>
  <c r="AM86" i="1"/>
  <c r="AM82" i="1"/>
  <c r="AM83" i="1"/>
  <c r="AM81" i="1"/>
  <c r="AM80" i="1"/>
  <c r="AM79" i="1"/>
  <c r="AM78" i="1"/>
  <c r="AM77" i="1"/>
  <c r="AM75" i="1"/>
  <c r="AM74" i="1"/>
  <c r="AM72" i="1"/>
  <c r="AM68" i="1"/>
  <c r="AM56" i="1"/>
  <c r="AM55" i="1"/>
  <c r="AM54" i="1"/>
  <c r="AM53" i="1"/>
  <c r="AM52" i="1"/>
  <c r="AM51" i="1"/>
  <c r="AM50" i="1"/>
  <c r="AM49" i="1"/>
  <c r="AM48" i="1"/>
  <c r="AM46" i="1"/>
  <c r="AM45" i="1"/>
  <c r="AM44" i="1"/>
  <c r="AM42" i="1"/>
  <c r="AM41" i="1"/>
  <c r="AM40" i="1"/>
  <c r="AM39" i="1"/>
  <c r="AM38" i="1"/>
  <c r="AM37" i="1"/>
  <c r="AM34" i="1"/>
  <c r="AM33" i="1"/>
  <c r="AM30" i="1"/>
  <c r="AM29" i="1"/>
  <c r="AM27" i="1"/>
  <c r="AM26" i="1"/>
  <c r="AM25" i="1"/>
  <c r="AM24" i="1"/>
  <c r="AM23" i="1"/>
  <c r="AM22" i="1"/>
  <c r="AM21" i="1"/>
  <c r="AM20" i="1"/>
  <c r="AM19" i="1"/>
  <c r="AM18" i="1"/>
  <c r="AM17" i="1"/>
  <c r="AM14" i="1"/>
  <c r="AI306" i="1" l="1"/>
  <c r="AI308" i="1" s="1"/>
  <c r="E11" i="5"/>
  <c r="AM241" i="1"/>
  <c r="AM256" i="1"/>
  <c r="AM47" i="1"/>
  <c r="AM293" i="1"/>
  <c r="AM84" i="1"/>
  <c r="AM251" i="1"/>
  <c r="AM32" i="1"/>
  <c r="AM253" i="1"/>
  <c r="AM73" i="1"/>
  <c r="AM242" i="1"/>
  <c r="AM307" i="1" l="1"/>
  <c r="AM306" i="1"/>
  <c r="AM308" i="1" l="1"/>
  <c r="E10" i="5" l="1"/>
  <c r="E9" i="5" s="1"/>
  <c r="E8" i="5" s="1"/>
</calcChain>
</file>

<file path=xl/sharedStrings.xml><?xml version="1.0" encoding="utf-8"?>
<sst xmlns="http://schemas.openxmlformats.org/spreadsheetml/2006/main" count="4900" uniqueCount="1467">
  <si>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</si>
  <si>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</si>
  <si>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</si>
  <si>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</si>
  <si>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</si>
  <si>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</si>
  <si>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</si>
  <si>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</si>
  <si>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</si>
  <si>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</si>
  <si>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</si>
  <si>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</si>
  <si>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TOTAL RECURSOS</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</si>
  <si>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</si>
  <si>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</si>
  <si>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</si>
  <si>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</si>
  <si>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</si>
  <si>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</si>
  <si>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</si>
  <si>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</si>
  <si>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</si>
  <si>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</si>
  <si>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</si>
  <si>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</si>
  <si>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</si>
  <si>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CONTRIBUCION ESPECIAL
(FONDO DE SEGURIDAD 5%) 
 </t>
  </si>
  <si>
    <t xml:space="preserve">SOBRETASA AL ACPM  
</t>
  </si>
  <si>
    <t xml:space="preserve">MONOPOLIO EDUCACIÓN Y SALUD  51% DESTINACION ESPECIFICA
 </t>
  </si>
  <si>
    <t xml:space="preserve">SGP SALÚD PUBLICA - PRESTACIÓN DE SERVICIOS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</si>
  <si>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</si>
  <si>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</si>
  <si>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</si>
  <si>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</si>
  <si>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EXTRACCION MATERIAL RIO  </t>
  </si>
  <si>
    <t>NACIÓN  - COFINANCIACIÓN
CONV ANTICONTRABANDO</t>
  </si>
  <si>
    <t>Gobierno territorial</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</si>
  <si>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</si>
  <si>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</si>
  <si>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</si>
  <si>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</si>
  <si>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</si>
  <si>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</si>
  <si>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202000363-0006</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</si>
  <si>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</si>
  <si>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</si>
  <si>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</si>
  <si>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</si>
  <si>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</si>
  <si>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202000363-0007</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</si>
  <si>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</si>
  <si>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</si>
  <si>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</si>
  <si>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</si>
  <si>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</si>
  <si>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202000363-0041</t>
  </si>
  <si>
    <t xml:space="preserve">Implementación de un programa de modernización  de la gestión Administrativa  de la Administración Departamental del Quindío. "TÚ y YO SOMOS QUINDÍO" </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</si>
  <si>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</si>
  <si>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</si>
  <si>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</si>
  <si>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</si>
  <si>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</si>
  <si>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202000363-0005</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</si>
  <si>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</si>
  <si>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</si>
  <si>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</si>
  <si>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</si>
  <si>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</si>
  <si>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</si>
  <si>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</si>
  <si>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202000363-0042</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</si>
  <si>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</si>
  <si>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</si>
  <si>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</si>
  <si>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</si>
  <si>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202000363-0043</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</si>
  <si>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</si>
  <si>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</si>
  <si>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</si>
  <si>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</si>
  <si>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</si>
  <si>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</si>
  <si>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202000363-0044</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</si>
  <si>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</si>
  <si>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</si>
  <si>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</si>
  <si>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</si>
  <si>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</si>
  <si>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</si>
  <si>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202000363-0045</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</si>
  <si>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</si>
  <si>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</si>
  <si>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</si>
  <si>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202000363-0046</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</si>
  <si>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</si>
  <si>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</si>
  <si>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</si>
  <si>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</si>
  <si>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</si>
  <si>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</si>
  <si>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</si>
  <si>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202000363-0047</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</si>
  <si>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</si>
  <si>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</si>
  <si>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</si>
  <si>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</si>
  <si>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</si>
  <si>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</si>
  <si>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</si>
  <si>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</si>
  <si>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</si>
  <si>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</si>
  <si>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</si>
  <si>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202000363-0008</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</si>
  <si>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</si>
  <si>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</si>
  <si>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</si>
  <si>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</si>
  <si>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</si>
  <si>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</si>
  <si>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202000363-0048</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</si>
  <si>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</si>
  <si>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</si>
  <si>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</si>
  <si>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</si>
  <si>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</si>
  <si>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202000363-0049</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</si>
  <si>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</si>
  <si>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</si>
  <si>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Justicia y del derecho</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</si>
  <si>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</si>
  <si>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</si>
  <si>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</si>
  <si>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</si>
  <si>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</si>
  <si>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202000363-0017</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</si>
  <si>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</si>
  <si>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</si>
  <si>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</si>
  <si>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</si>
  <si>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</si>
  <si>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</si>
  <si>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</si>
  <si>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202000363-0018</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</si>
  <si>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</si>
  <si>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</si>
  <si>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Educación</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</si>
  <si>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</si>
  <si>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</si>
  <si>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</si>
  <si>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</si>
  <si>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</si>
  <si>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202000363-0050</t>
  </si>
  <si>
    <t xml:space="preserve"> 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</si>
  <si>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</si>
  <si>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</si>
  <si>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</si>
  <si>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</si>
  <si>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</si>
  <si>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</si>
  <si>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</si>
  <si>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</si>
  <si>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202000363-0051</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</si>
  <si>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</si>
  <si>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</si>
  <si>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</si>
  <si>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</si>
  <si>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</si>
  <si>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</si>
  <si>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</si>
  <si>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</si>
  <si>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202000363-0052</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</si>
  <si>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</si>
  <si>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</si>
  <si>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</si>
  <si>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</si>
  <si>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</si>
  <si>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</si>
  <si>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</si>
  <si>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</si>
  <si>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</si>
  <si>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202000363-0053</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</si>
  <si>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</si>
  <si>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</si>
  <si>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</si>
  <si>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</si>
  <si>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</si>
  <si>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</si>
  <si>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</si>
  <si>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</si>
  <si>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</si>
  <si>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</si>
  <si>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202000363-0054</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</si>
  <si>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</si>
  <si>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</si>
  <si>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</si>
  <si>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</si>
  <si>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</si>
  <si>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</si>
  <si>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</si>
  <si>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</si>
  <si>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202000363-0055</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</si>
  <si>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</si>
  <si>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</si>
  <si>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</si>
  <si>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</si>
  <si>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202000363-0056</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</si>
  <si>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</si>
  <si>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</si>
  <si>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</si>
  <si>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</si>
  <si>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</si>
  <si>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</si>
  <si>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</si>
  <si>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</si>
  <si>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202000363-0057</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</si>
  <si>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</si>
  <si>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</si>
  <si>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</si>
  <si>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</si>
  <si>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</si>
  <si>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</si>
  <si>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</si>
  <si>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</si>
  <si>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202000363-0014</t>
  </si>
  <si>
    <t xml:space="preserve"> 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</si>
  <si>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</si>
  <si>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</si>
  <si>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</si>
  <si>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</si>
  <si>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</si>
  <si>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</si>
  <si>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</si>
  <si>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</si>
  <si>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</si>
  <si>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</si>
  <si>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</si>
  <si>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</si>
  <si>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</si>
  <si>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</si>
  <si>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</si>
  <si>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</si>
  <si>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202000363-0058</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</si>
  <si>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</si>
  <si>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</si>
  <si>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</si>
  <si>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202000363-0059</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</si>
  <si>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</si>
  <si>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</si>
  <si>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Servicio de asistencia técnica para la articulación de los operadores de los servicio de justicia</t>
  </si>
  <si>
    <t>202000363-0060</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</si>
  <si>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</si>
  <si>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</si>
  <si>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</si>
  <si>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</si>
  <si>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</si>
  <si>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 xml:space="preserve">  Implementación de  métodos  para la resolución de conflictos y el  fortalecimiento de la seguridad de los ciudadanos den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</si>
  <si>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</si>
  <si>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</si>
  <si>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</si>
  <si>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</si>
  <si>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202000363-0062</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</si>
  <si>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</si>
  <si>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</si>
  <si>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</si>
  <si>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</si>
  <si>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</si>
  <si>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</si>
  <si>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202000363-0063</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</si>
  <si>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</si>
  <si>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</si>
  <si>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</si>
  <si>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</si>
  <si>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</si>
  <si>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</si>
  <si>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</si>
  <si>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</si>
  <si>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</si>
  <si>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</si>
  <si>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</si>
  <si>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</si>
  <si>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</si>
  <si>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</si>
  <si>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</si>
  <si>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</si>
  <si>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</si>
  <si>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</si>
  <si>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</si>
  <si>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</si>
  <si>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</si>
  <si>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</si>
  <si>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</si>
  <si>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</si>
  <si>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</si>
  <si>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</si>
  <si>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202000363-0065</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</si>
  <si>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</si>
  <si>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</si>
  <si>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</si>
  <si>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</si>
  <si>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</si>
  <si>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</si>
  <si>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</si>
  <si>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202000363-0066</t>
  </si>
  <si>
    <t xml:space="preserve"> Fortalecimiento de los organismos de seguridad del Departamento del Quindío,  para mejorar la convivencia, preservación del orden público y la seguridad ciudadana. </t>
  </si>
  <si>
    <t xml:space="preserve"> 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</si>
  <si>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</si>
  <si>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202000363-0068</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</si>
  <si>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</si>
  <si>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</si>
  <si>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</si>
  <si>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</si>
  <si>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</si>
  <si>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</si>
  <si>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</si>
  <si>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</si>
  <si>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</si>
  <si>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</si>
  <si>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</si>
  <si>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</si>
  <si>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</si>
  <si>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</si>
  <si>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</si>
  <si>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</si>
  <si>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</si>
  <si>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</si>
  <si>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</si>
  <si>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</si>
  <si>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</si>
  <si>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</si>
  <si>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202000363-0067</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</si>
  <si>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</si>
  <si>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</si>
  <si>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</si>
  <si>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202000363-0071</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</si>
  <si>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</si>
  <si>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</si>
  <si>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</si>
  <si>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</si>
  <si>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</si>
  <si>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</si>
  <si>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</si>
  <si>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</si>
  <si>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</si>
  <si>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</si>
  <si>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</si>
  <si>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.Cobertura en formación artística y cultural
.Tasa de consumo de sustancias sicoactivas por 100.000 habitantes en el departamento del Quindío.</t>
  </si>
  <si>
    <t>Servicio de educación informal en áreas artísticas y culturales</t>
  </si>
  <si>
    <t>202000363-0021</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</si>
  <si>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</si>
  <si>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</si>
  <si>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</si>
  <si>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</si>
  <si>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.Tasa de cumplimiento al Plan de Biocultura en patrimonio y del PCC.
.Tasa de consumo de sustancias sicoactivas por 100.000 habitantes en el departamento del Quindío.</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</si>
  <si>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</si>
  <si>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</si>
  <si>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</si>
  <si>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</si>
  <si>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</si>
  <si>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Tasa de lectura
Tasa de consumo de sustancias sicoactivas por 100.000 habitantes en el departamento del Quindío.</t>
  </si>
  <si>
    <t>Servicios bibliotecarios</t>
  </si>
  <si>
    <t>330108500</t>
  </si>
  <si>
    <t>Usuarios atendidos</t>
  </si>
  <si>
    <t>202000363-0020</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</si>
  <si>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</si>
  <si>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</si>
  <si>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</si>
  <si>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</si>
  <si>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</si>
  <si>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</si>
  <si>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</si>
  <si>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</si>
  <si>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202000363-0072</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</si>
  <si>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</si>
  <si>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</si>
  <si>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</si>
  <si>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</si>
  <si>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</si>
  <si>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</si>
  <si>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</si>
  <si>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202000363-0073</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</si>
  <si>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</si>
  <si>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</si>
  <si>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</si>
  <si>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</si>
  <si>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Comercio, Industria y Turismo</t>
  </si>
  <si>
    <t>Índice Departamental de Competitividad
Tasa de desempleo</t>
  </si>
  <si>
    <t>Servicio de apoyo y consolidación de las Comisiones Regionales de Competitividad - CRC</t>
  </si>
  <si>
    <t>350200600</t>
  </si>
  <si>
    <t xml:space="preserve">Planes de trabajo concertados con las CRC para su consolidación </t>
  </si>
  <si>
    <t>202000363-0074</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</si>
  <si>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</si>
  <si>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</si>
  <si>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</si>
  <si>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</si>
  <si>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</si>
  <si>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</si>
  <si>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</si>
  <si>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202000363-0075</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</si>
  <si>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</si>
  <si>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</si>
  <si>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350204700</t>
  </si>
  <si>
    <t>0.7</t>
  </si>
  <si>
    <t>Índice Departamental de Competitividad Turística
Tasa de desempleo</t>
  </si>
  <si>
    <t>Servicio de asistencia técnica a los entes territoriales para el desarrollo turístico</t>
  </si>
  <si>
    <t>350203900</t>
  </si>
  <si>
    <t>202000363-0076</t>
  </si>
  <si>
    <t xml:space="preserve"> 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</si>
  <si>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</si>
  <si>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</si>
  <si>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</si>
  <si>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</si>
  <si>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</si>
  <si>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202000363-0077</t>
  </si>
  <si>
    <t xml:space="preserve"> 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</si>
  <si>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</si>
  <si>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</si>
  <si>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</si>
  <si>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</si>
  <si>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</si>
  <si>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</si>
  <si>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202000363-0078</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</si>
  <si>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</si>
  <si>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</si>
  <si>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</si>
  <si>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</si>
  <si>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</si>
  <si>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</si>
  <si>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</si>
  <si>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</si>
  <si>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</si>
  <si>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</si>
  <si>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</si>
  <si>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</si>
  <si>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</si>
  <si>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</si>
  <si>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</si>
  <si>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</si>
  <si>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</si>
  <si>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202000363-0079</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</si>
  <si>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</si>
  <si>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</si>
  <si>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</si>
  <si>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</si>
  <si>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</si>
  <si>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</si>
  <si>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</si>
  <si>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</si>
  <si>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</si>
  <si>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</si>
  <si>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</si>
  <si>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202000363-0023</t>
  </si>
  <si>
    <t xml:space="preserve"> 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</si>
  <si>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</si>
  <si>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</si>
  <si>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</si>
  <si>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</si>
  <si>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</si>
  <si>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</si>
  <si>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</si>
  <si>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</si>
  <si>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</si>
  <si>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</si>
  <si>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202000363-0080</t>
  </si>
  <si>
    <t xml:space="preserve"> 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</si>
  <si>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</si>
  <si>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</si>
  <si>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</si>
  <si>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</si>
  <si>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</si>
  <si>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202000363-0022</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</si>
  <si>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</si>
  <si>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</si>
  <si>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</si>
  <si>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</si>
  <si>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</si>
  <si>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</si>
  <si>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</si>
  <si>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</si>
  <si>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202000363-0081</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</si>
  <si>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</si>
  <si>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</si>
  <si>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</si>
  <si>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</si>
  <si>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</si>
  <si>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</si>
  <si>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202000363-0082</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</si>
  <si>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</si>
  <si>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</si>
  <si>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</si>
  <si>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</si>
  <si>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</si>
  <si>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202000363-0025</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</si>
  <si>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</si>
  <si>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</si>
  <si>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</si>
  <si>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</si>
  <si>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</si>
  <si>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</si>
  <si>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</si>
  <si>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</si>
  <si>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</si>
  <si>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202000363-0083</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</si>
  <si>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</si>
  <si>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</si>
  <si>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</si>
  <si>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</si>
  <si>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</si>
  <si>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</si>
  <si>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202000363-0084</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</si>
  <si>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</si>
  <si>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</si>
  <si>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</si>
  <si>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</si>
  <si>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</si>
  <si>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202000363-0026</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</si>
  <si>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</si>
  <si>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</si>
  <si>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</si>
  <si>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</si>
  <si>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</si>
  <si>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</si>
  <si>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</si>
  <si>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202000363-0024</t>
  </si>
  <si>
    <t xml:space="preserve"> 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</si>
  <si>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</si>
  <si>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</si>
  <si>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</si>
  <si>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</si>
  <si>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</si>
  <si>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</si>
  <si>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</si>
  <si>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</si>
  <si>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</si>
  <si>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</si>
  <si>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202000363-0085</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</si>
  <si>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</si>
  <si>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</si>
  <si>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</si>
  <si>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Documentos de lineamientos técnicos para mejorar la calidad ambiental de las áreas urbanas</t>
  </si>
  <si>
    <t>320101300</t>
  </si>
  <si>
    <t>Documentos de lineamientos técnicos para  mejorar la calidad ambiental de las áreas urbanas elaborados</t>
  </si>
  <si>
    <t>202000363-0027</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</si>
  <si>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</si>
  <si>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</si>
  <si>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</si>
  <si>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</si>
  <si>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</si>
  <si>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</si>
  <si>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3202005</t>
  </si>
  <si>
    <t>Servicio de restauración de ecosistemas</t>
  </si>
  <si>
    <t>320200500</t>
  </si>
  <si>
    <t>Áreas en proceso de restauración</t>
  </si>
  <si>
    <t>202000363-0086</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</si>
  <si>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</si>
  <si>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</si>
  <si>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</si>
  <si>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</si>
  <si>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</si>
  <si>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</si>
  <si>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</si>
  <si>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</si>
  <si>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</si>
  <si>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</si>
  <si>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</si>
  <si>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</si>
  <si>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</si>
  <si>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</si>
  <si>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</si>
  <si>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</si>
  <si>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202000363-0028</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</si>
  <si>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</si>
  <si>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</si>
  <si>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</si>
  <si>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</si>
  <si>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202000363-0087</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</si>
  <si>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</si>
  <si>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</si>
  <si>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Servicio de apoyo financiero a emprendimientos</t>
  </si>
  <si>
    <t>320401200</t>
  </si>
  <si>
    <t xml:space="preserve">Emprendimientos apoyados </t>
  </si>
  <si>
    <t>202000363-0029</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</si>
  <si>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</si>
  <si>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</si>
  <si>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</si>
  <si>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</si>
  <si>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</si>
  <si>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</si>
  <si>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202000363-0030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</si>
  <si>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</si>
  <si>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</si>
  <si>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</si>
  <si>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</si>
  <si>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</si>
  <si>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</si>
  <si>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</si>
  <si>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</si>
  <si>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</si>
  <si>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</si>
  <si>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</si>
  <si>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202000363-0088</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</si>
  <si>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</si>
  <si>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</si>
  <si>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</si>
  <si>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</si>
  <si>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</si>
  <si>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</si>
  <si>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</si>
  <si>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</si>
  <si>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</si>
  <si>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</si>
  <si>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</si>
  <si>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</si>
  <si>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202000363-0089</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</si>
  <si>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</si>
  <si>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</si>
  <si>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</si>
  <si>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</si>
  <si>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202000363-0090</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</si>
  <si>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</si>
  <si>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</si>
  <si>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</si>
  <si>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</si>
  <si>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202000363-0031</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</si>
  <si>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</si>
  <si>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</si>
  <si>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</si>
  <si>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</si>
  <si>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</si>
  <si>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202000363-0091</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</si>
  <si>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</si>
  <si>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</si>
  <si>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</si>
  <si>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</si>
  <si>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</si>
  <si>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</si>
  <si>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</si>
  <si>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</si>
  <si>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</si>
  <si>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</si>
  <si>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</si>
  <si>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</si>
  <si>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</si>
  <si>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</si>
  <si>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</si>
  <si>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</si>
  <si>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</si>
  <si>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</si>
  <si>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</si>
  <si>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</si>
  <si>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</si>
  <si>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</si>
  <si>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</si>
  <si>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</si>
  <si>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</si>
  <si>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</si>
  <si>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</si>
  <si>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</si>
  <si>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202000363-0092</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</si>
  <si>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</si>
  <si>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</si>
  <si>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</si>
  <si>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</si>
  <si>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</si>
  <si>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</si>
  <si>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</si>
  <si>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</si>
  <si>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202000363-0093</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</si>
  <si>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</si>
  <si>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</si>
  <si>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</si>
  <si>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</si>
  <si>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</si>
  <si>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</si>
  <si>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</si>
  <si>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</si>
  <si>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</si>
  <si>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</si>
  <si>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</si>
  <si>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</si>
  <si>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</si>
  <si>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</si>
  <si>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</si>
  <si>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</si>
  <si>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</si>
  <si>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</si>
  <si>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</si>
  <si>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</si>
  <si>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</si>
  <si>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</si>
  <si>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</si>
  <si>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</si>
  <si>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</si>
  <si>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202000363-0016</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</si>
  <si>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</si>
  <si>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</si>
  <si>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</si>
  <si>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</si>
  <si>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</si>
  <si>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</si>
  <si>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 xml:space="preserve">Tasa de cobertura bruta en transición
Tasa de cobertura bruta en educación básica
Tasa de cobertura en educación media
</t>
  </si>
  <si>
    <t>Servicio educativo</t>
  </si>
  <si>
    <t>Establecimientos educativos en operación</t>
  </si>
  <si>
    <t>Servicio de accesibilidad a contenidos web para fines pedagógicos</t>
  </si>
  <si>
    <t>Estudiantes con acceso a contenidos web en el establecimiento educativo</t>
  </si>
  <si>
    <t>202000363-0094</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</si>
  <si>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</si>
  <si>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</si>
  <si>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</si>
  <si>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</si>
  <si>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</si>
  <si>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</si>
  <si>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</si>
  <si>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</si>
  <si>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</si>
  <si>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202000363-0015</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</si>
  <si>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</si>
  <si>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</si>
  <si>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</si>
  <si>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</si>
  <si>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</si>
  <si>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</si>
  <si>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202000363-0095</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</si>
  <si>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</si>
  <si>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</si>
  <si>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</si>
  <si>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</si>
  <si>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</si>
  <si>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</si>
  <si>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202000363-0096</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</si>
  <si>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</si>
  <si>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</si>
  <si>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</si>
  <si>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</si>
  <si>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</si>
  <si>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</si>
  <si>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202000363-0097</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</si>
  <si>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</si>
  <si>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</si>
  <si>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</si>
  <si>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</si>
  <si>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</si>
  <si>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</si>
  <si>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202000363-0011</t>
  </si>
  <si>
    <t xml:space="preserve">  Diseño e implementación de campañas para la promoción de la vida y prevención del consumo de sustancias psicoactivas en el Departamento del Quindío. "TU Y YO UNIDOS POR LA VIDA".  </t>
  </si>
  <si>
    <t xml:space="preserve"> 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</si>
  <si>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</si>
  <si>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</si>
  <si>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</si>
  <si>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</si>
  <si>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</si>
  <si>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</si>
  <si>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202000363-0098</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</si>
  <si>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</si>
  <si>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</si>
  <si>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</si>
  <si>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</si>
  <si>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</si>
  <si>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</si>
  <si>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</si>
  <si>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202000363-0099</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</si>
  <si>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</si>
  <si>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</si>
  <si>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</si>
  <si>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</si>
  <si>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</si>
  <si>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</si>
  <si>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</si>
  <si>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</si>
  <si>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</si>
  <si>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</si>
  <si>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</si>
  <si>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</si>
  <si>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</si>
  <si>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202000363-0100</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</si>
  <si>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</si>
  <si>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</si>
  <si>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</si>
  <si>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Revisar y ajustar   la política pública de primera infancia, infancia y adolescencia</t>
  </si>
  <si>
    <t xml:space="preserve">4102035
 </t>
  </si>
  <si>
    <t xml:space="preserve">Documento  de Política Pública de Primera Infancia, Infancia y Adolescencia, revisado, ajustado </t>
  </si>
  <si>
    <t xml:space="preserve">410203501
</t>
  </si>
  <si>
    <t>Documentos de lineamientos técnicos en Política y Atención Integral de niños, niñas y adolescentes realizados</t>
  </si>
  <si>
    <t>202000363-0101</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</si>
  <si>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</si>
  <si>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</si>
  <si>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</si>
  <si>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</si>
  <si>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</si>
  <si>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</si>
  <si>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</si>
  <si>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</si>
  <si>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</si>
  <si>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</si>
  <si>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202000363-0102</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</si>
  <si>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</si>
  <si>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</si>
  <si>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</si>
  <si>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</si>
  <si>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</si>
  <si>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</si>
  <si>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</si>
  <si>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202000363-0032</t>
  </si>
  <si>
    <t xml:space="preserve"> Diseño e implementación del programa de acompañamiento familiar y comunitario con enfoque preventivo en los tipos de violencias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</si>
  <si>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</si>
  <si>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</si>
  <si>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</si>
  <si>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</si>
  <si>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</si>
  <si>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</si>
  <si>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202000363-0033</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</si>
  <si>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</si>
  <si>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</si>
  <si>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</si>
  <si>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</si>
  <si>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</si>
  <si>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</si>
  <si>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</si>
  <si>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</si>
  <si>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</si>
  <si>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</si>
  <si>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</si>
  <si>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202000363-0034</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</si>
  <si>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</si>
  <si>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</si>
  <si>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</si>
  <si>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</si>
  <si>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</si>
  <si>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202000363-0103</t>
  </si>
  <si>
    <t xml:space="preserve">  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</si>
  <si>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</si>
  <si>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</si>
  <si>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</si>
  <si>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202000363-0104</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</si>
  <si>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</si>
  <si>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</si>
  <si>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</si>
  <si>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</si>
  <si>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202000363-0105</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</si>
  <si>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</si>
  <si>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</si>
  <si>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</si>
  <si>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</si>
  <si>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</si>
  <si>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202000363-0106</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</si>
  <si>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</si>
  <si>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</si>
  <si>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</si>
  <si>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</si>
  <si>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</si>
  <si>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</si>
  <si>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</si>
  <si>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202000363-0036</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</si>
  <si>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</si>
  <si>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</si>
  <si>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</si>
  <si>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</si>
  <si>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</si>
  <si>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</si>
  <si>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</si>
  <si>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</si>
  <si>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202000363-0037</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</si>
  <si>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</si>
  <si>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</si>
  <si>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</si>
  <si>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del Departamento del Quindío con el Programa de Rehabilitación Basada en la Comunidad  RBC
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</si>
  <si>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</si>
  <si>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</si>
  <si>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</si>
  <si>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</si>
  <si>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202000363-0035</t>
  </si>
  <si>
    <t xml:space="preserve"> 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</si>
  <si>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</si>
  <si>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en   Programas  de Rehabilitación Basada en la Comunidad  RBC
Cobertura de municipios atendidos  con el Banco de ayudas técnicas NO POS tipo Estándar, para las personas con discapacidad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</si>
  <si>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</si>
  <si>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</si>
  <si>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</si>
  <si>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</si>
  <si>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</si>
  <si>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</si>
  <si>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 202000363-0012</t>
  </si>
  <si>
    <t xml:space="preserve">   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</si>
  <si>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</si>
  <si>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</si>
  <si>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</si>
  <si>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</si>
  <si>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</si>
  <si>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</si>
  <si>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202000363-0109</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</si>
  <si>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</si>
  <si>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</si>
  <si>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</si>
  <si>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</si>
  <si>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</si>
  <si>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</si>
  <si>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</si>
  <si>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</si>
  <si>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</si>
  <si>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</si>
  <si>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</si>
  <si>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202000363-0113</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</si>
  <si>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</si>
  <si>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</si>
  <si>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</si>
  <si>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</si>
  <si>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</si>
  <si>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202000363-0114</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</si>
  <si>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</si>
  <si>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</si>
  <si>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</si>
  <si>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</si>
  <si>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</si>
  <si>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</si>
  <si>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202000363-0115</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</si>
  <si>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</si>
  <si>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</si>
  <si>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Tasa de Violencia Intrafamiliar x 100.000 Habitantes en el Departamento del Quindío.
Tasa de violencia de Género
Tasa  de mujeres de 12 a 14 años qué han sido madres o están en embarazo X 100.000 habitantes en el Departamento del Quindío
Tasa de participación femenina en cargos de elección popular en el  departamento del Quindío
Cobertura de Asociaciones de mujeres fortalecidas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</si>
  <si>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</si>
  <si>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</si>
  <si>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</si>
  <si>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</si>
  <si>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202000363-0108</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</si>
  <si>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</si>
  <si>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</si>
  <si>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</si>
  <si>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</si>
  <si>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</si>
  <si>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202000363-0107</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</si>
  <si>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</si>
  <si>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</si>
  <si>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Mejorar las condiciones de calidad de vida de la población, en acceso incluyente y equitativo a la oferta de servicios del Estado y la ampliación de oportunidades para los Quindianos. </t>
  </si>
  <si>
    <t>Casa de la Mujer Empoderada implementada</t>
  </si>
  <si>
    <t>Espacios generados para el fortalecimiento de capacidades institucionales del Estado</t>
  </si>
  <si>
    <t>202000363-0111</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</si>
  <si>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</si>
  <si>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</si>
  <si>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</si>
  <si>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202000363-0112</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</si>
  <si>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</si>
  <si>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</si>
  <si>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</si>
  <si>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 xml:space="preserve">Formular e implementar la Política Pública de Adulto Mayor </t>
  </si>
  <si>
    <t>4599019</t>
  </si>
  <si>
    <t xml:space="preserve">Política Pública de Adulto Mayor  formulada e implementada </t>
  </si>
  <si>
    <t>459901900</t>
  </si>
  <si>
    <t>Documentos de planeación realizados</t>
  </si>
  <si>
    <t>202000363-0150</t>
  </si>
  <si>
    <t xml:space="preserve">Revisar y ajustar  la política pública de equidad de género para la mujer </t>
  </si>
  <si>
    <t xml:space="preserve">Documento de Política Pública de la mujer y equidad de género revisada y ajustada </t>
  </si>
  <si>
    <t>202000363-0151</t>
  </si>
  <si>
    <t xml:space="preserve">Revisar y ajustar la política pública de equidad de género para la mujer en el Departamento del Quindío  </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</si>
  <si>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</si>
  <si>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Revisar y ajustar    la Política Pública de  Discapacidad</t>
  </si>
  <si>
    <t xml:space="preserve">Documento de Política Pública de  Discapacidad revisado y ajustado.  </t>
  </si>
  <si>
    <t>202000363-0110</t>
  </si>
  <si>
    <t xml:space="preserve">  Revisar y ajustar  la política pública de  discapacidad del departamento del Quindío  </t>
  </si>
  <si>
    <t>Disminuir  la tasa de suicidio, violencia intrafamiliar, además de aumentar la Cobertura de los  municipios del departamento con procesos de implementación de proyectos  productivos  para las personas con discapacidad,  a través de la participación de los diferentes actores qué contribuyen de manera integral a garantizar una mejor calidad de vida de las personas objeto de intervención.</t>
  </si>
  <si>
    <t>Mortalidad por diarreica aguda (EDA) menores 5 años (número de muertes anual)</t>
  </si>
  <si>
    <t>Servicio de concepto sanitario</t>
  </si>
  <si>
    <t>Servicio de registro sanitario</t>
  </si>
  <si>
    <t>Conceptos sanitarios expedidos</t>
  </si>
  <si>
    <t>202000363-0116</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</si>
  <si>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</si>
  <si>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</si>
  <si>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</si>
  <si>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</si>
  <si>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</si>
  <si>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</si>
  <si>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</si>
  <si>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</si>
  <si>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</si>
  <si>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Servicio de vigilancia y control de las políticas y normas técnicas, científicas y administrativas expedidas por el Ministerio de Salud y Protección Social</t>
  </si>
  <si>
    <t>Municipios con procesos de vigilancia epidemiológica de plaguicidas organofosforados y carbamatos realizados.</t>
  </si>
  <si>
    <t>Entidades territoriales con vigilancia y control realizados</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</si>
  <si>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</si>
  <si>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</si>
  <si>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</si>
  <si>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</si>
  <si>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</si>
  <si>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</si>
  <si>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</si>
  <si>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</si>
  <si>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</si>
  <si>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</si>
  <si>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</si>
  <si>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</si>
  <si>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</si>
  <si>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202000363-0117</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</si>
  <si>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</si>
  <si>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</si>
  <si>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</si>
  <si>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</si>
  <si>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</si>
  <si>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</si>
  <si>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</si>
  <si>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</si>
  <si>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202000363-0118</t>
  </si>
  <si>
    <t xml:space="preserve"> Fortalecimiento de las actividades de vigilancia y control del laboratorio de salud pública en el Departamento del Quindío  
</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</si>
  <si>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</si>
  <si>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</si>
  <si>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</si>
  <si>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</si>
  <si>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</si>
  <si>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</si>
  <si>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202000363-0119</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</si>
  <si>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</si>
  <si>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</si>
  <si>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</si>
  <si>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</si>
  <si>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</si>
  <si>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202000363-0120</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</si>
  <si>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</si>
  <si>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</si>
  <si>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</si>
  <si>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</si>
  <si>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</si>
  <si>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</si>
  <si>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</si>
  <si>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</si>
  <si>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</si>
  <si>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202000363-0121</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</si>
  <si>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</si>
  <si>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</si>
  <si>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</si>
  <si>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</si>
  <si>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</si>
  <si>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</si>
  <si>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</si>
  <si>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</si>
  <si>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</si>
  <si>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</si>
  <si>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</si>
  <si>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</si>
  <si>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202000363-0122</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</si>
  <si>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</si>
  <si>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</si>
  <si>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</si>
  <si>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</si>
  <si>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</si>
  <si>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</si>
  <si>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202000363-0123</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</si>
  <si>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</si>
  <si>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</si>
  <si>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</si>
  <si>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</si>
  <si>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</si>
  <si>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</si>
  <si>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</si>
  <si>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Letalidad por dengue.</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</si>
  <si>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</si>
  <si>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</si>
  <si>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</si>
  <si>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</si>
  <si>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</si>
  <si>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</si>
  <si>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</si>
  <si>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</si>
  <si>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</si>
  <si>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</si>
  <si>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</si>
  <si>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</si>
  <si>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</si>
  <si>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202000363-0124</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</si>
  <si>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</si>
  <si>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</si>
  <si>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</si>
  <si>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</si>
  <si>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</si>
  <si>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</si>
  <si>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</si>
  <si>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202000363-0125</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</si>
  <si>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</si>
  <si>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</si>
  <si>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</si>
  <si>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</si>
  <si>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</si>
  <si>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</si>
  <si>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</si>
  <si>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</si>
  <si>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</si>
  <si>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202000363-0126</t>
  </si>
  <si>
    <t>Proyecto de promoción de estilos de vida saludable,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</si>
  <si>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</si>
  <si>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</si>
  <si>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</si>
  <si>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202000363-0127</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</si>
  <si>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</si>
  <si>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</si>
  <si>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</si>
  <si>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</si>
  <si>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</si>
  <si>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</si>
  <si>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</si>
  <si>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</si>
  <si>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t>
  </si>
  <si>
    <t>202000363-0128</t>
  </si>
  <si>
    <t xml:space="preserve">Difusión de la estrategia de gestión integral y de control en vectores, zoonosis y cambio climático del Departamento del Quindío.   </t>
  </si>
  <si>
    <t xml:space="preserve"> Disminuir en índice de enfermedades trasmisión vectorial y zoonosis en la población   </t>
  </si>
  <si>
    <t>202000363-0129</t>
  </si>
  <si>
    <t xml:space="preserve"> Fortalecimiento de la inclusión social para la disminución del riesgo de contraer enfermedades transmisibles en el Departamento del Quindío.  </t>
  </si>
  <si>
    <t xml:space="preserve"> Aumentar la adherencia al tratamiento de los pacientes con diagnóstico de tuberculosis  </t>
  </si>
  <si>
    <t>Servicio de gestión del riesgo para enfermedades emergentes, reemergentes y desatendidas.</t>
  </si>
  <si>
    <t>202000363-0130</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</si>
  <si>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</si>
  <si>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</si>
  <si>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</si>
  <si>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</si>
  <si>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</si>
  <si>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202000363-0131</t>
  </si>
  <si>
    <t xml:space="preserve"> 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</si>
  <si>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</si>
  <si>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</si>
  <si>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</si>
  <si>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202000363-0132</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</si>
  <si>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</si>
  <si>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</si>
  <si>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</si>
  <si>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202000363-0133</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</si>
  <si>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</si>
  <si>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</si>
  <si>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</si>
  <si>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</si>
  <si>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1905009
</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</si>
  <si>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</si>
  <si>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</si>
  <si>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</si>
  <si>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</si>
  <si>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202000363-0134</t>
  </si>
  <si>
    <t xml:space="preserve">Fortalecimiento de la red de urgencias y emergencias en el Departamento del Quindío. </t>
  </si>
  <si>
    <t>Fortalecer en la integración de la red hospitalaria del departamento del Quindío.</t>
  </si>
  <si>
    <t>202000363-0135</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</si>
  <si>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</si>
  <si>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</si>
  <si>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Servicio de promoción de afiliaciones al régimen contributivo del Sistema General de Seguridad Social de las personas con capacidad de pago</t>
  </si>
  <si>
    <t>Personas con capacidad de pago afiliadas</t>
  </si>
  <si>
    <t>202000363-0136</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</si>
  <si>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</si>
  <si>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</si>
  <si>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</si>
  <si>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</si>
  <si>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</si>
  <si>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</si>
  <si>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</si>
  <si>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</si>
  <si>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</si>
  <si>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</si>
  <si>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202000363-0137</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</si>
  <si>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</si>
  <si>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</si>
  <si>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</si>
  <si>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</si>
  <si>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</si>
  <si>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</si>
  <si>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</si>
  <si>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</si>
  <si>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</si>
  <si>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</si>
  <si>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202000363-0138</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</si>
  <si>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</si>
  <si>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</si>
  <si>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</si>
  <si>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</si>
  <si>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</si>
  <si>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</si>
  <si>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</si>
  <si>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</si>
  <si>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Tecnologías de la información y las comunicaciones</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</si>
  <si>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</si>
  <si>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</si>
  <si>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</si>
  <si>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202000363-0038</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</si>
  <si>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</si>
  <si>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</si>
  <si>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</si>
  <si>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</si>
  <si>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</si>
  <si>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</si>
  <si>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</si>
  <si>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</si>
  <si>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</si>
  <si>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</si>
  <si>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</si>
  <si>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</si>
  <si>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202000363-0139</t>
  </si>
  <si>
    <t>Apoyo a la apropiación tecnológica y generacional en el Departamento del Quindío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</si>
  <si>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</si>
  <si>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</si>
  <si>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</si>
  <si>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</si>
  <si>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</si>
  <si>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</si>
  <si>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</si>
  <si>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</si>
  <si>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</si>
  <si>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202000363-0039</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</si>
  <si>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</si>
  <si>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</si>
  <si>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</si>
  <si>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</si>
  <si>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</si>
  <si>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</si>
  <si>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</si>
  <si>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</si>
  <si>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</si>
  <si>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</si>
  <si>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</si>
  <si>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</si>
  <si>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</si>
  <si>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</si>
  <si>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</si>
  <si>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</si>
  <si>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202000363-0140</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</si>
  <si>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</si>
  <si>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</si>
  <si>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</si>
  <si>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</si>
  <si>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</si>
  <si>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</si>
  <si>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</si>
  <si>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</si>
  <si>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</si>
  <si>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202000363-0040</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</si>
  <si>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</si>
  <si>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</si>
  <si>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</si>
  <si>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</si>
  <si>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</si>
  <si>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202000363-0141</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</si>
  <si>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</si>
  <si>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</si>
  <si>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</si>
  <si>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</si>
  <si>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</si>
  <si>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</si>
  <si>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</si>
  <si>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</si>
  <si>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</si>
  <si>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</si>
  <si>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</si>
  <si>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</si>
  <si>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</si>
  <si>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</si>
  <si>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</si>
  <si>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</si>
  <si>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</si>
  <si>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</si>
  <si>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</si>
  <si>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</si>
  <si>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</si>
  <si>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</si>
  <si>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</si>
  <si>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</si>
  <si>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 xml:space="preserve">Cobertura de ligas apoyadas en el departamento del Quindío.
Tasa de consumo de sustancias psicoactivas X100.000 habitantes en el Departamento del Quindío
</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</si>
  <si>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</si>
  <si>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</si>
  <si>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</si>
  <si>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</si>
  <si>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Porcentaje de medallería del departamento del Quindío en los Juegos Nacionales.
Tasa de consumo de sustancias psicoactivas X100.000 habitantes en el Departamento del Quindío</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</si>
  <si>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</si>
  <si>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</si>
  <si>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</si>
  <si>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</si>
  <si>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</si>
  <si>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mejorados,  ampliados, mantenidos y/o  reforzados </t>
  </si>
  <si>
    <t xml:space="preserve">Infraestructura   deportiva y/o recreativa construida, mejorada, ampliada,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</si>
  <si>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</si>
  <si>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</si>
  <si>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</si>
  <si>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</si>
  <si>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</si>
  <si>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</si>
  <si>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</si>
  <si>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202000363-0144</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</si>
  <si>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</si>
  <si>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</si>
  <si>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</si>
  <si>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</si>
  <si>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</si>
  <si>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202000363-0145</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</si>
  <si>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</si>
  <si>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</si>
  <si>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</si>
  <si>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</si>
  <si>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</si>
  <si>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</si>
  <si>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</si>
  <si>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</si>
  <si>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</si>
  <si>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</si>
  <si>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</si>
  <si>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</si>
  <si>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</si>
  <si>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</si>
  <si>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</si>
  <si>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</si>
  <si>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</si>
  <si>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</si>
  <si>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</si>
  <si>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</si>
  <si>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</si>
  <si>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</si>
  <si>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</si>
  <si>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</si>
  <si>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202000363-0149</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</si>
  <si>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</si>
  <si>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</si>
  <si>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</si>
  <si>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</si>
  <si>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</si>
  <si>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</si>
  <si>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</si>
  <si>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</si>
  <si>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</si>
  <si>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</si>
  <si>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ENTIDADES DESCENTRALIZADAS</t>
  </si>
  <si>
    <t>TOTAL POAI:</t>
  </si>
  <si>
    <t>TOTAL SECTOR CENTRAL</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</si>
  <si>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</si>
  <si>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</si>
  <si>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</si>
  <si>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</si>
  <si>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</si>
  <si>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</si>
  <si>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</si>
  <si>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</si>
  <si>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</si>
  <si>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</si>
  <si>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</si>
  <si>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Ciencia, Tecnología e Innovación</t>
  </si>
  <si>
    <t xml:space="preserve"> Diseño e implementación de un  Modelo de  atención integral a la primera infancia  a través de las Rutas Integrales de Atención  RIA en el Departamento del  Quindío </t>
  </si>
  <si>
    <t>Formulación de la política pública de adulto mayor en el Departamento del Quindío</t>
  </si>
  <si>
    <t>Disminuir Tasa de Suicidio  y Violencia Intrafamiliar, además del aumento de la Cobertura a los grupos de adulto mayor, a través de la formulación de la política pública de este grupo de población en el Departamento del Quindío.</t>
  </si>
  <si>
    <t>Estrategias de promoción de la cultura ciudadana implementadas</t>
  </si>
  <si>
    <t>Formular e Implementar un programa de control, prevención y atención del tránsito y el transporte en los municipios y vías de jurisdicción del IDTQ.</t>
  </si>
  <si>
    <t xml:space="preserve"> 1 de 1</t>
  </si>
  <si>
    <t xml:space="preserve"> Banco de Programas y Proyectos del Departamento  con procesos de fortalecimiento</t>
  </si>
  <si>
    <t>Registros sanitarios expedidos</t>
  </si>
  <si>
    <t>Actualizar los procesos y procedimientos implementados al interior de la entidad, que permitan desarrollar una modernización administrativa incluyente y participativa.</t>
  </si>
  <si>
    <t>RECURSO DEL CRÉDITO</t>
  </si>
  <si>
    <t>Prestación de servicios de salud. "Tú y yo con servicios de salud"</t>
  </si>
  <si>
    <t>Aseguramiento y prestación integral de servicios de salud</t>
  </si>
  <si>
    <t>Fortalecimiento de la educación media para la articulación con la educación superior o terciaria. "Tú y yo preparados para la educación superior"</t>
  </si>
  <si>
    <t xml:space="preserve">Calidad y fomento de la educación superior </t>
  </si>
  <si>
    <t>Facilitar el acceso y uso de las Tecnologías de la Información y las Comunicaciones en todo el departamento del Quindio. "Tú y yo somos ciudadanos TIC"</t>
  </si>
  <si>
    <t>Facilitar el acceso y uso de las Tecnologías de la Información y las Comunicaciones en todo el territorio nacional</t>
  </si>
  <si>
    <t>Desarrollo integral de la primera infancia a la juventud, y fortalecimiento de las capacidades de las familias de niñas, niños y adolescentes</t>
  </si>
  <si>
    <t>Fomento a la recreación, la actividad física y el deporte. "Tú y yo en la recreación y el deporte"</t>
  </si>
  <si>
    <t>Fomento a la recreación, la actividad física y el deporte para desarrollar entornos de convivencia y paz</t>
  </si>
  <si>
    <t>Participación ciudadana y política y respeto por los derechos humanos y diversidad de creencias. "Quindío integrado y participativo"</t>
  </si>
  <si>
    <t>Fortalecimiento del buen gobierno para el respeto y garantía de los derechos humanos</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</si>
  <si>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</si>
  <si>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</si>
  <si>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</si>
  <si>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Fortalecimiento a la gestión y dirección de la administración pública territorial</t>
  </si>
  <si>
    <t>Promoción al acceso a la justicia</t>
  </si>
  <si>
    <t>Promoción al acceso a la justicia."Tú y yo con justicia"</t>
  </si>
  <si>
    <t>Sistema penitenciario y carcelario en el marco de los derechos humanos</t>
  </si>
  <si>
    <t xml:space="preserve">Inclusión productiva de pequeños productores rurales </t>
  </si>
  <si>
    <t>Servicios financieros y gestión del riesgo para las actividades agropecuarias y rurales</t>
  </si>
  <si>
    <t>Ordenamiento social y uso productivo del territorio rural</t>
  </si>
  <si>
    <t>Aprovechamiento de mercados externos</t>
  </si>
  <si>
    <t>Sanidad agropecuaria e inocuidad agroalimentaria</t>
  </si>
  <si>
    <t>Ciencia, tecnología e innovación agropecuaria</t>
  </si>
  <si>
    <t>Infraestructura productiva y comercialización</t>
  </si>
  <si>
    <t>Productividad y competitividad de las empresas colombianas</t>
  </si>
  <si>
    <t xml:space="preserve">Productividad y competitividad de las empresas. "Tú y yo con empresas competitivas" </t>
  </si>
  <si>
    <t>Inspección, vigilancia y control. “Tú y yo con salud certificada”</t>
  </si>
  <si>
    <t xml:space="preserve">Inspección, vigilancia y control </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</si>
  <si>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</si>
  <si>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</si>
  <si>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 "Quindío paraiso empresarial TIC-Quindío TIC"</t>
  </si>
  <si>
    <t>Fomento del desarrollo de aplicaciones, software y contenidos para impulsar la apropiación de las Tecnologías de la Información y las Comunicaciones (TIC)</t>
  </si>
  <si>
    <t>Infraestructura red vial regional</t>
  </si>
  <si>
    <t>Seguridad de transporte</t>
  </si>
  <si>
    <t>Fortalecimiento del desempeño ambiental de los sectores productivos. "Tú y yo guardianes de la biodiversidad".</t>
  </si>
  <si>
    <t>Fortalecimiento del desempeño ambiental de los sectores productivos</t>
  </si>
  <si>
    <t>Conservación de la biodiversidad y sus servicios ecosistémicos</t>
  </si>
  <si>
    <t>Gestión de la información y el conocimiento ambiental.  “Tú y yo conscientes con la naturaleza”</t>
  </si>
  <si>
    <t>Ordenamiento ambiental territorial</t>
  </si>
  <si>
    <t>Gestión del cambio climático para un desarrollo bajo en carbono y resiliente al clima</t>
  </si>
  <si>
    <t>Promoción y acceso efectivo a procesos culturales y artísticos</t>
  </si>
  <si>
    <t>Gestión, protección y salvaguardia del patrimonio cultural colombiano</t>
  </si>
  <si>
    <t>Generación y formalización del empleo</t>
  </si>
  <si>
    <t>Derechos fundamentales del trabajo y fortalecimiento del diálogo social</t>
  </si>
  <si>
    <t>Generación de una cultura que valora y gestiona el conocimiento y la innovación</t>
  </si>
  <si>
    <t>Acceso a soluciones de vivienda</t>
  </si>
  <si>
    <t>Acceso de la población a los servicios de agua potable y saneamiento básico</t>
  </si>
  <si>
    <t>Atención, asistencia  y reparación integral a las víctimas</t>
  </si>
  <si>
    <t>Inclusión social y productiva para la población en situación de vulnerabilidad</t>
  </si>
  <si>
    <t>Atención integral de población en situación permanente de desprotección social y/o familiar</t>
  </si>
  <si>
    <t>Formación y preparación de deportistas</t>
  </si>
  <si>
    <t>Fortalecimiento de la convivencia y la seguridad ciudadana</t>
  </si>
  <si>
    <t xml:space="preserve">Promoción de los métodos de resolución de conflictos </t>
  </si>
  <si>
    <t>Secretaría Administrativa</t>
  </si>
  <si>
    <t>Liderazgo, gobernabilidad y transparencia</t>
  </si>
  <si>
    <t>Secretaría de Planeación</t>
  </si>
  <si>
    <t>Inclusión social y equidad</t>
  </si>
  <si>
    <t>Secretaría de Hacienda y Finanzas Públicas</t>
  </si>
  <si>
    <t>Territorio, ambiente y desarrollo sostenible</t>
  </si>
  <si>
    <t>Secretaría del Interior</t>
  </si>
  <si>
    <t>Secretaría de Aguas e Infraestructura</t>
  </si>
  <si>
    <t xml:space="preserve">Territorio, ambiente y desarrollo sostenible </t>
  </si>
  <si>
    <t>Secretaría de Cultura</t>
  </si>
  <si>
    <t>Productividad y competitividad</t>
  </si>
  <si>
    <t>Secretaría de Agricultura, Desarrollo Rural y Medio Ambiente</t>
  </si>
  <si>
    <t>Secretaría de Turismo Industria y Comercio</t>
  </si>
  <si>
    <t>Dirección Oficina Privada</t>
  </si>
  <si>
    <t>Secretaría de Educación</t>
  </si>
  <si>
    <t>Secretaría de Familia</t>
  </si>
  <si>
    <t>Secretaria de Salud</t>
  </si>
  <si>
    <t>Instituto Departamental de Deporte y Recreación del Quindío</t>
  </si>
  <si>
    <t>PROYECTA Empresa para el Desarrollo Territorial</t>
  </si>
  <si>
    <t xml:space="preserve">Territorio, Ambiente y Desarrollo Sostenible </t>
  </si>
  <si>
    <t xml:space="preserve">Instituto Departamental de Tránsito del Quindío </t>
  </si>
  <si>
    <t>CÓDIGO
PDD</t>
  </si>
  <si>
    <t>NOMBRE PDD</t>
  </si>
  <si>
    <t>CÓDIGO CATÁLOGO MGA</t>
  </si>
  <si>
    <t xml:space="preserve">PROGRAMA CATÁLOGO MGA </t>
  </si>
  <si>
    <t>META PRODUCTO</t>
  </si>
  <si>
    <t>PROGRAMADA
VIGENCIA</t>
  </si>
  <si>
    <t>FUENTES DE FINANCIACIÓN</t>
  </si>
  <si>
    <t>TOTAL PRESUPUESTO</t>
  </si>
  <si>
    <t>PRESUPUESTO</t>
  </si>
  <si>
    <t xml:space="preserve"> FORMATO</t>
  </si>
  <si>
    <t>PLAN DE DESARROLLO 2020 -2023 "TÚ Y YO SOMOS QUINDIO"</t>
  </si>
  <si>
    <t xml:space="preserve">  John Harold Valencia Rodríguez, Secretario Administrativo</t>
  </si>
  <si>
    <t>Luis Alberto Rincón Quintero, Secretario de Planeación</t>
  </si>
  <si>
    <t>Maria Aleyda  Marin Betancourt, Secretaria de Hacienda</t>
  </si>
  <si>
    <t>Gilberto Gutiérrez Caro, Secretario de Aguas e Infraestructura</t>
  </si>
  <si>
    <t>Magda  Inés Montoya  Naranjo, Secretaria del Interior</t>
  </si>
  <si>
    <t>Juan Manuel Rodríguez Brito, Secretario de Cultura</t>
  </si>
  <si>
    <t>Carlos Andrés Arredondo Salazar, Secretario de Turismo, Industria y Comercio</t>
  </si>
  <si>
    <t>Julio César Cortés Pulido, Secretario de Agricultura, Desarrollo Rural y Medio Ambiente</t>
  </si>
  <si>
    <t>Jorge Hernan Zapata Botero, Director Oficina Privada</t>
  </si>
  <si>
    <t>Liliana María Sánchez Villada, Secretaria de Educación</t>
  </si>
  <si>
    <t>Alba Johana Quejada Torres, Secretaria de Familia</t>
  </si>
  <si>
    <t>Yenny Alexandra Trujillo Álzate, Secretaria de Salud</t>
  </si>
  <si>
    <t>John Mario Liévano Fernández, Secretario Tecnologías de la Información y las Comunicaciones</t>
  </si>
  <si>
    <t>Fernando  Augusto Paneso Zuluaga, Gerente INDEPORTES QUINDÍO</t>
  </si>
  <si>
    <t>Pablo César Herrera Correa, Gerente General PROYECTA para el Desarrollo Territorial</t>
  </si>
  <si>
    <t>Secretaría Tecnologías de la Información y las Comunicaciones</t>
  </si>
  <si>
    <t xml:space="preserve">Prestación de Servicios a la Población no Afiliada al Sistema General de Seguridad Social en Salud y en el NO POS a la Población del Régimen Subsidiado.  </t>
  </si>
  <si>
    <t>R - A</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</si>
  <si>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</si>
  <si>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</si>
  <si>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ESTAMPILLAS 
PRO - CULTURA
PRO - ADULTO MAYOR
PRO - DESARROLLO</t>
  </si>
  <si>
    <t>FONDO LOCAL DE SALUD  -  RENTAS CEDIDAS -LOTERIAS-RIFAS-PREMIO - IVA LICORES SALUD</t>
  </si>
  <si>
    <t xml:space="preserve">SGP PRESTACIÓN DE SERVICIOS - EDUCACIÓN  - Y CONECTIVIDAD
(25-21-09-188)
</t>
  </si>
  <si>
    <t>Formular el Plan de Fortalecimiento de Capacidades en Salud Ambiental en coordinación con el Consejo Territorial de Salud Ambiental COTSA</t>
  </si>
  <si>
    <t>Acumulada</t>
  </si>
  <si>
    <t>ACUMULADA (MANTENIMIENTO)
NO ACUAULADA (INCREMENTO)</t>
  </si>
  <si>
    <t>No Acumulada</t>
  </si>
  <si>
    <t>Instancias territoriales de coordinación institucional asistidas y apoyadas</t>
  </si>
  <si>
    <t>Fernando Baena Villareal Director IDTQ</t>
  </si>
  <si>
    <t>TOTAL POAI</t>
  </si>
  <si>
    <t>Campañas de promoción de la salud  y prevención de riesgos asociados a condiciones no transmisibles implementadas</t>
  </si>
  <si>
    <t>Productividad y Competitividad</t>
  </si>
  <si>
    <t xml:space="preserve">Productividad y competitividad de las empresas "Tú y yo con empresas competitivas" </t>
  </si>
  <si>
    <t xml:space="preserve">Productividad y competitividad de las empresas colombianas </t>
  </si>
  <si>
    <t>Mejoramiento casa del artesano del municipio de filandia en el departamento del Quindío</t>
  </si>
  <si>
    <t xml:space="preserve">Índice Departamental de Competitividad Turística
Tasa de desempleo
</t>
  </si>
  <si>
    <t>202100363-0020</t>
  </si>
  <si>
    <t>Diseñar una propuesta turística que mejore la infraestructura de la casa del artesano  como oferta de diversificación que permita aprovechar las oportunidades económicas actuales del sector..</t>
  </si>
  <si>
    <t>DICIEMBRE 31  DE  2021</t>
  </si>
  <si>
    <t>PLAN DE DESARROLLO 2020-2023 "TÚ Y YO SOMOS QUINDIO"
PLAN OPERATIVO ANUAL DE INVERSIÓN POAI  2021 - 
DICIEMBRE 31 DE 2021</t>
  </si>
  <si>
    <t>PLAN OPERATIVO ANUAL DE INVERSIONES POAI 2021 
PLAN DE DESARROLLO 2020-2023 "TÚ Y YO SOMOS QUINDIO"</t>
  </si>
  <si>
    <t xml:space="preserve">F-PLA-42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</si>
</sst>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 #,##0.00_-;\-* #,##0.00_-;_-* &quot;-&quot;_-;_-@_-"/>
    <numFmt numFmtId="173" formatCode="_-&quot;$&quot;\ * #,##0.00_-;\-&quot;$&quot;\ * #,##0.00_-;_-&quot;$&quot;\ * &quot;-&quot;_-;_-@_-"/>
    <numFmt numFmtId="174" formatCode="_-* #,##0.00\ _€_-;\-* #,##0.00\ _€_-;_-* &quot;-&quot;??\ _€_-;_-@_-"/>
    <numFmt numFmtId="175" formatCode="_ [$€-2]\ * #,##0.00_ ;_ [$€-2]\ * \-#,##0.00_ ;_ [$€-2]\ * &quot;-&quot;??_ "/>
    <numFmt numFmtId="176" formatCode="#,##0."/>
    <numFmt numFmtId="177" formatCode="_ * #,##0.00_ ;_ * \-#,##0.00_ ;_ * &quot;-&quot;??_ ;_ @_ "/>
    <numFmt numFmtId="178" formatCode="#,##0.00_);\-#,##0.00"/>
  </numFmts>
  <fonts count="60"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sz val="8"/>
      <name val="Calibri"/>
      <family val="2"/>
      <scheme val="minor"/>
    </font>
    <font>
      <b/>
      <sz val="11"/>
      <color theme="0"/>
      <name val="Calibri"/>
      <family val="2"/>
      <scheme val="minor"/>
    </font>
    <font>
      <sz val="11"/>
      <color rgb="FF000000"/>
      <name val="Calibri"/>
      <family val="2"/>
    </font>
    <font>
      <sz val="12"/>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b/>
      <sz val="10"/>
      <color theme="1"/>
      <name val="Arial"/>
      <family val="2"/>
    </font>
    <font>
      <sz val="11"/>
      <name val="Calibri"/>
      <family val="2"/>
      <scheme val="minor"/>
    </font>
    <font>
      <b/>
      <sz val="14"/>
      <name val="Arial"/>
      <family val="2"/>
    </font>
    <font>
      <sz val="11"/>
      <name val="Arial"/>
      <family val="2"/>
    </font>
    <font>
      <sz val="10"/>
      <color indexed="8"/>
      <name val="MS Sans Serif"/>
    </font>
    <font>
      <b/>
      <sz val="12"/>
      <color indexed="8"/>
      <name val="Times New Roman"/>
      <family val="1"/>
    </font>
    <font>
      <sz val="11"/>
      <color rgb="FF000000"/>
      <name val="Arial"/>
      <family val="2"/>
    </font>
    <font>
      <sz val="9"/>
      <color indexed="8"/>
      <name val="Calibri"/>
      <family val="2"/>
      <scheme val="minor"/>
    </font>
    <font>
      <sz val="11"/>
      <color theme="1"/>
      <name val="Arial"/>
      <family val="2"/>
    </font>
    <font>
      <b/>
      <sz val="10"/>
      <color indexed="8"/>
      <name val="Arial"/>
      <family val="2"/>
    </font>
  </fonts>
  <fills count="6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522B57"/>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79998168889431442"/>
        <bgColor indexed="64"/>
      </patternFill>
    </fill>
    <fill>
      <patternFill patternType="solid">
        <fgColor theme="9" tint="0.7999816888943144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s>
  <cellStyleXfs count="1037">
    <xf numFmtId="168" fontId="0"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7" fontId="5" fillId="0" borderId="0" applyFont="0" applyFill="0" applyBorder="0" applyAlignment="0" applyProtection="0"/>
    <xf numFmtId="168" fontId="7" fillId="4" borderId="10">
      <alignment horizontal="center" vertical="center" wrapText="1"/>
    </xf>
    <xf numFmtId="0" fontId="1" fillId="0" borderId="0"/>
    <xf numFmtId="167" fontId="1" fillId="0" borderId="0" applyFont="0" applyFill="0" applyBorder="0" applyAlignment="0" applyProtection="0"/>
    <xf numFmtId="0" fontId="7" fillId="4" borderId="10">
      <alignment horizontal="center" vertical="center" wrapText="1"/>
    </xf>
    <xf numFmtId="168" fontId="8" fillId="0" borderId="0"/>
    <xf numFmtId="4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0" fillId="7" borderId="14">
      <alignment horizontal="center" vertical="center" wrapText="1"/>
    </xf>
    <xf numFmtId="0" fontId="8" fillId="0" borderId="0"/>
    <xf numFmtId="0" fontId="11" fillId="0" borderId="0"/>
    <xf numFmtId="0" fontId="8" fillId="0" borderId="0"/>
    <xf numFmtId="0" fontId="1" fillId="0" borderId="0"/>
    <xf numFmtId="0" fontId="1" fillId="0" borderId="0"/>
    <xf numFmtId="0" fontId="13" fillId="0" borderId="25" applyNumberFormat="0" applyFill="0" applyAlignment="0" applyProtection="0"/>
    <xf numFmtId="0" fontId="14" fillId="0" borderId="26" applyNumberFormat="0" applyFill="0" applyAlignment="0" applyProtection="0"/>
    <xf numFmtId="0" fontId="15" fillId="0" borderId="27" applyNumberFormat="0" applyFill="0" applyAlignment="0" applyProtection="0"/>
    <xf numFmtId="0" fontId="15" fillId="0" borderId="0" applyNumberFormat="0" applyFill="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8" fillId="13" borderId="28" applyNumberFormat="0" applyAlignment="0" applyProtection="0"/>
    <xf numFmtId="0" fontId="19" fillId="14" borderId="29" applyNumberFormat="0" applyAlignment="0" applyProtection="0"/>
    <xf numFmtId="0" fontId="20" fillId="14" borderId="28" applyNumberFormat="0" applyAlignment="0" applyProtection="0"/>
    <xf numFmtId="0" fontId="21" fillId="0" borderId="30" applyNumberFormat="0" applyFill="0" applyAlignment="0" applyProtection="0"/>
    <xf numFmtId="0" fontId="10" fillId="15" borderId="31" applyNumberFormat="0" applyAlignment="0" applyProtection="0"/>
    <xf numFmtId="0" fontId="22" fillId="0" borderId="0" applyNumberFormat="0" applyFill="0" applyBorder="0" applyAlignment="0" applyProtection="0"/>
    <xf numFmtId="0" fontId="1" fillId="16" borderId="32" applyNumberFormat="0" applyFont="0" applyAlignment="0" applyProtection="0"/>
    <xf numFmtId="0" fontId="23" fillId="0" borderId="0" applyNumberFormat="0" applyFill="0" applyBorder="0" applyAlignment="0" applyProtection="0"/>
    <xf numFmtId="0" fontId="24" fillId="0" borderId="33" applyNumberFormat="0" applyFill="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5" fillId="40" borderId="0" applyNumberFormat="0" applyBorder="0" applyAlignment="0" applyProtection="0"/>
    <xf numFmtId="0" fontId="1" fillId="0" borderId="0"/>
    <xf numFmtId="168" fontId="1" fillId="0" borderId="0"/>
    <xf numFmtId="175" fontId="1" fillId="26" borderId="0" applyNumberFormat="0" applyBorder="0" applyAlignment="0" applyProtection="0"/>
    <xf numFmtId="175" fontId="1" fillId="0" borderId="0"/>
    <xf numFmtId="168" fontId="1" fillId="0" borderId="0"/>
    <xf numFmtId="0" fontId="27" fillId="0" borderId="0" applyNumberFormat="0" applyFill="0" applyBorder="0" applyAlignment="0" applyProtection="0"/>
    <xf numFmtId="175" fontId="14" fillId="0" borderId="26" applyNumberFormat="0" applyFill="0" applyAlignment="0" applyProtection="0"/>
    <xf numFmtId="175" fontId="1" fillId="0" borderId="0"/>
    <xf numFmtId="175" fontId="1" fillId="39" borderId="0" applyNumberFormat="0" applyBorder="0" applyAlignment="0" applyProtection="0"/>
    <xf numFmtId="175" fontId="10" fillId="15" borderId="31" applyNumberFormat="0" applyAlignment="0" applyProtection="0"/>
    <xf numFmtId="175" fontId="20" fillId="14" borderId="28" applyNumberFormat="0" applyAlignment="0" applyProtection="0"/>
    <xf numFmtId="175" fontId="1" fillId="0" borderId="0"/>
    <xf numFmtId="168" fontId="1" fillId="0" borderId="0"/>
    <xf numFmtId="175" fontId="25" fillId="28" borderId="0" applyNumberFormat="0" applyBorder="0" applyAlignment="0" applyProtection="0"/>
    <xf numFmtId="175" fontId="1" fillId="0" borderId="0"/>
    <xf numFmtId="175" fontId="1" fillId="0" borderId="0"/>
    <xf numFmtId="175" fontId="1" fillId="0" borderId="0"/>
    <xf numFmtId="168" fontId="1" fillId="0" borderId="0"/>
    <xf numFmtId="175" fontId="17" fillId="12" borderId="0" applyNumberFormat="0" applyBorder="0" applyAlignment="0" applyProtection="0"/>
    <xf numFmtId="175" fontId="1" fillId="0" borderId="0"/>
    <xf numFmtId="168" fontId="1" fillId="0" borderId="0"/>
    <xf numFmtId="175" fontId="25" fillId="40" borderId="0" applyNumberFormat="0" applyBorder="0" applyAlignment="0" applyProtection="0"/>
    <xf numFmtId="168"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8" fillId="0" borderId="0"/>
    <xf numFmtId="165"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4" fontId="1" fillId="0" borderId="0" applyFont="0" applyFill="0" applyBorder="0" applyAlignment="0" applyProtection="0"/>
    <xf numFmtId="164" fontId="8" fillId="0" borderId="0" applyFont="0" applyFill="0" applyBorder="0" applyAlignment="0" applyProtection="0"/>
    <xf numFmtId="175"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8" fillId="0" borderId="0"/>
    <xf numFmtId="42" fontId="1" fillId="0" borderId="0" applyFont="0" applyFill="0" applyBorder="0" applyAlignment="0" applyProtection="0"/>
    <xf numFmtId="0" fontId="1" fillId="0" borderId="0"/>
    <xf numFmtId="168" fontId="1" fillId="0" borderId="0"/>
    <xf numFmtId="175" fontId="21" fillId="0" borderId="30" applyNumberFormat="0" applyFill="0" applyAlignment="0" applyProtection="0"/>
    <xf numFmtId="168" fontId="1" fillId="0" borderId="0"/>
    <xf numFmtId="175" fontId="25" fillId="25" borderId="0" applyNumberFormat="0" applyBorder="0" applyAlignment="0" applyProtection="0"/>
    <xf numFmtId="175" fontId="1" fillId="0" borderId="0"/>
    <xf numFmtId="168" fontId="1" fillId="0" borderId="0"/>
    <xf numFmtId="175" fontId="1" fillId="0" borderId="0"/>
    <xf numFmtId="175" fontId="1" fillId="0" borderId="0"/>
    <xf numFmtId="175" fontId="1" fillId="0" borderId="0"/>
    <xf numFmtId="175" fontId="1" fillId="0" borderId="0"/>
    <xf numFmtId="175" fontId="1" fillId="0" borderId="0"/>
    <xf numFmtId="175" fontId="18" fillId="13" borderId="28" applyNumberFormat="0" applyAlignment="0" applyProtection="0"/>
    <xf numFmtId="168" fontId="1" fillId="0" borderId="0"/>
    <xf numFmtId="175" fontId="1" fillId="0" borderId="0"/>
    <xf numFmtId="175" fontId="25" fillId="21" borderId="0" applyNumberFormat="0" applyBorder="0" applyAlignment="0" applyProtection="0"/>
    <xf numFmtId="175" fontId="1" fillId="0" borderId="0"/>
    <xf numFmtId="175" fontId="1" fillId="0" borderId="0"/>
    <xf numFmtId="175" fontId="1" fillId="0" borderId="0"/>
    <xf numFmtId="175" fontId="25" fillId="29" borderId="0" applyNumberFormat="0" applyBorder="0" applyAlignment="0" applyProtection="0"/>
    <xf numFmtId="175" fontId="1" fillId="0" borderId="0"/>
    <xf numFmtId="175" fontId="15" fillId="0" borderId="27" applyNumberFormat="0" applyFill="0" applyAlignment="0" applyProtection="0"/>
    <xf numFmtId="168" fontId="1" fillId="0" borderId="0"/>
    <xf numFmtId="175" fontId="26" fillId="0" borderId="0" applyNumberFormat="0" applyFill="0" applyBorder="0" applyAlignment="0" applyProtection="0"/>
    <xf numFmtId="175" fontId="1" fillId="0" borderId="0"/>
    <xf numFmtId="175" fontId="1" fillId="0" borderId="0"/>
    <xf numFmtId="168" fontId="1" fillId="0" borderId="0"/>
    <xf numFmtId="175" fontId="1" fillId="19" borderId="0" applyNumberFormat="0" applyBorder="0" applyAlignment="0" applyProtection="0"/>
    <xf numFmtId="175" fontId="28" fillId="0" borderId="0"/>
    <xf numFmtId="175" fontId="1" fillId="0" borderId="0"/>
    <xf numFmtId="168" fontId="1" fillId="0" borderId="0"/>
    <xf numFmtId="175" fontId="1" fillId="0" borderId="0"/>
    <xf numFmtId="175" fontId="15" fillId="0" borderId="0" applyNumberFormat="0" applyFill="0" applyBorder="0" applyAlignment="0" applyProtection="0"/>
    <xf numFmtId="175" fontId="1" fillId="0" borderId="0"/>
    <xf numFmtId="175" fontId="1" fillId="16" borderId="32" applyNumberFormat="0" applyFont="0" applyAlignment="0" applyProtection="0"/>
    <xf numFmtId="175" fontId="1" fillId="0" borderId="0"/>
    <xf numFmtId="175" fontId="19" fillId="14" borderId="29" applyNumberFormat="0" applyAlignment="0" applyProtection="0"/>
    <xf numFmtId="168" fontId="1" fillId="0" borderId="0"/>
    <xf numFmtId="168" fontId="1" fillId="0" borderId="0"/>
    <xf numFmtId="175" fontId="1" fillId="0" borderId="0"/>
    <xf numFmtId="175" fontId="1" fillId="0" borderId="0"/>
    <xf numFmtId="175" fontId="1" fillId="0" borderId="0"/>
    <xf numFmtId="168" fontId="1" fillId="0" borderId="0"/>
    <xf numFmtId="175" fontId="8" fillId="0" borderId="0"/>
    <xf numFmtId="175" fontId="25" fillId="20" borderId="0" applyNumberFormat="0" applyBorder="0" applyAlignment="0" applyProtection="0"/>
    <xf numFmtId="168" fontId="1" fillId="0" borderId="0"/>
    <xf numFmtId="175" fontId="1" fillId="38" borderId="0" applyNumberFormat="0" applyBorder="0" applyAlignment="0" applyProtection="0"/>
    <xf numFmtId="175" fontId="1" fillId="0" borderId="0"/>
    <xf numFmtId="175" fontId="1" fillId="0" borderId="0"/>
    <xf numFmtId="175" fontId="1" fillId="31" borderId="0" applyNumberFormat="0" applyBorder="0" applyAlignment="0" applyProtection="0"/>
    <xf numFmtId="168" fontId="1" fillId="0" borderId="0"/>
    <xf numFmtId="175" fontId="24" fillId="0" borderId="33" applyNumberFormat="0" applyFill="0" applyAlignment="0" applyProtection="0"/>
    <xf numFmtId="175" fontId="8" fillId="0" borderId="0"/>
    <xf numFmtId="175" fontId="1" fillId="0" borderId="0"/>
    <xf numFmtId="175" fontId="1" fillId="34" borderId="0" applyNumberFormat="0" applyBorder="0" applyAlignment="0" applyProtection="0"/>
    <xf numFmtId="175" fontId="25" fillId="17" borderId="0" applyNumberFormat="0" applyBorder="0" applyAlignment="0" applyProtection="0"/>
    <xf numFmtId="175" fontId="1" fillId="0" borderId="0"/>
    <xf numFmtId="168" fontId="1" fillId="0" borderId="0"/>
    <xf numFmtId="175" fontId="1" fillId="0" borderId="0"/>
    <xf numFmtId="168" fontId="1" fillId="0" borderId="0"/>
    <xf numFmtId="168" fontId="1" fillId="0" borderId="0"/>
    <xf numFmtId="175" fontId="8" fillId="0" borderId="0"/>
    <xf numFmtId="175" fontId="27" fillId="0" borderId="0" applyNumberFormat="0" applyFill="0" applyBorder="0" applyAlignment="0" applyProtection="0"/>
    <xf numFmtId="175" fontId="1" fillId="0" borderId="0"/>
    <xf numFmtId="175" fontId="1" fillId="18" borderId="0" applyNumberFormat="0" applyBorder="0" applyAlignment="0" applyProtection="0"/>
    <xf numFmtId="175" fontId="1" fillId="0" borderId="0"/>
    <xf numFmtId="175" fontId="25" fillId="36" borderId="0" applyNumberFormat="0" applyBorder="0" applyAlignment="0" applyProtection="0"/>
    <xf numFmtId="175" fontId="1" fillId="0" borderId="0"/>
    <xf numFmtId="175" fontId="25" fillId="32" borderId="0" applyNumberFormat="0" applyBorder="0" applyAlignment="0" applyProtection="0"/>
    <xf numFmtId="175" fontId="1" fillId="0" borderId="0"/>
    <xf numFmtId="175" fontId="1" fillId="0" borderId="0"/>
    <xf numFmtId="175" fontId="1" fillId="0" borderId="0"/>
    <xf numFmtId="175" fontId="1" fillId="0" borderId="0"/>
    <xf numFmtId="175" fontId="25" fillId="24" borderId="0" applyNumberFormat="0" applyBorder="0" applyAlignment="0" applyProtection="0"/>
    <xf numFmtId="175" fontId="1" fillId="0" borderId="0"/>
    <xf numFmtId="175" fontId="8" fillId="0" borderId="0"/>
    <xf numFmtId="175" fontId="1" fillId="0" borderId="0"/>
    <xf numFmtId="175" fontId="11" fillId="0" borderId="0"/>
    <xf numFmtId="175" fontId="1" fillId="0" borderId="0"/>
    <xf numFmtId="175" fontId="25" fillId="37" borderId="0" applyNumberFormat="0" applyBorder="0" applyAlignment="0" applyProtection="0"/>
    <xf numFmtId="175" fontId="22" fillId="0" borderId="0" applyNumberFormat="0" applyFill="0" applyBorder="0" applyAlignment="0" applyProtection="0"/>
    <xf numFmtId="175" fontId="1" fillId="35" borderId="0" applyNumberFormat="0" applyBorder="0" applyAlignment="0" applyProtection="0"/>
    <xf numFmtId="175" fontId="1" fillId="23" borderId="0" applyNumberFormat="0" applyBorder="0" applyAlignment="0" applyProtection="0"/>
    <xf numFmtId="175" fontId="23" fillId="0" borderId="0" applyNumberFormat="0" applyFill="0" applyBorder="0" applyAlignment="0" applyProtection="0"/>
    <xf numFmtId="175" fontId="1" fillId="22" borderId="0" applyNumberFormat="0" applyBorder="0" applyAlignment="0" applyProtection="0"/>
    <xf numFmtId="175" fontId="16" fillId="11" borderId="0" applyNumberFormat="0" applyBorder="0" applyAlignment="0" applyProtection="0"/>
    <xf numFmtId="168" fontId="1" fillId="0" borderId="0"/>
    <xf numFmtId="168" fontId="1" fillId="0" borderId="0"/>
    <xf numFmtId="175" fontId="1" fillId="30" borderId="0" applyNumberFormat="0" applyBorder="0" applyAlignment="0" applyProtection="0"/>
    <xf numFmtId="175" fontId="1" fillId="0" borderId="0"/>
    <xf numFmtId="175" fontId="1" fillId="0" borderId="0"/>
    <xf numFmtId="175" fontId="1" fillId="27" borderId="0" applyNumberFormat="0" applyBorder="0" applyAlignment="0" applyProtection="0"/>
    <xf numFmtId="175" fontId="7" fillId="4" borderId="10">
      <alignment horizontal="center" vertical="center" wrapText="1"/>
    </xf>
    <xf numFmtId="175" fontId="1" fillId="0" borderId="0"/>
    <xf numFmtId="175" fontId="7" fillId="4" borderId="10">
      <alignment horizontal="center" vertical="center" wrapText="1"/>
    </xf>
    <xf numFmtId="175" fontId="1" fillId="0" borderId="0"/>
    <xf numFmtId="175" fontId="25" fillId="33" borderId="0" applyNumberFormat="0" applyBorder="0" applyAlignment="0" applyProtection="0"/>
    <xf numFmtId="168" fontId="1" fillId="0" borderId="0"/>
    <xf numFmtId="175" fontId="1" fillId="0" borderId="0"/>
    <xf numFmtId="175" fontId="1" fillId="0" borderId="0"/>
    <xf numFmtId="175" fontId="13" fillId="0" borderId="25" applyNumberFormat="0" applyFill="0" applyAlignment="0" applyProtection="0"/>
    <xf numFmtId="175" fontId="28" fillId="0" borderId="0"/>
    <xf numFmtId="175" fontId="1" fillId="0" borderId="0"/>
    <xf numFmtId="175" fontId="1" fillId="0" borderId="0"/>
    <xf numFmtId="175" fontId="1" fillId="0" borderId="0"/>
    <xf numFmtId="168" fontId="1" fillId="0" borderId="0"/>
    <xf numFmtId="175" fontId="1" fillId="0" borderId="0"/>
    <xf numFmtId="175" fontId="1" fillId="0" borderId="0"/>
    <xf numFmtId="0" fontId="8" fillId="0" borderId="0"/>
    <xf numFmtId="175" fontId="1" fillId="0" borderId="0"/>
    <xf numFmtId="175" fontId="1" fillId="0" borderId="0"/>
    <xf numFmtId="175" fontId="1" fillId="0" borderId="0"/>
    <xf numFmtId="168" fontId="1" fillId="0" borderId="0"/>
    <xf numFmtId="0" fontId="1" fillId="0" borderId="0"/>
    <xf numFmtId="0" fontId="8"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43" borderId="0" applyNumberFormat="0" applyBorder="0" applyAlignment="0" applyProtection="0"/>
    <xf numFmtId="0" fontId="31" fillId="55" borderId="34" applyNumberFormat="0" applyAlignment="0" applyProtection="0"/>
    <xf numFmtId="0" fontId="32" fillId="56" borderId="35" applyNumberFormat="0" applyAlignment="0" applyProtection="0"/>
    <xf numFmtId="0" fontId="33" fillId="0" borderId="36" applyNumberFormat="0" applyFill="0" applyAlignment="0" applyProtection="0"/>
    <xf numFmtId="0" fontId="34" fillId="0" borderId="0" applyNumberFormat="0" applyFill="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0" borderId="0" applyNumberFormat="0" applyBorder="0" applyAlignment="0" applyProtection="0"/>
    <xf numFmtId="0" fontId="35" fillId="46" borderId="34" applyNumberFormat="0" applyAlignment="0" applyProtection="0"/>
    <xf numFmtId="175" fontId="8" fillId="0" borderId="0" applyFont="0" applyFill="0" applyBorder="0" applyAlignment="0" applyProtection="0"/>
    <xf numFmtId="175" fontId="8" fillId="0" borderId="0" applyFont="0" applyFill="0" applyBorder="0" applyAlignment="0" applyProtection="0"/>
    <xf numFmtId="176" fontId="36" fillId="0" borderId="0">
      <protection locked="0"/>
    </xf>
    <xf numFmtId="176" fontId="36" fillId="0" borderId="0">
      <protection locked="0"/>
    </xf>
    <xf numFmtId="176" fontId="36" fillId="0" borderId="0">
      <protection locked="0"/>
    </xf>
    <xf numFmtId="176" fontId="37" fillId="0" borderId="0">
      <protection locked="0"/>
    </xf>
    <xf numFmtId="176" fontId="38" fillId="0" borderId="0">
      <protection locked="0"/>
    </xf>
    <xf numFmtId="176" fontId="37" fillId="0" borderId="0">
      <protection locked="0"/>
    </xf>
    <xf numFmtId="176" fontId="38" fillId="0" borderId="0">
      <protection locked="0"/>
    </xf>
    <xf numFmtId="0" fontId="39" fillId="42" borderId="0" applyNumberFormat="0" applyBorder="0" applyAlignment="0" applyProtection="0"/>
    <xf numFmtId="177" fontId="8" fillId="0" borderId="0" applyFont="0" applyFill="0" applyBorder="0" applyAlignment="0" applyProtection="0"/>
    <xf numFmtId="0" fontId="40" fillId="61" borderId="0" applyNumberFormat="0" applyBorder="0" applyAlignment="0" applyProtection="0"/>
    <xf numFmtId="0" fontId="8" fillId="0" borderId="0"/>
    <xf numFmtId="175" fontId="5" fillId="0" borderId="0"/>
    <xf numFmtId="0" fontId="8" fillId="0" borderId="0"/>
    <xf numFmtId="175" fontId="5" fillId="0" borderId="0"/>
    <xf numFmtId="0" fontId="8" fillId="0" borderId="0"/>
    <xf numFmtId="175" fontId="5" fillId="0" borderId="0"/>
    <xf numFmtId="0" fontId="8" fillId="0" borderId="0"/>
    <xf numFmtId="0" fontId="8" fillId="0" borderId="0"/>
    <xf numFmtId="175" fontId="5" fillId="0" borderId="0"/>
    <xf numFmtId="175" fontId="5" fillId="0" borderId="0"/>
    <xf numFmtId="0" fontId="8" fillId="0" borderId="0"/>
    <xf numFmtId="0" fontId="8" fillId="0" borderId="0"/>
    <xf numFmtId="0" fontId="8" fillId="0" borderId="0"/>
    <xf numFmtId="175" fontId="5" fillId="0" borderId="0"/>
    <xf numFmtId="175" fontId="5" fillId="0" borderId="0"/>
    <xf numFmtId="175" fontId="5" fillId="0" borderId="0"/>
    <xf numFmtId="0" fontId="8" fillId="0" borderId="0"/>
    <xf numFmtId="0" fontId="1" fillId="0" borderId="0"/>
    <xf numFmtId="175" fontId="5" fillId="0" borderId="0"/>
    <xf numFmtId="175" fontId="5"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62" borderId="38" applyNumberFormat="0" applyFont="0" applyAlignment="0" applyProtection="0"/>
    <xf numFmtId="0" fontId="8" fillId="62" borderId="38" applyNumberFormat="0" applyFont="0" applyAlignment="0" applyProtection="0"/>
    <xf numFmtId="0" fontId="41" fillId="55" borderId="39" applyNumberFormat="0" applyAlignment="0" applyProtection="0"/>
    <xf numFmtId="0" fontId="49" fillId="63" borderId="0"/>
    <xf numFmtId="0" fontId="42" fillId="0" borderId="0" applyNumberFormat="0" applyFill="0" applyBorder="0" applyAlignment="0" applyProtection="0"/>
    <xf numFmtId="0" fontId="43" fillId="0" borderId="0" applyNumberFormat="0" applyFill="0" applyBorder="0" applyAlignment="0" applyProtection="0"/>
    <xf numFmtId="0" fontId="44" fillId="0" borderId="37" applyNumberFormat="0" applyFill="0" applyAlignment="0" applyProtection="0"/>
    <xf numFmtId="0" fontId="45" fillId="0" borderId="40" applyNumberFormat="0" applyFill="0" applyAlignment="0" applyProtection="0"/>
    <xf numFmtId="0" fontId="34" fillId="0" borderId="41" applyNumberFormat="0" applyFill="0" applyAlignment="0" applyProtection="0"/>
    <xf numFmtId="0" fontId="46" fillId="0" borderId="0" applyNumberFormat="0" applyFill="0" applyBorder="0" applyAlignment="0" applyProtection="0"/>
    <xf numFmtId="0" fontId="47" fillId="0" borderId="42" applyNumberFormat="0" applyFill="0" applyAlignment="0" applyProtection="0"/>
    <xf numFmtId="0" fontId="8" fillId="0" borderId="0"/>
    <xf numFmtId="0" fontId="1" fillId="0" borderId="0"/>
    <xf numFmtId="167" fontId="1" fillId="0" borderId="0" applyFont="0" applyFill="0" applyBorder="0" applyAlignment="0" applyProtection="0"/>
    <xf numFmtId="168" fontId="1" fillId="0" borderId="0"/>
    <xf numFmtId="166" fontId="1" fillId="0" borderId="0" applyFont="0" applyFill="0" applyBorder="0" applyAlignment="0" applyProtection="0"/>
    <xf numFmtId="175" fontId="1" fillId="0" borderId="0"/>
    <xf numFmtId="0" fontId="27" fillId="0" borderId="0" applyNumberFormat="0" applyFill="0" applyBorder="0" applyAlignment="0" applyProtection="0"/>
    <xf numFmtId="0" fontId="1" fillId="0" borderId="0"/>
    <xf numFmtId="175" fontId="8" fillId="0" borderId="0" applyFont="0" applyFill="0" applyBorder="0" applyAlignment="0" applyProtection="0"/>
    <xf numFmtId="175" fontId="8" fillId="0" borderId="0" applyFont="0" applyFill="0" applyBorder="0" applyAlignment="0" applyProtection="0"/>
    <xf numFmtId="17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2" borderId="38" applyNumberFormat="0" applyFon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8" fontId="8" fillId="0" borderId="0"/>
    <xf numFmtId="43" fontId="1" fillId="0" borderId="0" applyFont="0" applyFill="0" applyBorder="0" applyAlignment="0" applyProtection="0"/>
    <xf numFmtId="0" fontId="11" fillId="0" borderId="0"/>
    <xf numFmtId="168" fontId="1" fillId="0" borderId="0"/>
    <xf numFmtId="43" fontId="1" fillId="0" borderId="0" applyFont="0" applyFill="0" applyBorder="0" applyAlignment="0" applyProtection="0"/>
    <xf numFmtId="0" fontId="17" fillId="12" borderId="0" applyNumberFormat="0" applyBorder="0" applyAlignment="0" applyProtection="0"/>
    <xf numFmtId="43" fontId="1" fillId="0" borderId="0" applyFont="0" applyFill="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28" fillId="0" borderId="0"/>
    <xf numFmtId="165"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4" fontId="8" fillId="0" borderId="0" applyFont="0" applyFill="0" applyBorder="0" applyAlignment="0" applyProtection="0"/>
    <xf numFmtId="175" fontId="1" fillId="0" borderId="0"/>
    <xf numFmtId="0" fontId="1" fillId="0" borderId="0"/>
    <xf numFmtId="168" fontId="8"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0" fontId="28" fillId="0" borderId="0"/>
    <xf numFmtId="168" fontId="1"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8" fontId="1" fillId="0" borderId="0"/>
    <xf numFmtId="175" fontId="1" fillId="26" borderId="0" applyNumberFormat="0" applyBorder="0" applyAlignment="0" applyProtection="0"/>
    <xf numFmtId="175" fontId="1" fillId="0" borderId="0"/>
    <xf numFmtId="0" fontId="27" fillId="0" borderId="0" applyNumberFormat="0" applyFill="0" applyBorder="0" applyAlignment="0" applyProtection="0"/>
    <xf numFmtId="175" fontId="14" fillId="0" borderId="26" applyNumberFormat="0" applyFill="0" applyAlignment="0" applyProtection="0"/>
    <xf numFmtId="175" fontId="1" fillId="39" borderId="0" applyNumberFormat="0" applyBorder="0" applyAlignment="0" applyProtection="0"/>
    <xf numFmtId="175" fontId="10" fillId="15" borderId="31" applyNumberFormat="0" applyAlignment="0" applyProtection="0"/>
    <xf numFmtId="175" fontId="20" fillId="14" borderId="28" applyNumberFormat="0" applyAlignment="0" applyProtection="0"/>
    <xf numFmtId="165" fontId="1" fillId="0" borderId="0" applyFont="0" applyFill="0" applyBorder="0" applyAlignment="0" applyProtection="0"/>
    <xf numFmtId="175" fontId="25" fillId="28" borderId="0" applyNumberFormat="0" applyBorder="0" applyAlignment="0" applyProtection="0"/>
    <xf numFmtId="175" fontId="17" fillId="12" borderId="0" applyNumberFormat="0" applyBorder="0" applyAlignment="0" applyProtection="0"/>
    <xf numFmtId="175" fontId="25" fillId="40" borderId="0" applyNumberFormat="0" applyBorder="0" applyAlignment="0" applyProtection="0"/>
    <xf numFmtId="175"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8" fontId="1" fillId="0" borderId="0"/>
    <xf numFmtId="43"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4" fontId="8"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75" fontId="21" fillId="0" borderId="30" applyNumberFormat="0" applyFill="0" applyAlignment="0" applyProtection="0"/>
    <xf numFmtId="175" fontId="25" fillId="25" borderId="0" applyNumberFormat="0" applyBorder="0" applyAlignment="0" applyProtection="0"/>
    <xf numFmtId="175" fontId="18" fillId="13" borderId="28" applyNumberFormat="0" applyAlignment="0" applyProtection="0"/>
    <xf numFmtId="175" fontId="25" fillId="21" borderId="0" applyNumberFormat="0" applyBorder="0" applyAlignment="0" applyProtection="0"/>
    <xf numFmtId="175" fontId="1" fillId="0" borderId="0"/>
    <xf numFmtId="175" fontId="25" fillId="29" borderId="0" applyNumberFormat="0" applyBorder="0" applyAlignment="0" applyProtection="0"/>
    <xf numFmtId="175" fontId="15" fillId="0" borderId="27" applyNumberFormat="0" applyFill="0" applyAlignment="0" applyProtection="0"/>
    <xf numFmtId="175" fontId="1" fillId="0" borderId="0"/>
    <xf numFmtId="175" fontId="1" fillId="19" borderId="0" applyNumberFormat="0" applyBorder="0" applyAlignment="0" applyProtection="0"/>
    <xf numFmtId="175" fontId="28" fillId="0" borderId="0"/>
    <xf numFmtId="175" fontId="15" fillId="0" borderId="0" applyNumberFormat="0" applyFill="0" applyBorder="0" applyAlignment="0" applyProtection="0"/>
    <xf numFmtId="175" fontId="1" fillId="16" borderId="32" applyNumberFormat="0" applyFont="0" applyAlignment="0" applyProtection="0"/>
    <xf numFmtId="175" fontId="19" fillId="14" borderId="29" applyNumberFormat="0" applyAlignment="0" applyProtection="0"/>
    <xf numFmtId="175" fontId="1" fillId="0" borderId="0"/>
    <xf numFmtId="175" fontId="8" fillId="0" borderId="0"/>
    <xf numFmtId="175" fontId="25" fillId="20" borderId="0" applyNumberFormat="0" applyBorder="0" applyAlignment="0" applyProtection="0"/>
    <xf numFmtId="175" fontId="1" fillId="38" borderId="0" applyNumberFormat="0" applyBorder="0" applyAlignment="0" applyProtection="0"/>
    <xf numFmtId="175" fontId="1" fillId="31" borderId="0" applyNumberFormat="0" applyBorder="0" applyAlignment="0" applyProtection="0"/>
    <xf numFmtId="175" fontId="24" fillId="0" borderId="33" applyNumberFormat="0" applyFill="0" applyAlignment="0" applyProtection="0"/>
    <xf numFmtId="175" fontId="8" fillId="0" borderId="0"/>
    <xf numFmtId="175" fontId="1" fillId="34" borderId="0" applyNumberFormat="0" applyBorder="0" applyAlignment="0" applyProtection="0"/>
    <xf numFmtId="175" fontId="25" fillId="17" borderId="0" applyNumberFormat="0" applyBorder="0" applyAlignment="0" applyProtection="0"/>
    <xf numFmtId="175" fontId="1" fillId="0" borderId="0"/>
    <xf numFmtId="175" fontId="8" fillId="0" borderId="0"/>
    <xf numFmtId="175" fontId="1" fillId="18" borderId="0" applyNumberFormat="0" applyBorder="0" applyAlignment="0" applyProtection="0"/>
    <xf numFmtId="175" fontId="25" fillId="36" borderId="0" applyNumberFormat="0" applyBorder="0" applyAlignment="0" applyProtection="0"/>
    <xf numFmtId="175" fontId="25" fillId="32" borderId="0" applyNumberFormat="0" applyBorder="0" applyAlignment="0" applyProtection="0"/>
    <xf numFmtId="175" fontId="1" fillId="0" borderId="0"/>
    <xf numFmtId="175" fontId="25" fillId="24" borderId="0" applyNumberFormat="0" applyBorder="0" applyAlignment="0" applyProtection="0"/>
    <xf numFmtId="175" fontId="11" fillId="0" borderId="0"/>
    <xf numFmtId="175" fontId="25" fillId="37" borderId="0" applyNumberFormat="0" applyBorder="0" applyAlignment="0" applyProtection="0"/>
    <xf numFmtId="175" fontId="22" fillId="0" borderId="0" applyNumberFormat="0" applyFill="0" applyBorder="0" applyAlignment="0" applyProtection="0"/>
    <xf numFmtId="175" fontId="1" fillId="35" borderId="0" applyNumberFormat="0" applyBorder="0" applyAlignment="0" applyProtection="0"/>
    <xf numFmtId="175" fontId="1" fillId="23" borderId="0" applyNumberFormat="0" applyBorder="0" applyAlignment="0" applyProtection="0"/>
    <xf numFmtId="175" fontId="23" fillId="0" borderId="0" applyNumberFormat="0" applyFill="0" applyBorder="0" applyAlignment="0" applyProtection="0"/>
    <xf numFmtId="175" fontId="1" fillId="22" borderId="0" applyNumberFormat="0" applyBorder="0" applyAlignment="0" applyProtection="0"/>
    <xf numFmtId="175" fontId="16" fillId="11" borderId="0" applyNumberFormat="0" applyBorder="0" applyAlignment="0" applyProtection="0"/>
    <xf numFmtId="175" fontId="1" fillId="30" borderId="0" applyNumberFormat="0" applyBorder="0" applyAlignment="0" applyProtection="0"/>
    <xf numFmtId="175" fontId="1" fillId="27" borderId="0" applyNumberFormat="0" applyBorder="0" applyAlignment="0" applyProtection="0"/>
    <xf numFmtId="175" fontId="1" fillId="0" borderId="0"/>
    <xf numFmtId="175" fontId="1" fillId="0" borderId="0"/>
    <xf numFmtId="175" fontId="25" fillId="33" borderId="0" applyNumberFormat="0" applyBorder="0" applyAlignment="0" applyProtection="0"/>
    <xf numFmtId="175" fontId="13" fillId="0" borderId="25" applyNumberFormat="0" applyFill="0" applyAlignment="0" applyProtection="0"/>
    <xf numFmtId="175" fontId="28" fillId="0" borderId="0"/>
    <xf numFmtId="0" fontId="8"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165" fontId="1" fillId="0" borderId="0" applyFont="0" applyFill="0" applyBorder="0" applyAlignment="0" applyProtection="0"/>
    <xf numFmtId="43" fontId="1" fillId="0" borderId="0" applyFont="0" applyFill="0" applyBorder="0" applyAlignment="0" applyProtection="0"/>
    <xf numFmtId="177" fontId="8" fillId="0" borderId="0" applyFont="0" applyFill="0" applyBorder="0" applyAlignment="0" applyProtection="0"/>
    <xf numFmtId="0" fontId="8" fillId="0" borderId="0"/>
    <xf numFmtId="165" fontId="1" fillId="0" borderId="0" applyFont="0" applyFill="0" applyBorder="0" applyAlignment="0" applyProtection="0"/>
    <xf numFmtId="43" fontId="1" fillId="0" borderId="0" applyFont="0" applyFill="0" applyBorder="0" applyAlignment="0" applyProtection="0"/>
    <xf numFmtId="175" fontId="5" fillId="0" borderId="0"/>
    <xf numFmtId="0" fontId="8" fillId="0" borderId="0"/>
    <xf numFmtId="168" fontId="1" fillId="0" borderId="0"/>
    <xf numFmtId="0" fontId="8" fillId="0" borderId="0"/>
    <xf numFmtId="0" fontId="8" fillId="0" borderId="0"/>
    <xf numFmtId="0" fontId="8" fillId="0" borderId="0"/>
    <xf numFmtId="168" fontId="1"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168" fontId="1" fillId="0" borderId="0"/>
    <xf numFmtId="168" fontId="1" fillId="0" borderId="0"/>
    <xf numFmtId="43" fontId="1" fillId="0" borderId="0" applyFont="0" applyFill="0" applyBorder="0" applyAlignment="0" applyProtection="0"/>
    <xf numFmtId="168" fontId="1" fillId="0" borderId="0"/>
    <xf numFmtId="165" fontId="1" fillId="0" borderId="0" applyFont="0" applyFill="0" applyBorder="0" applyAlignment="0" applyProtection="0"/>
    <xf numFmtId="168" fontId="1" fillId="0" borderId="0"/>
    <xf numFmtId="168"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8" fontId="1" fillId="0" borderId="0"/>
    <xf numFmtId="168" fontId="1" fillId="0" borderId="0"/>
    <xf numFmtId="168" fontId="1" fillId="0" borderId="0"/>
    <xf numFmtId="43" fontId="1" fillId="0" borderId="0" applyFont="0" applyFill="0" applyBorder="0" applyAlignment="0" applyProtection="0"/>
    <xf numFmtId="168" fontId="1" fillId="0" borderId="0"/>
    <xf numFmtId="168" fontId="1" fillId="0" borderId="0"/>
    <xf numFmtId="168" fontId="1" fillId="0" borderId="0"/>
    <xf numFmtId="165" fontId="1" fillId="0" borderId="0" applyFont="0" applyFill="0" applyBorder="0" applyAlignment="0" applyProtection="0"/>
    <xf numFmtId="168" fontId="1" fillId="0" borderId="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8" fontId="1" fillId="0" borderId="0"/>
    <xf numFmtId="165"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8" fontId="1" fillId="0" borderId="0"/>
    <xf numFmtId="165" fontId="1" fillId="0" borderId="0" applyFont="0" applyFill="0" applyBorder="0" applyAlignment="0" applyProtection="0"/>
    <xf numFmtId="168" fontId="1" fillId="0" borderId="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xf numFmtId="165" fontId="1" fillId="0" borderId="0" applyFont="0" applyFill="0" applyBorder="0" applyAlignment="0" applyProtection="0"/>
    <xf numFmtId="168" fontId="1" fillId="0" borderId="0"/>
    <xf numFmtId="168" fontId="1" fillId="0" borderId="0"/>
    <xf numFmtId="0" fontId="54" fillId="0" borderId="0"/>
    <xf numFmtId="41"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1" fontId="55" fillId="0" borderId="0" applyFont="0" applyFill="0" applyBorder="0" applyAlignment="0" applyProtection="0"/>
    <xf numFmtId="168" fontId="1"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7" fillId="12" borderId="0" applyNumberFormat="0" applyBorder="0" applyAlignment="0" applyProtection="0"/>
    <xf numFmtId="0" fontId="1" fillId="16" borderId="32" applyNumberFormat="0" applyFont="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5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5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49">
    <xf numFmtId="168" fontId="0" fillId="0" borderId="0" xfId="0"/>
    <xf numFmtId="168" fontId="2" fillId="0" borderId="0" xfId="0" applyFont="1"/>
    <xf numFmtId="168" fontId="2" fillId="2" borderId="0" xfId="0" applyFont="1" applyFill="1"/>
    <xf numFmtId="168" fontId="4" fillId="2" borderId="0" xfId="0" applyFont="1" applyFill="1" applyAlignment="1">
      <alignment horizontal="center" vertical="center"/>
    </xf>
    <xf numFmtId="168" fontId="4" fillId="0" borderId="0" xfId="0" applyFont="1" applyAlignment="1">
      <alignment horizontal="center" vertical="center"/>
    </xf>
    <xf numFmtId="168" fontId="3" fillId="2" borderId="0" xfId="0" applyFont="1" applyFill="1" applyAlignment="1">
      <alignment vertical="center"/>
    </xf>
    <xf numFmtId="168" fontId="3" fillId="0" borderId="0" xfId="0" applyFont="1" applyAlignment="1">
      <alignment vertical="center"/>
    </xf>
    <xf numFmtId="168" fontId="6" fillId="0" borderId="0" xfId="0" applyFont="1"/>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6" fillId="2" borderId="0" xfId="0" applyFont="1" applyFill="1"/>
    <xf numFmtId="171" fontId="2" fillId="0" borderId="0" xfId="8" applyNumberFormat="1" applyFont="1" applyAlignment="1">
      <alignment horizontal="center"/>
    </xf>
    <xf numFmtId="168" fontId="2" fillId="2" borderId="0" xfId="0" applyFont="1" applyFill="1" applyAlignment="1">
      <alignment vertical="center"/>
    </xf>
    <xf numFmtId="168" fontId="3" fillId="0" borderId="0" xfId="0" applyFont="1"/>
    <xf numFmtId="168" fontId="3" fillId="0" borderId="5" xfId="0" applyFont="1" applyBorder="1" applyAlignment="1">
      <alignment horizontal="center" vertical="center" wrapText="1"/>
    </xf>
    <xf numFmtId="168" fontId="3" fillId="0" borderId="6" xfId="0" applyFont="1" applyBorder="1" applyAlignment="1">
      <alignment horizontal="center" vertical="center" wrapText="1"/>
    </xf>
    <xf numFmtId="0" fontId="3" fillId="0" borderId="0" xfId="0" applyNumberFormat="1" applyFont="1" applyAlignment="1">
      <alignment horizontal="center" vertical="center"/>
    </xf>
    <xf numFmtId="168" fontId="3" fillId="0" borderId="0" xfId="0" applyFont="1" applyAlignment="1">
      <alignment horizontal="center"/>
    </xf>
    <xf numFmtId="168" fontId="12" fillId="0" borderId="0" xfId="0" applyFont="1"/>
    <xf numFmtId="168" fontId="2" fillId="2" borderId="0" xfId="0" applyFont="1" applyFill="1" applyAlignment="1">
      <alignment horizontal="center"/>
    </xf>
    <xf numFmtId="0" fontId="3" fillId="8" borderId="13" xfId="0" applyNumberFormat="1" applyFont="1" applyFill="1" applyBorder="1" applyAlignment="1">
      <alignment horizontal="left" vertical="center"/>
    </xf>
    <xf numFmtId="0" fontId="2" fillId="0" borderId="13" xfId="0" applyNumberFormat="1" applyFont="1" applyBorder="1" applyAlignment="1">
      <alignment horizontal="center" vertical="center" wrapText="1"/>
    </xf>
    <xf numFmtId="0" fontId="3" fillId="5" borderId="13" xfId="0" applyNumberFormat="1" applyFont="1" applyFill="1" applyBorder="1" applyAlignment="1">
      <alignment horizontal="left" vertical="center"/>
    </xf>
    <xf numFmtId="168" fontId="3" fillId="5" borderId="13" xfId="0" applyFont="1" applyFill="1" applyBorder="1" applyAlignment="1">
      <alignment horizontal="justify" vertical="center" wrapText="1"/>
    </xf>
    <xf numFmtId="168" fontId="2" fillId="0" borderId="0" xfId="0" applyFont="1" applyAlignment="1">
      <alignment horizontal="left" vertical="center" wrapText="1"/>
    </xf>
    <xf numFmtId="168" fontId="2" fillId="6" borderId="3" xfId="0" applyFont="1" applyFill="1" applyBorder="1" applyAlignment="1">
      <alignment horizontal="justify" vertical="center" wrapText="1"/>
    </xf>
    <xf numFmtId="0" fontId="3" fillId="10" borderId="23" xfId="0" applyNumberFormat="1" applyFont="1" applyFill="1" applyBorder="1" applyAlignment="1">
      <alignment horizontal="left" vertical="center"/>
    </xf>
    <xf numFmtId="0" fontId="3" fillId="10" borderId="24" xfId="0" applyNumberFormat="1" applyFont="1" applyFill="1" applyBorder="1" applyAlignment="1">
      <alignment horizontal="center" vertical="center"/>
    </xf>
    <xf numFmtId="0" fontId="2" fillId="0" borderId="16" xfId="0" applyNumberFormat="1" applyFont="1" applyBorder="1" applyAlignment="1">
      <alignment horizontal="center" vertical="center" wrapText="1"/>
    </xf>
    <xf numFmtId="0" fontId="2" fillId="0" borderId="3" xfId="9" applyFont="1" applyFill="1" applyBorder="1">
      <alignment horizontal="center" vertical="center" wrapText="1"/>
    </xf>
    <xf numFmtId="0" fontId="2" fillId="0" borderId="3" xfId="7" applyFont="1" applyBorder="1" applyAlignment="1">
      <alignment horizontal="center" vertical="center" wrapText="1"/>
    </xf>
    <xf numFmtId="168" fontId="3" fillId="5" borderId="13" xfId="0" applyFont="1" applyFill="1" applyBorder="1" applyAlignment="1">
      <alignment horizontal="center" vertical="center"/>
    </xf>
    <xf numFmtId="43" fontId="3" fillId="5" borderId="13" xfId="0" applyNumberFormat="1" applyFont="1" applyFill="1" applyBorder="1" applyAlignment="1">
      <alignment vertical="center"/>
    </xf>
    <xf numFmtId="43" fontId="3" fillId="5" borderId="13" xfId="0" applyNumberFormat="1" applyFont="1" applyFill="1" applyBorder="1" applyAlignment="1">
      <alignment horizontal="center" vertical="center"/>
    </xf>
    <xf numFmtId="168" fontId="3" fillId="5" borderId="0" xfId="0" applyFont="1" applyFill="1" applyAlignment="1">
      <alignment vertical="center"/>
    </xf>
    <xf numFmtId="43" fontId="3" fillId="6" borderId="9" xfId="0" applyNumberFormat="1" applyFont="1" applyFill="1" applyBorder="1" applyAlignment="1">
      <alignment vertical="center"/>
    </xf>
    <xf numFmtId="43" fontId="3" fillId="6" borderId="3" xfId="0" applyNumberFormat="1" applyFont="1" applyFill="1" applyBorder="1" applyAlignment="1">
      <alignment horizontal="center" vertical="center"/>
    </xf>
    <xf numFmtId="168" fontId="2" fillId="6" borderId="0" xfId="0" applyFont="1" applyFill="1" applyAlignment="1">
      <alignment vertical="center"/>
    </xf>
    <xf numFmtId="0" fontId="3" fillId="5" borderId="15" xfId="0" applyNumberFormat="1" applyFont="1" applyFill="1" applyBorder="1" applyAlignment="1">
      <alignment horizontal="left" vertical="center"/>
    </xf>
    <xf numFmtId="0" fontId="3" fillId="5" borderId="18" xfId="0" applyNumberFormat="1" applyFont="1" applyFill="1" applyBorder="1" applyAlignment="1">
      <alignment horizontal="center" vertical="center"/>
    </xf>
    <xf numFmtId="168" fontId="3" fillId="5" borderId="18" xfId="0" applyFont="1" applyFill="1" applyBorder="1" applyAlignment="1">
      <alignment horizontal="center" vertical="center"/>
    </xf>
    <xf numFmtId="0" fontId="3" fillId="5" borderId="18" xfId="0" applyNumberFormat="1" applyFont="1" applyFill="1" applyBorder="1" applyAlignment="1">
      <alignment horizontal="justify" vertical="center" wrapText="1"/>
    </xf>
    <xf numFmtId="168" fontId="3" fillId="5" borderId="18" xfId="0" applyFont="1" applyFill="1" applyBorder="1" applyAlignment="1">
      <alignment horizontal="justify" vertical="center" wrapText="1"/>
    </xf>
    <xf numFmtId="0" fontId="3" fillId="5" borderId="18" xfId="0" applyNumberFormat="1" applyFont="1" applyFill="1" applyBorder="1" applyAlignment="1">
      <alignment horizontal="center" vertical="center" wrapText="1"/>
    </xf>
    <xf numFmtId="0" fontId="3" fillId="5" borderId="16" xfId="0" applyNumberFormat="1" applyFont="1" applyFill="1" applyBorder="1" applyAlignment="1">
      <alignment horizontal="center" vertical="center" wrapText="1"/>
    </xf>
    <xf numFmtId="168" fontId="2" fillId="6" borderId="9" xfId="0" applyFont="1" applyFill="1" applyBorder="1" applyAlignment="1">
      <alignment horizontal="center" vertical="center"/>
    </xf>
    <xf numFmtId="0" fontId="2" fillId="6" borderId="18" xfId="0" applyNumberFormat="1" applyFont="1" applyFill="1" applyBorder="1" applyAlignment="1">
      <alignment horizontal="left" vertical="center"/>
    </xf>
    <xf numFmtId="0" fontId="2" fillId="6" borderId="18" xfId="0" applyNumberFormat="1" applyFont="1" applyFill="1" applyBorder="1" applyAlignment="1">
      <alignment horizontal="center" vertical="center"/>
    </xf>
    <xf numFmtId="168" fontId="2" fillId="6" borderId="18" xfId="0" applyFont="1" applyFill="1" applyBorder="1" applyAlignment="1">
      <alignment horizontal="center" vertical="center"/>
    </xf>
    <xf numFmtId="0" fontId="2" fillId="6" borderId="18" xfId="0" applyNumberFormat="1" applyFont="1" applyFill="1" applyBorder="1" applyAlignment="1">
      <alignment horizontal="justify" vertical="center" wrapText="1"/>
    </xf>
    <xf numFmtId="168" fontId="2" fillId="6" borderId="18" xfId="0" applyFont="1" applyFill="1" applyBorder="1" applyAlignment="1">
      <alignment horizontal="justify" vertical="center" wrapText="1"/>
    </xf>
    <xf numFmtId="0" fontId="2" fillId="6" borderId="18" xfId="0" applyNumberFormat="1" applyFont="1" applyFill="1" applyBorder="1" applyAlignment="1">
      <alignment horizontal="center" vertical="center" wrapText="1"/>
    </xf>
    <xf numFmtId="0" fontId="2" fillId="6" borderId="16" xfId="0" applyNumberFormat="1" applyFont="1" applyFill="1" applyBorder="1" applyAlignment="1">
      <alignment horizontal="center" vertical="center" wrapText="1"/>
    </xf>
    <xf numFmtId="43" fontId="2" fillId="0" borderId="0" xfId="1" applyFont="1" applyBorder="1" applyAlignment="1">
      <alignment horizontal="center"/>
    </xf>
    <xf numFmtId="43" fontId="2" fillId="0" borderId="0" xfId="1" applyFont="1" applyAlignment="1">
      <alignment horizontal="center"/>
    </xf>
    <xf numFmtId="43" fontId="3" fillId="0" borderId="0" xfId="1" applyFont="1" applyFill="1" applyAlignment="1">
      <alignment horizontal="center"/>
    </xf>
    <xf numFmtId="0" fontId="3" fillId="0" borderId="43"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168" fontId="3" fillId="0" borderId="0" xfId="0" applyFont="1" applyAlignment="1">
      <alignment vertical="center" wrapText="1"/>
    </xf>
    <xf numFmtId="168" fontId="2" fillId="0" borderId="13" xfId="0" applyFont="1" applyBorder="1" applyAlignment="1">
      <alignment horizontal="justify" vertical="center" wrapText="1"/>
    </xf>
    <xf numFmtId="43" fontId="2" fillId="0" borderId="13" xfId="1" applyFont="1" applyFill="1" applyBorder="1" applyAlignment="1">
      <alignment horizontal="left" vertical="center"/>
    </xf>
    <xf numFmtId="168" fontId="2" fillId="0" borderId="0" xfId="0" applyFont="1" applyAlignment="1">
      <alignment vertical="center"/>
    </xf>
    <xf numFmtId="0" fontId="2" fillId="0" borderId="3" xfId="0" applyNumberFormat="1" applyFont="1" applyBorder="1" applyAlignment="1">
      <alignment horizontal="center" vertical="center" wrapText="1"/>
    </xf>
    <xf numFmtId="168" fontId="2" fillId="0" borderId="3" xfId="0" applyFont="1" applyBorder="1" applyAlignment="1">
      <alignment horizontal="justify" vertical="center" wrapText="1"/>
    </xf>
    <xf numFmtId="0" fontId="2" fillId="0" borderId="3" xfId="0" applyNumberFormat="1" applyFont="1" applyBorder="1" applyAlignment="1">
      <alignment horizontal="justify" vertical="center" wrapText="1"/>
    </xf>
    <xf numFmtId="0" fontId="2" fillId="0" borderId="3" xfId="0" applyNumberFormat="1" applyFont="1" applyBorder="1" applyAlignment="1">
      <alignment horizontal="center" vertical="center"/>
    </xf>
    <xf numFmtId="43" fontId="2" fillId="0" borderId="3" xfId="1" applyFont="1" applyFill="1" applyBorder="1" applyAlignment="1">
      <alignment horizontal="right" vertical="center" wrapText="1"/>
    </xf>
    <xf numFmtId="43" fontId="2" fillId="0" borderId="3" xfId="1" applyFont="1" applyFill="1" applyBorder="1" applyAlignment="1">
      <alignment horizontal="center" vertical="center" wrapText="1"/>
    </xf>
    <xf numFmtId="168" fontId="2" fillId="0" borderId="3" xfId="0" applyFont="1" applyBorder="1" applyAlignment="1">
      <alignment horizontal="center" vertical="center" wrapText="1"/>
    </xf>
    <xf numFmtId="0" fontId="3" fillId="6" borderId="7" xfId="0" applyNumberFormat="1" applyFont="1" applyFill="1" applyBorder="1" applyAlignment="1">
      <alignment horizontal="left" vertical="center"/>
    </xf>
    <xf numFmtId="0" fontId="3" fillId="6" borderId="8" xfId="0" applyNumberFormat="1" applyFont="1" applyFill="1" applyBorder="1" applyAlignment="1">
      <alignment horizontal="left" vertical="center"/>
    </xf>
    <xf numFmtId="43" fontId="2" fillId="0" borderId="3" xfId="1" applyFont="1" applyFill="1" applyBorder="1" applyAlignment="1">
      <alignment vertical="center"/>
    </xf>
    <xf numFmtId="170" fontId="4" fillId="5" borderId="1" xfId="5" applyNumberFormat="1" applyFont="1" applyFill="1" applyBorder="1" applyAlignment="1">
      <alignment vertical="center" wrapText="1"/>
    </xf>
    <xf numFmtId="170" fontId="4" fillId="5" borderId="47" xfId="5" applyNumberFormat="1" applyFont="1" applyFill="1" applyBorder="1" applyAlignment="1">
      <alignment vertical="center" wrapText="1"/>
    </xf>
    <xf numFmtId="168" fontId="4" fillId="0" borderId="3" xfId="0" applyFont="1" applyBorder="1" applyAlignment="1">
      <alignment vertical="center"/>
    </xf>
    <xf numFmtId="168" fontId="4" fillId="0" borderId="3" xfId="0" applyFont="1" applyBorder="1" applyAlignment="1">
      <alignment horizontal="left" vertical="center"/>
    </xf>
    <xf numFmtId="4" fontId="2" fillId="0" borderId="3" xfId="0" applyNumberFormat="1" applyFont="1" applyBorder="1" applyAlignment="1">
      <alignment horizontal="center" vertical="center" wrapText="1"/>
    </xf>
    <xf numFmtId="167" fontId="2" fillId="0" borderId="3" xfId="0" applyNumberFormat="1" applyFont="1" applyBorder="1" applyAlignment="1">
      <alignment horizontal="center" vertical="center" wrapText="1"/>
    </xf>
    <xf numFmtId="173" fontId="2" fillId="0" borderId="3" xfId="4" applyNumberFormat="1" applyFont="1" applyFill="1" applyBorder="1" applyAlignment="1">
      <alignment horizontal="center" vertical="center" wrapText="1"/>
    </xf>
    <xf numFmtId="43" fontId="3" fillId="8" borderId="13" xfId="1" applyFont="1" applyFill="1" applyBorder="1" applyAlignment="1">
      <alignment horizontal="left" vertical="center"/>
    </xf>
    <xf numFmtId="0" fontId="4" fillId="64" borderId="3" xfId="0" applyNumberFormat="1" applyFont="1" applyFill="1" applyBorder="1" applyAlignment="1">
      <alignment horizontal="center" vertical="center" wrapText="1"/>
    </xf>
    <xf numFmtId="43" fontId="51" fillId="0" borderId="3" xfId="1" applyFont="1" applyFill="1" applyBorder="1" applyAlignment="1">
      <alignment vertical="center"/>
    </xf>
    <xf numFmtId="168" fontId="53" fillId="0" borderId="3" xfId="0" applyFont="1" applyBorder="1" applyAlignment="1">
      <alignment vertical="center" wrapText="1"/>
    </xf>
    <xf numFmtId="0" fontId="3" fillId="5" borderId="18" xfId="0" applyNumberFormat="1" applyFont="1" applyFill="1" applyBorder="1" applyAlignment="1">
      <alignment horizontal="left" vertical="center"/>
    </xf>
    <xf numFmtId="0" fontId="2" fillId="0" borderId="3" xfId="0" applyNumberFormat="1" applyFont="1" applyBorder="1" applyAlignment="1" applyProtection="1">
      <alignment horizontal="center" vertical="center"/>
      <protection locked="0"/>
    </xf>
    <xf numFmtId="43" fontId="51" fillId="0" borderId="3" xfId="1" applyFont="1" applyFill="1" applyBorder="1" applyAlignment="1">
      <alignment horizontal="center" vertical="center"/>
    </xf>
    <xf numFmtId="49" fontId="2" fillId="0" borderId="3" xfId="0" applyNumberFormat="1" applyFont="1" applyBorder="1" applyAlignment="1">
      <alignment horizontal="center" vertical="center" wrapText="1"/>
    </xf>
    <xf numFmtId="167" fontId="2" fillId="0" borderId="3" xfId="0" applyNumberFormat="1" applyFont="1" applyBorder="1" applyAlignment="1">
      <alignment vertical="center"/>
    </xf>
    <xf numFmtId="0" fontId="3" fillId="5" borderId="19" xfId="0" applyNumberFormat="1" applyFont="1" applyFill="1" applyBorder="1" applyAlignment="1">
      <alignment horizontal="left" vertical="center"/>
    </xf>
    <xf numFmtId="0" fontId="3" fillId="5" borderId="20" xfId="0" applyNumberFormat="1" applyFont="1" applyFill="1" applyBorder="1" applyAlignment="1">
      <alignment horizontal="left" vertical="center"/>
    </xf>
    <xf numFmtId="0" fontId="3" fillId="5" borderId="21" xfId="0" applyNumberFormat="1" applyFont="1" applyFill="1" applyBorder="1" applyAlignment="1">
      <alignment horizontal="left" vertical="center"/>
    </xf>
    <xf numFmtId="0" fontId="3" fillId="5" borderId="21" xfId="0" applyNumberFormat="1" applyFont="1" applyFill="1" applyBorder="1" applyAlignment="1">
      <alignment horizontal="center" vertical="center"/>
    </xf>
    <xf numFmtId="168" fontId="3" fillId="5" borderId="21" xfId="0" applyFont="1" applyFill="1" applyBorder="1" applyAlignment="1">
      <alignment horizontal="center" vertical="center"/>
    </xf>
    <xf numFmtId="0" fontId="3" fillId="5" borderId="21" xfId="0" applyNumberFormat="1" applyFont="1" applyFill="1" applyBorder="1" applyAlignment="1">
      <alignment horizontal="justify" vertical="center" wrapText="1"/>
    </xf>
    <xf numFmtId="168" fontId="3" fillId="5" borderId="21" xfId="0" applyFont="1" applyFill="1" applyBorder="1" applyAlignment="1">
      <alignment horizontal="justify" vertical="center" wrapText="1"/>
    </xf>
    <xf numFmtId="0" fontId="3" fillId="5" borderId="22" xfId="0" applyNumberFormat="1" applyFont="1" applyFill="1" applyBorder="1" applyAlignment="1">
      <alignment horizontal="center" vertical="center" wrapText="1"/>
    </xf>
    <xf numFmtId="0" fontId="3" fillId="5" borderId="21" xfId="0" applyNumberFormat="1" applyFont="1" applyFill="1" applyBorder="1" applyAlignment="1">
      <alignment horizontal="center" vertical="center" wrapText="1"/>
    </xf>
    <xf numFmtId="168" fontId="3" fillId="5" borderId="19" xfId="0" applyFont="1" applyFill="1" applyBorder="1" applyAlignment="1">
      <alignment horizontal="center" vertical="center"/>
    </xf>
    <xf numFmtId="168" fontId="3" fillId="5" borderId="19" xfId="0" applyFont="1" applyFill="1" applyBorder="1" applyAlignment="1">
      <alignment horizontal="justify" vertical="center" wrapText="1"/>
    </xf>
    <xf numFmtId="43" fontId="3" fillId="5" borderId="19" xfId="0" applyNumberFormat="1" applyFont="1" applyFill="1" applyBorder="1" applyAlignment="1">
      <alignment vertical="center"/>
    </xf>
    <xf numFmtId="43" fontId="3" fillId="5" borderId="19" xfId="0" applyNumberFormat="1" applyFont="1" applyFill="1" applyBorder="1" applyAlignment="1">
      <alignment horizontal="center" vertical="center"/>
    </xf>
    <xf numFmtId="0" fontId="2" fillId="0" borderId="3" xfId="0" applyNumberFormat="1" applyFont="1" applyBorder="1" applyAlignment="1">
      <alignment horizontal="left" vertical="center" wrapText="1"/>
    </xf>
    <xf numFmtId="0" fontId="2" fillId="0" borderId="3" xfId="6" applyNumberFormat="1" applyFont="1" applyFill="1" applyBorder="1">
      <alignment horizontal="center" vertical="center" wrapText="1"/>
    </xf>
    <xf numFmtId="167" fontId="2" fillId="0" borderId="3" xfId="5" applyFont="1" applyFill="1" applyBorder="1" applyAlignment="1">
      <alignment horizontal="justify" vertical="center"/>
    </xf>
    <xf numFmtId="43" fontId="2" fillId="0" borderId="3" xfId="1" applyFont="1" applyFill="1" applyBorder="1" applyAlignment="1">
      <alignment horizontal="center" vertical="center"/>
    </xf>
    <xf numFmtId="0" fontId="2" fillId="0" borderId="3" xfId="7" applyFont="1" applyBorder="1" applyAlignment="1">
      <alignment horizontal="justify" vertical="center"/>
    </xf>
    <xf numFmtId="43" fontId="2" fillId="0" borderId="3" xfId="1" applyFont="1" applyFill="1" applyBorder="1" applyAlignment="1">
      <alignment horizontal="right" vertical="center"/>
    </xf>
    <xf numFmtId="167" fontId="2" fillId="0" borderId="3" xfId="8" applyFont="1" applyFill="1" applyBorder="1" applyAlignment="1">
      <alignment horizontal="right" vertical="center" wrapText="1"/>
    </xf>
    <xf numFmtId="168" fontId="2" fillId="0" borderId="3" xfId="0" applyFont="1" applyBorder="1" applyAlignment="1">
      <alignment vertical="center" wrapText="1"/>
    </xf>
    <xf numFmtId="168" fontId="2" fillId="0" borderId="3" xfId="0" applyFont="1" applyBorder="1"/>
    <xf numFmtId="0" fontId="2" fillId="0" borderId="3" xfId="0" applyNumberFormat="1" applyFont="1" applyBorder="1" applyAlignment="1" applyProtection="1">
      <alignment horizontal="justify" vertical="center" wrapText="1"/>
      <protection locked="0"/>
    </xf>
    <xf numFmtId="0" fontId="2" fillId="0" borderId="3" xfId="0" applyNumberFormat="1" applyFont="1" applyBorder="1" applyAlignment="1" applyProtection="1">
      <alignment horizontal="center" vertical="center" wrapText="1"/>
      <protection locked="0"/>
    </xf>
    <xf numFmtId="167" fontId="3" fillId="0" borderId="3" xfId="0" applyNumberFormat="1" applyFont="1" applyBorder="1" applyAlignment="1">
      <alignment horizontal="left" vertical="center"/>
    </xf>
    <xf numFmtId="167" fontId="2" fillId="0" borderId="3" xfId="0" applyNumberFormat="1" applyFont="1" applyBorder="1" applyAlignment="1">
      <alignment horizontal="left" vertical="center"/>
    </xf>
    <xf numFmtId="4" fontId="2" fillId="0" borderId="3" xfId="0" applyNumberFormat="1" applyFont="1" applyBorder="1" applyAlignment="1">
      <alignment horizontal="right" vertical="center" wrapText="1"/>
    </xf>
    <xf numFmtId="0" fontId="2" fillId="0" borderId="3" xfId="6" applyNumberFormat="1" applyFont="1" applyFill="1" applyBorder="1" applyAlignment="1">
      <alignment horizontal="justify" vertical="center" wrapText="1"/>
    </xf>
    <xf numFmtId="172" fontId="2" fillId="0" borderId="3" xfId="2" applyNumberFormat="1" applyFont="1" applyFill="1" applyBorder="1" applyAlignment="1">
      <alignment horizontal="right" vertical="center"/>
    </xf>
    <xf numFmtId="167" fontId="2" fillId="0" borderId="3" xfId="5" applyFont="1" applyFill="1" applyBorder="1"/>
    <xf numFmtId="0" fontId="3" fillId="0" borderId="3" xfId="0" applyNumberFormat="1" applyFont="1" applyBorder="1" applyAlignment="1">
      <alignment horizontal="center" vertical="center" wrapText="1"/>
    </xf>
    <xf numFmtId="167" fontId="3" fillId="0" borderId="3" xfId="0" applyNumberFormat="1" applyFont="1" applyBorder="1" applyAlignment="1">
      <alignment vertical="center"/>
    </xf>
    <xf numFmtId="0" fontId="2" fillId="0" borderId="3" xfId="9" applyFont="1" applyFill="1" applyBorder="1" applyAlignment="1">
      <alignment horizontal="justify" vertical="center" wrapText="1"/>
    </xf>
    <xf numFmtId="0" fontId="2" fillId="0" borderId="3" xfId="0" applyNumberFormat="1" applyFont="1" applyBorder="1" applyAlignment="1">
      <alignment horizontal="left" vertical="center"/>
    </xf>
    <xf numFmtId="0" fontId="2" fillId="0" borderId="3" xfId="7" applyFont="1" applyBorder="1" applyAlignment="1">
      <alignment horizontal="justify" vertical="center" wrapText="1"/>
    </xf>
    <xf numFmtId="43" fontId="2" fillId="0" borderId="3" xfId="0" applyNumberFormat="1" applyFont="1" applyBorder="1" applyAlignment="1">
      <alignment vertical="center"/>
    </xf>
    <xf numFmtId="167" fontId="2" fillId="0" borderId="3" xfId="8" applyFont="1" applyFill="1" applyBorder="1" applyAlignment="1">
      <alignment horizontal="center" vertical="center" wrapText="1"/>
    </xf>
    <xf numFmtId="172" fontId="2" fillId="0" borderId="3" xfId="2" applyNumberFormat="1" applyFont="1" applyFill="1" applyBorder="1" applyAlignment="1">
      <alignment horizontal="right" vertical="center" wrapText="1"/>
    </xf>
    <xf numFmtId="0" fontId="2" fillId="0" borderId="3" xfId="8" applyNumberFormat="1" applyFont="1" applyFill="1" applyBorder="1" applyAlignment="1">
      <alignment horizontal="center" vertical="center" wrapText="1"/>
    </xf>
    <xf numFmtId="43" fontId="2" fillId="0" borderId="3" xfId="1" applyFont="1" applyFill="1" applyBorder="1" applyAlignment="1">
      <alignment horizontal="justify" vertical="center"/>
    </xf>
    <xf numFmtId="49" fontId="2" fillId="0" borderId="3" xfId="0" applyNumberFormat="1" applyFont="1" applyBorder="1" applyAlignment="1">
      <alignment horizontal="justify" vertical="center" wrapText="1"/>
    </xf>
    <xf numFmtId="41" fontId="2" fillId="0" borderId="3" xfId="2" applyFont="1" applyFill="1" applyBorder="1" applyAlignment="1">
      <alignment vertical="center"/>
    </xf>
    <xf numFmtId="167" fontId="2" fillId="0" borderId="3" xfId="8" applyFont="1" applyFill="1" applyBorder="1" applyAlignment="1">
      <alignment horizontal="center" vertical="center"/>
    </xf>
    <xf numFmtId="167" fontId="2" fillId="0" borderId="3" xfId="5" applyFont="1" applyFill="1" applyBorder="1" applyAlignment="1">
      <alignment vertical="center"/>
    </xf>
    <xf numFmtId="168" fontId="2" fillId="0" borderId="3" xfId="0" applyFont="1" applyBorder="1" applyAlignment="1">
      <alignment horizontal="center" vertical="center"/>
    </xf>
    <xf numFmtId="168" fontId="2" fillId="0" borderId="3" xfId="0" applyFont="1" applyBorder="1" applyAlignment="1">
      <alignment horizontal="justify" vertical="center"/>
    </xf>
    <xf numFmtId="167" fontId="2" fillId="0" borderId="3" xfId="8" applyFont="1" applyFill="1" applyBorder="1" applyAlignment="1">
      <alignment vertical="center"/>
    </xf>
    <xf numFmtId="0" fontId="2" fillId="0" borderId="3" xfId="0" applyNumberFormat="1" applyFont="1" applyBorder="1" applyAlignment="1">
      <alignment horizontal="justify" vertical="center"/>
    </xf>
    <xf numFmtId="43" fontId="2" fillId="0" borderId="3" xfId="1" applyFont="1" applyFill="1" applyBorder="1" applyAlignment="1">
      <alignment horizontal="justify" vertical="center" wrapText="1"/>
    </xf>
    <xf numFmtId="167" fontId="2" fillId="0" borderId="3" xfId="8" applyFont="1" applyFill="1" applyBorder="1" applyAlignment="1">
      <alignment horizontal="left" vertical="center" wrapText="1"/>
    </xf>
    <xf numFmtId="1" fontId="2" fillId="0" borderId="3" xfId="13" applyNumberFormat="1" applyFont="1" applyFill="1" applyBorder="1" applyAlignment="1">
      <alignment horizontal="center" vertical="center"/>
    </xf>
    <xf numFmtId="43" fontId="2" fillId="0" borderId="3" xfId="1" applyFont="1" applyFill="1" applyBorder="1"/>
    <xf numFmtId="43" fontId="2" fillId="0" borderId="3" xfId="1" applyFont="1" applyFill="1" applyBorder="1" applyAlignment="1">
      <alignment vertical="center" wrapText="1"/>
    </xf>
    <xf numFmtId="0" fontId="2" fillId="0" borderId="3" xfId="1" applyNumberFormat="1" applyFont="1" applyFill="1" applyBorder="1" applyAlignment="1">
      <alignment horizontal="center" vertical="center" wrapText="1"/>
    </xf>
    <xf numFmtId="43" fontId="2" fillId="0" borderId="3" xfId="1" applyFont="1" applyFill="1" applyBorder="1" applyAlignment="1">
      <alignment horizontal="left" vertical="center" wrapText="1"/>
    </xf>
    <xf numFmtId="173" fontId="2" fillId="0" borderId="3" xfId="4" applyNumberFormat="1" applyFont="1" applyFill="1" applyBorder="1" applyAlignment="1">
      <alignment horizontal="center" vertical="center"/>
    </xf>
    <xf numFmtId="167" fontId="2" fillId="0" borderId="3" xfId="0" applyNumberFormat="1" applyFont="1" applyBorder="1" applyAlignment="1">
      <alignment horizontal="justify" vertical="center"/>
    </xf>
    <xf numFmtId="0" fontId="2" fillId="0" borderId="3" xfId="6" applyNumberFormat="1" applyFont="1" applyFill="1" applyBorder="1" applyAlignment="1">
      <alignment horizontal="center" vertical="center"/>
    </xf>
    <xf numFmtId="0" fontId="2" fillId="0" borderId="3" xfId="7" applyFont="1" applyBorder="1" applyAlignment="1">
      <alignment horizontal="center" vertical="center"/>
    </xf>
    <xf numFmtId="43" fontId="2" fillId="0" borderId="3" xfId="8" applyNumberFormat="1" applyFont="1" applyFill="1" applyBorder="1" applyAlignment="1">
      <alignment vertical="center"/>
    </xf>
    <xf numFmtId="167" fontId="3" fillId="0" borderId="3" xfId="5" applyFont="1" applyFill="1" applyBorder="1" applyAlignment="1">
      <alignment horizontal="justify" vertical="center"/>
    </xf>
    <xf numFmtId="167" fontId="2" fillId="0" borderId="3" xfId="5" applyFont="1" applyFill="1" applyBorder="1" applyAlignment="1">
      <alignment horizontal="justify" vertical="center" wrapText="1"/>
    </xf>
    <xf numFmtId="0" fontId="2" fillId="0" borderId="3" xfId="8" applyNumberFormat="1" applyFont="1" applyFill="1" applyBorder="1" applyAlignment="1">
      <alignment horizontal="justify" vertical="center" wrapText="1"/>
    </xf>
    <xf numFmtId="167" fontId="2" fillId="0" borderId="3" xfId="0" applyNumberFormat="1" applyFont="1" applyBorder="1" applyAlignment="1">
      <alignment horizontal="justify" vertical="center" wrapText="1"/>
    </xf>
    <xf numFmtId="167" fontId="2" fillId="0" borderId="3" xfId="0" applyNumberFormat="1" applyFont="1" applyBorder="1" applyAlignment="1">
      <alignment horizontal="right" vertical="center"/>
    </xf>
    <xf numFmtId="1" fontId="2" fillId="0" borderId="3" xfId="0" applyNumberFormat="1" applyFont="1" applyBorder="1" applyAlignment="1">
      <alignment horizontal="center" vertical="center" wrapText="1"/>
    </xf>
    <xf numFmtId="168" fontId="2" fillId="0" borderId="3" xfId="0" applyFont="1" applyBorder="1" applyAlignment="1" applyProtection="1">
      <alignment horizontal="justify" vertical="center" wrapText="1"/>
      <protection locked="0"/>
    </xf>
    <xf numFmtId="49" fontId="2" fillId="0" borderId="3" xfId="7" applyNumberFormat="1" applyFont="1" applyBorder="1" applyAlignment="1">
      <alignment horizontal="justify" vertical="center" wrapText="1"/>
    </xf>
    <xf numFmtId="4" fontId="2" fillId="0" borderId="3" xfId="0" applyNumberFormat="1" applyFont="1" applyBorder="1" applyAlignment="1">
      <alignment vertical="center" wrapText="1"/>
    </xf>
    <xf numFmtId="49" fontId="2" fillId="0" borderId="3" xfId="0" applyNumberFormat="1" applyFont="1" applyBorder="1" applyAlignment="1">
      <alignment horizontal="center" vertical="center"/>
    </xf>
    <xf numFmtId="4" fontId="2" fillId="0" borderId="3" xfId="0" applyNumberFormat="1" applyFont="1" applyBorder="1" applyAlignment="1">
      <alignment horizontal="center" vertical="center"/>
    </xf>
    <xf numFmtId="165" fontId="2" fillId="0" borderId="3" xfId="3" applyFont="1" applyFill="1" applyBorder="1" applyAlignment="1">
      <alignment horizontal="center" vertical="center"/>
    </xf>
    <xf numFmtId="4" fontId="2" fillId="0" borderId="3" xfId="0" applyNumberFormat="1" applyFont="1" applyBorder="1" applyAlignment="1">
      <alignment vertical="center"/>
    </xf>
    <xf numFmtId="3" fontId="2" fillId="0" borderId="3" xfId="0" applyNumberFormat="1" applyFont="1" applyBorder="1" applyAlignment="1">
      <alignment horizontal="right" vertical="center" wrapText="1"/>
    </xf>
    <xf numFmtId="167" fontId="2" fillId="0" borderId="3" xfId="5" applyFont="1" applyFill="1" applyBorder="1" applyAlignment="1">
      <alignment horizontal="right" vertical="center"/>
    </xf>
    <xf numFmtId="167" fontId="2" fillId="0" borderId="3" xfId="0" applyNumberFormat="1" applyFont="1" applyBorder="1" applyAlignment="1">
      <alignment horizontal="right" vertical="center" wrapText="1"/>
    </xf>
    <xf numFmtId="0" fontId="2" fillId="0" borderId="3" xfId="0" applyNumberFormat="1" applyFont="1" applyBorder="1" applyAlignment="1">
      <alignment vertical="center" wrapText="1"/>
    </xf>
    <xf numFmtId="167" fontId="2" fillId="0" borderId="3" xfId="8" applyFont="1" applyFill="1" applyBorder="1" applyAlignment="1">
      <alignment horizontal="right" vertical="center"/>
    </xf>
    <xf numFmtId="167" fontId="2" fillId="0" borderId="3" xfId="5" applyFont="1" applyFill="1" applyBorder="1" applyAlignment="1">
      <alignment horizontal="center" vertical="center" wrapText="1"/>
    </xf>
    <xf numFmtId="167" fontId="2" fillId="0" borderId="3" xfId="0" applyNumberFormat="1" applyFont="1" applyBorder="1" applyAlignment="1">
      <alignment horizontal="center" vertical="center"/>
    </xf>
    <xf numFmtId="0" fontId="2" fillId="0" borderId="3" xfId="12" applyNumberFormat="1" applyFont="1" applyFill="1" applyBorder="1" applyAlignment="1">
      <alignment horizontal="center" vertical="center" wrapText="1"/>
    </xf>
    <xf numFmtId="1" fontId="2" fillId="0" borderId="3" xfId="0" applyNumberFormat="1" applyFont="1" applyBorder="1" applyAlignment="1">
      <alignment horizontal="center" vertical="center"/>
    </xf>
    <xf numFmtId="3" fontId="2" fillId="0" borderId="3" xfId="0" applyNumberFormat="1" applyFont="1" applyBorder="1" applyAlignment="1">
      <alignment horizontal="justify" vertical="center" wrapText="1"/>
    </xf>
    <xf numFmtId="170" fontId="2" fillId="0" borderId="3" xfId="0" applyNumberFormat="1" applyFont="1" applyBorder="1" applyAlignment="1">
      <alignment horizontal="justify" vertical="center" wrapText="1"/>
    </xf>
    <xf numFmtId="167" fontId="53" fillId="0" borderId="13" xfId="8" applyFont="1" applyFill="1" applyBorder="1" applyAlignment="1">
      <alignment horizontal="right" vertical="center" wrapText="1"/>
    </xf>
    <xf numFmtId="170" fontId="53" fillId="0" borderId="13" xfId="8" applyNumberFormat="1" applyFont="1" applyFill="1" applyBorder="1" applyAlignment="1">
      <alignment horizontal="right" vertical="center" wrapText="1"/>
    </xf>
    <xf numFmtId="167" fontId="53" fillId="0" borderId="13" xfId="0" applyNumberFormat="1" applyFont="1" applyBorder="1" applyAlignment="1">
      <alignment horizontal="justify" vertical="center" wrapText="1"/>
    </xf>
    <xf numFmtId="167" fontId="56" fillId="0" borderId="13" xfId="8" applyFont="1" applyFill="1" applyBorder="1" applyAlignment="1">
      <alignment vertical="center" wrapText="1"/>
    </xf>
    <xf numFmtId="167" fontId="53" fillId="0" borderId="13" xfId="8" applyFont="1" applyFill="1" applyBorder="1" applyAlignment="1">
      <alignment vertical="center" wrapText="1"/>
    </xf>
    <xf numFmtId="167" fontId="56" fillId="0" borderId="13" xfId="8" applyFont="1" applyFill="1" applyBorder="1" applyAlignment="1">
      <alignment horizontal="right" vertical="center" wrapText="1"/>
    </xf>
    <xf numFmtId="167" fontId="53" fillId="0" borderId="13" xfId="8" applyFont="1" applyFill="1" applyBorder="1" applyAlignment="1">
      <alignment horizontal="center" vertical="center" wrapText="1"/>
    </xf>
    <xf numFmtId="167" fontId="53" fillId="0" borderId="13" xfId="5" applyFont="1" applyFill="1" applyBorder="1" applyAlignment="1">
      <alignment horizontal="justify" vertical="center" wrapText="1"/>
    </xf>
    <xf numFmtId="43" fontId="53" fillId="0" borderId="13" xfId="1" applyFont="1" applyFill="1" applyBorder="1" applyAlignment="1">
      <alignment horizontal="center" vertical="center" wrapText="1"/>
    </xf>
    <xf numFmtId="168" fontId="2" fillId="0" borderId="0" xfId="0" applyFont="1" applyAlignment="1">
      <alignment horizontal="center" vertical="center"/>
    </xf>
    <xf numFmtId="41" fontId="2" fillId="0" borderId="3" xfId="2" applyFont="1" applyFill="1" applyBorder="1" applyAlignment="1">
      <alignment horizontal="justify" vertical="center"/>
    </xf>
    <xf numFmtId="178" fontId="57" fillId="0" borderId="0" xfId="679" applyNumberFormat="1" applyFont="1" applyAlignment="1">
      <alignment horizontal="right" vertical="center"/>
    </xf>
    <xf numFmtId="0" fontId="3" fillId="8" borderId="13" xfId="0" applyNumberFormat="1" applyFont="1" applyFill="1" applyBorder="1" applyAlignment="1">
      <alignment horizontal="center" vertical="center"/>
    </xf>
    <xf numFmtId="43" fontId="3" fillId="8" borderId="13" xfId="1" applyFont="1" applyFill="1" applyBorder="1" applyAlignment="1">
      <alignment horizontal="center" vertical="center"/>
    </xf>
    <xf numFmtId="0" fontId="3" fillId="8" borderId="15" xfId="0" applyNumberFormat="1" applyFont="1" applyFill="1" applyBorder="1" applyAlignment="1">
      <alignment horizontal="center" vertical="center"/>
    </xf>
    <xf numFmtId="168" fontId="3" fillId="8" borderId="16" xfId="0" applyFont="1" applyFill="1" applyBorder="1" applyAlignment="1">
      <alignment horizontal="center" vertical="center"/>
    </xf>
    <xf numFmtId="0" fontId="3" fillId="5" borderId="13" xfId="0" applyNumberFormat="1" applyFont="1" applyFill="1" applyBorder="1" applyAlignment="1">
      <alignment vertical="center"/>
    </xf>
    <xf numFmtId="43" fontId="3" fillId="5" borderId="13" xfId="1" applyFont="1" applyFill="1" applyBorder="1" applyAlignment="1">
      <alignment vertical="center"/>
    </xf>
    <xf numFmtId="43" fontId="3" fillId="64" borderId="13" xfId="1" applyFont="1" applyFill="1" applyBorder="1" applyAlignment="1">
      <alignment vertical="center"/>
    </xf>
    <xf numFmtId="0" fontId="3" fillId="64" borderId="16" xfId="0" applyNumberFormat="1" applyFont="1" applyFill="1" applyBorder="1" applyAlignment="1">
      <alignment horizontal="center" vertical="center" wrapText="1"/>
    </xf>
    <xf numFmtId="0" fontId="3" fillId="64" borderId="16" xfId="0" applyNumberFormat="1" applyFont="1" applyFill="1" applyBorder="1" applyAlignment="1">
      <alignment vertical="center"/>
    </xf>
    <xf numFmtId="0" fontId="3" fillId="64" borderId="15" xfId="0" applyNumberFormat="1" applyFont="1" applyFill="1" applyBorder="1" applyAlignment="1">
      <alignment vertical="center"/>
    </xf>
    <xf numFmtId="168" fontId="3" fillId="10" borderId="24" xfId="0" applyFont="1" applyFill="1" applyBorder="1" applyAlignment="1">
      <alignment horizontal="center"/>
    </xf>
    <xf numFmtId="43" fontId="3" fillId="10" borderId="45" xfId="1" applyFont="1" applyFill="1" applyBorder="1" applyAlignment="1">
      <alignment horizontal="center" vertical="center"/>
    </xf>
    <xf numFmtId="0" fontId="3" fillId="5" borderId="17" xfId="0" applyNumberFormat="1" applyFont="1" applyFill="1" applyBorder="1" applyAlignment="1">
      <alignment horizontal="center" vertical="center" wrapText="1"/>
    </xf>
    <xf numFmtId="172" fontId="58" fillId="0" borderId="0" xfId="2" applyNumberFormat="1" applyFont="1" applyFill="1" applyAlignment="1">
      <alignment horizontal="center" vertical="center"/>
    </xf>
    <xf numFmtId="168" fontId="0" fillId="0" borderId="0" xfId="0" applyAlignment="1">
      <alignment vertical="center" wrapText="1"/>
    </xf>
    <xf numFmtId="0" fontId="2" fillId="65" borderId="3" xfId="7" applyFont="1" applyFill="1" applyBorder="1" applyAlignment="1">
      <alignment horizontal="center" vertical="center" wrapText="1"/>
    </xf>
    <xf numFmtId="0" fontId="4" fillId="9" borderId="7" xfId="0" applyNumberFormat="1" applyFont="1" applyFill="1" applyBorder="1" applyAlignment="1">
      <alignment horizontal="center" vertical="center" wrapText="1"/>
    </xf>
    <xf numFmtId="170" fontId="4" fillId="5" borderId="3" xfId="5" applyNumberFormat="1" applyFont="1" applyFill="1" applyBorder="1" applyAlignment="1">
      <alignment horizontal="center" vertical="center" wrapText="1"/>
    </xf>
    <xf numFmtId="169" fontId="28" fillId="0" borderId="3" xfId="0" applyNumberFormat="1" applyFont="1" applyBorder="1" applyAlignment="1">
      <alignment horizontal="left" vertical="center"/>
    </xf>
    <xf numFmtId="14" fontId="28" fillId="0" borderId="3" xfId="0" applyNumberFormat="1" applyFont="1" applyBorder="1" applyAlignment="1">
      <alignment horizontal="left" vertical="center"/>
    </xf>
    <xf numFmtId="168" fontId="50" fillId="0" borderId="3" xfId="0" applyFont="1" applyBorder="1" applyAlignment="1">
      <alignment horizontal="center" vertical="center"/>
    </xf>
    <xf numFmtId="3" fontId="59" fillId="3" borderId="3" xfId="0" applyNumberFormat="1" applyFont="1" applyFill="1" applyBorder="1" applyAlignment="1">
      <alignment horizontal="center" vertical="center" wrapText="1"/>
    </xf>
    <xf numFmtId="168" fontId="4" fillId="64" borderId="3" xfId="0" applyFont="1" applyFill="1" applyBorder="1" applyAlignment="1">
      <alignment horizontal="center" vertical="center" wrapText="1"/>
    </xf>
    <xf numFmtId="168" fontId="4" fillId="64" borderId="43" xfId="0" applyFont="1" applyFill="1" applyBorder="1" applyAlignment="1">
      <alignment horizontal="center" vertical="center" wrapText="1"/>
    </xf>
    <xf numFmtId="168" fontId="4" fillId="64" borderId="12" xfId="0" applyFont="1" applyFill="1" applyBorder="1" applyAlignment="1">
      <alignment horizontal="center" vertical="center" wrapText="1"/>
    </xf>
    <xf numFmtId="0" fontId="4" fillId="9" borderId="43" xfId="0" applyNumberFormat="1" applyFont="1" applyFill="1" applyBorder="1" applyAlignment="1">
      <alignment horizontal="center" vertical="center" wrapText="1"/>
    </xf>
    <xf numFmtId="0" fontId="4" fillId="9" borderId="12" xfId="0" applyNumberFormat="1" applyFont="1" applyFill="1" applyBorder="1" applyAlignment="1">
      <alignment horizontal="center" vertical="center" wrapText="1"/>
    </xf>
    <xf numFmtId="0" fontId="4" fillId="64" borderId="3" xfId="0" applyNumberFormat="1" applyFont="1" applyFill="1" applyBorder="1" applyAlignment="1">
      <alignment horizontal="center" vertical="center" wrapText="1"/>
    </xf>
    <xf numFmtId="170" fontId="4" fillId="9" borderId="44" xfId="5" applyNumberFormat="1" applyFont="1" applyFill="1" applyBorder="1" applyAlignment="1">
      <alignment horizontal="center" vertical="center" wrapText="1"/>
    </xf>
    <xf numFmtId="170" fontId="4" fillId="9" borderId="12" xfId="5" applyNumberFormat="1" applyFont="1" applyFill="1" applyBorder="1" applyAlignment="1">
      <alignment horizontal="center" vertical="center" wrapText="1"/>
    </xf>
    <xf numFmtId="168" fontId="3" fillId="5" borderId="7" xfId="0" applyFont="1" applyFill="1" applyBorder="1" applyAlignment="1">
      <alignment horizontal="center" vertical="center" wrapText="1"/>
    </xf>
    <xf numFmtId="168" fontId="3" fillId="5" borderId="8" xfId="0" applyFont="1" applyFill="1" applyBorder="1" applyAlignment="1">
      <alignment horizontal="center" vertical="center" wrapText="1"/>
    </xf>
    <xf numFmtId="168" fontId="3" fillId="5" borderId="9" xfId="0" applyFont="1" applyFill="1" applyBorder="1" applyAlignment="1">
      <alignment horizontal="center" vertical="center" wrapText="1"/>
    </xf>
    <xf numFmtId="168" fontId="3" fillId="5" borderId="1" xfId="0" applyFont="1" applyFill="1" applyBorder="1" applyAlignment="1">
      <alignment horizontal="center" vertical="center" wrapText="1"/>
    </xf>
    <xf numFmtId="168" fontId="3" fillId="5" borderId="2" xfId="0" applyFont="1" applyFill="1" applyBorder="1" applyAlignment="1">
      <alignment horizontal="center" vertical="center" wrapText="1"/>
    </xf>
    <xf numFmtId="0" fontId="3" fillId="5" borderId="7" xfId="0" applyNumberFormat="1" applyFont="1" applyFill="1" applyBorder="1" applyAlignment="1">
      <alignment horizontal="center" vertical="center" wrapText="1"/>
    </xf>
    <xf numFmtId="0" fontId="3" fillId="5" borderId="9" xfId="0" applyNumberFormat="1" applyFont="1" applyFill="1" applyBorder="1" applyAlignment="1">
      <alignment horizontal="center" vertical="center" wrapText="1"/>
    </xf>
    <xf numFmtId="0" fontId="4" fillId="64" borderId="43" xfId="0" applyNumberFormat="1" applyFont="1" applyFill="1" applyBorder="1" applyAlignment="1">
      <alignment horizontal="center" vertical="center" wrapText="1"/>
    </xf>
    <xf numFmtId="0" fontId="4" fillId="64" borderId="12" xfId="0" applyNumberFormat="1" applyFont="1" applyFill="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168" fontId="52" fillId="0" borderId="1" xfId="0" applyFont="1" applyBorder="1" applyAlignment="1">
      <alignment horizontal="center" vertical="center" wrapText="1"/>
    </xf>
    <xf numFmtId="168" fontId="52" fillId="0" borderId="2" xfId="0" applyFont="1" applyBorder="1" applyAlignment="1">
      <alignment horizontal="center" vertical="center" wrapText="1"/>
    </xf>
    <xf numFmtId="168" fontId="52" fillId="0" borderId="4" xfId="0" applyFont="1" applyBorder="1" applyAlignment="1">
      <alignment horizontal="center" vertical="center" wrapText="1"/>
    </xf>
    <xf numFmtId="168" fontId="52" fillId="0" borderId="0" xfId="0" applyFont="1" applyAlignment="1">
      <alignment horizontal="center" vertical="center" wrapText="1"/>
    </xf>
    <xf numFmtId="168" fontId="52" fillId="0" borderId="5" xfId="0" applyFont="1" applyBorder="1" applyAlignment="1">
      <alignment horizontal="center" vertical="center" wrapText="1"/>
    </xf>
    <xf numFmtId="168" fontId="52" fillId="0" borderId="6" xfId="0" applyFont="1" applyBorder="1" applyAlignment="1">
      <alignment horizontal="center" vertical="center" wrapText="1"/>
    </xf>
    <xf numFmtId="168" fontId="3" fillId="5" borderId="3" xfId="0" applyFont="1" applyFill="1" applyBorder="1" applyAlignment="1">
      <alignment horizontal="center" vertical="center" wrapText="1"/>
    </xf>
    <xf numFmtId="168" fontId="3" fillId="0" borderId="1" xfId="0" applyFont="1" applyBorder="1" applyAlignment="1">
      <alignment horizontal="center" vertical="center" wrapText="1"/>
    </xf>
    <xf numFmtId="168" fontId="3" fillId="0" borderId="2" xfId="0" applyFont="1" applyBorder="1" applyAlignment="1">
      <alignment horizontal="center" vertical="center" wrapText="1"/>
    </xf>
    <xf numFmtId="168" fontId="3" fillId="0" borderId="47" xfId="0" applyFont="1" applyBorder="1" applyAlignment="1">
      <alignment horizontal="center" vertical="center" wrapText="1"/>
    </xf>
    <xf numFmtId="168" fontId="3" fillId="0" borderId="4" xfId="0" applyFont="1" applyBorder="1" applyAlignment="1">
      <alignment horizontal="center" vertical="center" wrapText="1"/>
    </xf>
    <xf numFmtId="168" fontId="3" fillId="0" borderId="0" xfId="0" applyFont="1" applyAlignment="1">
      <alignment horizontal="center" vertical="center" wrapText="1"/>
    </xf>
    <xf numFmtId="168" fontId="3" fillId="0" borderId="46" xfId="0" applyFont="1" applyBorder="1" applyAlignment="1">
      <alignment horizontal="center" vertical="center" wrapText="1"/>
    </xf>
    <xf numFmtId="168" fontId="3" fillId="0" borderId="5" xfId="0" applyFont="1" applyBorder="1" applyAlignment="1">
      <alignment horizontal="center" vertical="center" wrapText="1"/>
    </xf>
    <xf numFmtId="168" fontId="3" fillId="0" borderId="6" xfId="0" applyFont="1" applyBorder="1" applyAlignment="1">
      <alignment horizontal="center" vertical="center" wrapText="1"/>
    </xf>
    <xf numFmtId="168" fontId="3" fillId="0" borderId="11" xfId="0" applyFont="1" applyBorder="1" applyAlignment="1">
      <alignment horizontal="center" vertical="center" wrapText="1"/>
    </xf>
    <xf numFmtId="0" fontId="4" fillId="5" borderId="2" xfId="0" applyNumberFormat="1" applyFont="1" applyFill="1" applyBorder="1" applyAlignment="1">
      <alignment horizontal="center" vertical="center" wrapText="1"/>
    </xf>
    <xf numFmtId="0" fontId="4" fillId="5" borderId="21" xfId="0" applyNumberFormat="1" applyFont="1" applyFill="1" applyBorder="1" applyAlignment="1">
      <alignment horizontal="center" vertical="center" wrapText="1"/>
    </xf>
    <xf numFmtId="168" fontId="4" fillId="5" borderId="2" xfId="0" applyFont="1" applyFill="1" applyBorder="1" applyAlignment="1">
      <alignment horizontal="center" vertical="center" wrapText="1"/>
    </xf>
    <xf numFmtId="168" fontId="4" fillId="5" borderId="21" xfId="0" applyFont="1" applyFill="1" applyBorder="1" applyAlignment="1">
      <alignment horizontal="center" vertical="center" wrapText="1"/>
    </xf>
  </cellXfs>
  <cellStyles count="1037">
    <cellStyle name="20% - Énfasis1" xfId="36" builtinId="30" customBuiltin="1"/>
    <cellStyle name="20% - Énfasis1 2" xfId="233" xr:uid="{00000000-0005-0000-0000-000001000000}"/>
    <cellStyle name="20% - Énfasis1 2 2" xfId="285" xr:uid="{00000000-0005-0000-0000-000002000000}"/>
    <cellStyle name="20% - Énfasis1 2 3" xfId="286" xr:uid="{00000000-0005-0000-0000-000003000000}"/>
    <cellStyle name="20% - Énfasis1 2 4" xfId="284" xr:uid="{00000000-0005-0000-0000-000004000000}"/>
    <cellStyle name="20% - Énfasis1 2 5" xfId="560" xr:uid="{00000000-0005-0000-0000-000005000000}"/>
    <cellStyle name="20% - Énfasis2" xfId="40" builtinId="34" customBuiltin="1"/>
    <cellStyle name="20% - Énfasis2 2" xfId="253" xr:uid="{00000000-0005-0000-0000-000007000000}"/>
    <cellStyle name="20% - Énfasis2 2 2" xfId="288" xr:uid="{00000000-0005-0000-0000-000008000000}"/>
    <cellStyle name="20% - Énfasis2 2 3" xfId="289" xr:uid="{00000000-0005-0000-0000-000009000000}"/>
    <cellStyle name="20% - Énfasis2 2 4" xfId="287" xr:uid="{00000000-0005-0000-0000-00000A000000}"/>
    <cellStyle name="20% - Énfasis2 2 5" xfId="571" xr:uid="{00000000-0005-0000-0000-00000B000000}"/>
    <cellStyle name="20% - Énfasis3" xfId="44" builtinId="38" customBuiltin="1"/>
    <cellStyle name="20% - Énfasis3 2" xfId="61" xr:uid="{00000000-0005-0000-0000-00000D000000}"/>
    <cellStyle name="20% - Énfasis3 2 2" xfId="291" xr:uid="{00000000-0005-0000-0000-00000E000000}"/>
    <cellStyle name="20% - Énfasis3 2 3" xfId="292" xr:uid="{00000000-0005-0000-0000-00000F000000}"/>
    <cellStyle name="20% - Énfasis3 2 4" xfId="290" xr:uid="{00000000-0005-0000-0000-000010000000}"/>
    <cellStyle name="20% - Énfasis3 2 5" xfId="486" xr:uid="{00000000-0005-0000-0000-000011000000}"/>
    <cellStyle name="20% - Énfasis4" xfId="48" builtinId="42" customBuiltin="1"/>
    <cellStyle name="20% - Énfasis4 2" xfId="257" xr:uid="{00000000-0005-0000-0000-000013000000}"/>
    <cellStyle name="20% - Énfasis4 2 2" xfId="294" xr:uid="{00000000-0005-0000-0000-000014000000}"/>
    <cellStyle name="20% - Énfasis4 2 3" xfId="295" xr:uid="{00000000-0005-0000-0000-000015000000}"/>
    <cellStyle name="20% - Énfasis4 2 4" xfId="293" xr:uid="{00000000-0005-0000-0000-000016000000}"/>
    <cellStyle name="20% - Énfasis4 2 5" xfId="573" xr:uid="{00000000-0005-0000-0000-000017000000}"/>
    <cellStyle name="20% - Énfasis5" xfId="52" builtinId="46" customBuiltin="1"/>
    <cellStyle name="20% - Énfasis5 2" xfId="223" xr:uid="{00000000-0005-0000-0000-000019000000}"/>
    <cellStyle name="20% - Énfasis5 2 2" xfId="297" xr:uid="{00000000-0005-0000-0000-00001A000000}"/>
    <cellStyle name="20% - Énfasis5 2 3" xfId="298" xr:uid="{00000000-0005-0000-0000-00001B000000}"/>
    <cellStyle name="20% - Énfasis5 2 4" xfId="296" xr:uid="{00000000-0005-0000-0000-00001C000000}"/>
    <cellStyle name="20% - Énfasis5 2 5" xfId="556" xr:uid="{00000000-0005-0000-0000-00001D000000}"/>
    <cellStyle name="20% - Énfasis6" xfId="56" builtinId="50" customBuiltin="1"/>
    <cellStyle name="20% - Énfasis6 2" xfId="215" xr:uid="{00000000-0005-0000-0000-00001F000000}"/>
    <cellStyle name="20% - Énfasis6 2 2" xfId="300" xr:uid="{00000000-0005-0000-0000-000020000000}"/>
    <cellStyle name="20% - Énfasis6 2 3" xfId="301" xr:uid="{00000000-0005-0000-0000-000021000000}"/>
    <cellStyle name="20% - Énfasis6 2 4" xfId="299" xr:uid="{00000000-0005-0000-0000-000022000000}"/>
    <cellStyle name="20% - Énfasis6 2 5" xfId="552" xr:uid="{00000000-0005-0000-0000-000023000000}"/>
    <cellStyle name="40% - Énfasis1" xfId="37" builtinId="31" customBuiltin="1"/>
    <cellStyle name="40% - Énfasis1 2" xfId="196" xr:uid="{00000000-0005-0000-0000-000025000000}"/>
    <cellStyle name="40% - Énfasis1 2 2" xfId="303" xr:uid="{00000000-0005-0000-0000-000026000000}"/>
    <cellStyle name="40% - Énfasis1 2 3" xfId="304" xr:uid="{00000000-0005-0000-0000-000027000000}"/>
    <cellStyle name="40% - Énfasis1 2 4" xfId="302" xr:uid="{00000000-0005-0000-0000-000028000000}"/>
    <cellStyle name="40% - Énfasis1 2 5" xfId="544" xr:uid="{00000000-0005-0000-0000-000029000000}"/>
    <cellStyle name="40% - Énfasis2" xfId="41" builtinId="35" customBuiltin="1"/>
    <cellStyle name="40% - Énfasis2 2" xfId="251" xr:uid="{00000000-0005-0000-0000-00002B000000}"/>
    <cellStyle name="40% - Énfasis2 2 2" xfId="306" xr:uid="{00000000-0005-0000-0000-00002C000000}"/>
    <cellStyle name="40% - Énfasis2 2 3" xfId="307" xr:uid="{00000000-0005-0000-0000-00002D000000}"/>
    <cellStyle name="40% - Énfasis2 2 4" xfId="305" xr:uid="{00000000-0005-0000-0000-00002E000000}"/>
    <cellStyle name="40% - Énfasis2 2 5" xfId="569" xr:uid="{00000000-0005-0000-0000-00002F000000}"/>
    <cellStyle name="40% - Énfasis3" xfId="45" builtinId="39" customBuiltin="1"/>
    <cellStyle name="40% - Énfasis3 2" xfId="260" xr:uid="{00000000-0005-0000-0000-000031000000}"/>
    <cellStyle name="40% - Énfasis3 2 2" xfId="309" xr:uid="{00000000-0005-0000-0000-000032000000}"/>
    <cellStyle name="40% - Énfasis3 2 3" xfId="310" xr:uid="{00000000-0005-0000-0000-000033000000}"/>
    <cellStyle name="40% - Énfasis3 2 4" xfId="308" xr:uid="{00000000-0005-0000-0000-000034000000}"/>
    <cellStyle name="40% - Énfasis3 2 5" xfId="574" xr:uid="{00000000-0005-0000-0000-000035000000}"/>
    <cellStyle name="40% - Énfasis4" xfId="49" builtinId="43" customBuiltin="1"/>
    <cellStyle name="40% - Énfasis4 2" xfId="218" xr:uid="{00000000-0005-0000-0000-000037000000}"/>
    <cellStyle name="40% - Énfasis4 2 2" xfId="312" xr:uid="{00000000-0005-0000-0000-000038000000}"/>
    <cellStyle name="40% - Énfasis4 2 3" xfId="313" xr:uid="{00000000-0005-0000-0000-000039000000}"/>
    <cellStyle name="40% - Énfasis4 2 4" xfId="311" xr:uid="{00000000-0005-0000-0000-00003A000000}"/>
    <cellStyle name="40% - Énfasis4 2 5" xfId="553" xr:uid="{00000000-0005-0000-0000-00003B000000}"/>
    <cellStyle name="40% - Énfasis5" xfId="53" builtinId="47" customBuiltin="1"/>
    <cellStyle name="40% - Énfasis5 2" xfId="250" xr:uid="{00000000-0005-0000-0000-00003D000000}"/>
    <cellStyle name="40% - Énfasis5 2 2" xfId="315" xr:uid="{00000000-0005-0000-0000-00003E000000}"/>
    <cellStyle name="40% - Énfasis5 2 3" xfId="316" xr:uid="{00000000-0005-0000-0000-00003F000000}"/>
    <cellStyle name="40% - Énfasis5 2 4" xfId="314" xr:uid="{00000000-0005-0000-0000-000040000000}"/>
    <cellStyle name="40% - Énfasis5 2 5" xfId="568" xr:uid="{00000000-0005-0000-0000-000041000000}"/>
    <cellStyle name="40% - Énfasis6" xfId="57" builtinId="51" customBuiltin="1"/>
    <cellStyle name="40% - Énfasis6 2" xfId="67" xr:uid="{00000000-0005-0000-0000-000043000000}"/>
    <cellStyle name="40% - Énfasis6 2 2" xfId="318" xr:uid="{00000000-0005-0000-0000-000044000000}"/>
    <cellStyle name="40% - Énfasis6 2 3" xfId="319" xr:uid="{00000000-0005-0000-0000-000045000000}"/>
    <cellStyle name="40% - Énfasis6 2 4" xfId="317" xr:uid="{00000000-0005-0000-0000-000046000000}"/>
    <cellStyle name="40% - Énfasis6 2 5" xfId="490" xr:uid="{00000000-0005-0000-0000-000047000000}"/>
    <cellStyle name="60% - Énfasis1" xfId="38" builtinId="32" customBuiltin="1"/>
    <cellStyle name="60% - Énfasis1 2" xfId="213" xr:uid="{00000000-0005-0000-0000-000049000000}"/>
    <cellStyle name="60% - Énfasis1 2 2" xfId="320" xr:uid="{00000000-0005-0000-0000-00004A000000}"/>
    <cellStyle name="60% - Énfasis1 2 3" xfId="551" xr:uid="{00000000-0005-0000-0000-00004B000000}"/>
    <cellStyle name="60% - Énfasis1 3" xfId="426" xr:uid="{00000000-0005-0000-0000-00004C000000}"/>
    <cellStyle name="60% - Énfasis1 4" xfId="718" xr:uid="{00000000-0005-0000-0000-00004D000000}"/>
    <cellStyle name="60% - Énfasis2" xfId="42" builtinId="36" customBuiltin="1"/>
    <cellStyle name="60% - Énfasis2 2" xfId="242" xr:uid="{00000000-0005-0000-0000-00004F000000}"/>
    <cellStyle name="60% - Énfasis2 2 2" xfId="321" xr:uid="{00000000-0005-0000-0000-000050000000}"/>
    <cellStyle name="60% - Énfasis2 2 3" xfId="564" xr:uid="{00000000-0005-0000-0000-000051000000}"/>
    <cellStyle name="60% - Énfasis2 3" xfId="427" xr:uid="{00000000-0005-0000-0000-000052000000}"/>
    <cellStyle name="60% - Énfasis2 4" xfId="719" xr:uid="{00000000-0005-0000-0000-000053000000}"/>
    <cellStyle name="60% - Énfasis3" xfId="46" builtinId="40" customBuiltin="1"/>
    <cellStyle name="60% - Énfasis3 2" xfId="72" xr:uid="{00000000-0005-0000-0000-000055000000}"/>
    <cellStyle name="60% - Énfasis3 2 2" xfId="322" xr:uid="{00000000-0005-0000-0000-000056000000}"/>
    <cellStyle name="60% - Énfasis3 2 3" xfId="494" xr:uid="{00000000-0005-0000-0000-000057000000}"/>
    <cellStyle name="60% - Énfasis3 3" xfId="428" xr:uid="{00000000-0005-0000-0000-000058000000}"/>
    <cellStyle name="60% - Énfasis3 4" xfId="720" xr:uid="{00000000-0005-0000-0000-000059000000}"/>
    <cellStyle name="60% - Énfasis4" xfId="50" builtinId="44" customBuiltin="1"/>
    <cellStyle name="60% - Énfasis4 2" xfId="237" xr:uid="{00000000-0005-0000-0000-00005B000000}"/>
    <cellStyle name="60% - Énfasis4 2 2" xfId="323" xr:uid="{00000000-0005-0000-0000-00005C000000}"/>
    <cellStyle name="60% - Énfasis4 2 3" xfId="562" xr:uid="{00000000-0005-0000-0000-00005D000000}"/>
    <cellStyle name="60% - Énfasis4 3" xfId="429" xr:uid="{00000000-0005-0000-0000-00005E000000}"/>
    <cellStyle name="60% - Énfasis4 4" xfId="721" xr:uid="{00000000-0005-0000-0000-00005F000000}"/>
    <cellStyle name="60% - Énfasis5" xfId="54" builtinId="48" customBuiltin="1"/>
    <cellStyle name="60% - Énfasis5 2" xfId="235" xr:uid="{00000000-0005-0000-0000-000061000000}"/>
    <cellStyle name="60% - Énfasis5 2 2" xfId="324" xr:uid="{00000000-0005-0000-0000-000062000000}"/>
    <cellStyle name="60% - Énfasis5 2 3" xfId="561" xr:uid="{00000000-0005-0000-0000-000063000000}"/>
    <cellStyle name="60% - Énfasis5 3" xfId="430" xr:uid="{00000000-0005-0000-0000-000064000000}"/>
    <cellStyle name="60% - Énfasis5 4" xfId="722" xr:uid="{00000000-0005-0000-0000-000065000000}"/>
    <cellStyle name="60% - Énfasis6" xfId="58" builtinId="52" customBuiltin="1"/>
    <cellStyle name="60% - Énfasis6 2" xfId="80" xr:uid="{00000000-0005-0000-0000-000067000000}"/>
    <cellStyle name="60% - Énfasis6 2 2" xfId="325" xr:uid="{00000000-0005-0000-0000-000068000000}"/>
    <cellStyle name="60% - Énfasis6 2 3" xfId="496" xr:uid="{00000000-0005-0000-0000-000069000000}"/>
    <cellStyle name="60% - Énfasis6 3" xfId="431" xr:uid="{00000000-0005-0000-0000-00006A000000}"/>
    <cellStyle name="60% - Énfasis6 4" xfId="723" xr:uid="{00000000-0005-0000-0000-00006B000000}"/>
    <cellStyle name="Buena 2" xfId="326" xr:uid="{00000000-0005-0000-0000-00006C000000}"/>
    <cellStyle name="Cálculo" xfId="28" builtinId="22" customBuiltin="1"/>
    <cellStyle name="Cálculo 2" xfId="69" xr:uid="{00000000-0005-0000-0000-00006E000000}"/>
    <cellStyle name="Cálculo 2 2" xfId="327" xr:uid="{00000000-0005-0000-0000-00006F000000}"/>
    <cellStyle name="Cálculo 2 3" xfId="492" xr:uid="{00000000-0005-0000-0000-000070000000}"/>
    <cellStyle name="Celda de comprobación" xfId="30" builtinId="23" customBuiltin="1"/>
    <cellStyle name="Celda de comprobación 2" xfId="68" xr:uid="{00000000-0005-0000-0000-000072000000}"/>
    <cellStyle name="Celda de comprobación 2 2" xfId="328" xr:uid="{00000000-0005-0000-0000-000073000000}"/>
    <cellStyle name="Celda de comprobación 2 3" xfId="491" xr:uid="{00000000-0005-0000-0000-000074000000}"/>
    <cellStyle name="Celda vinculada" xfId="29" builtinId="24" customBuiltin="1"/>
    <cellStyle name="Celda vinculada 2" xfId="171" xr:uid="{00000000-0005-0000-0000-000076000000}"/>
    <cellStyle name="Celda vinculada 2 2" xfId="329" xr:uid="{00000000-0005-0000-0000-000077000000}"/>
    <cellStyle name="Celda vinculada 2 3" xfId="536" xr:uid="{00000000-0005-0000-0000-000078000000}"/>
    <cellStyle name="Encabezado 1" xfId="20" builtinId="16" customBuiltin="1"/>
    <cellStyle name="Encabezado 4" xfId="23" builtinId="19" customBuiltin="1"/>
    <cellStyle name="Encabezado 4 2" xfId="201" xr:uid="{00000000-0005-0000-0000-00007B000000}"/>
    <cellStyle name="Encabezado 4 2 2" xfId="330" xr:uid="{00000000-0005-0000-0000-00007C000000}"/>
    <cellStyle name="Encabezado 4 2 3" xfId="546" xr:uid="{00000000-0005-0000-0000-00007D000000}"/>
    <cellStyle name="Énfasis1" xfId="35" builtinId="29" customBuiltin="1"/>
    <cellStyle name="Énfasis1 2" xfId="224" xr:uid="{00000000-0005-0000-0000-00007F000000}"/>
    <cellStyle name="Énfasis1 2 2" xfId="331" xr:uid="{00000000-0005-0000-0000-000080000000}"/>
    <cellStyle name="Énfasis1 2 3" xfId="557" xr:uid="{00000000-0005-0000-0000-000081000000}"/>
    <cellStyle name="Énfasis2" xfId="39" builtinId="33" customBuiltin="1"/>
    <cellStyle name="Énfasis2 2" xfId="184" xr:uid="{00000000-0005-0000-0000-000083000000}"/>
    <cellStyle name="Énfasis2 2 2" xfId="332" xr:uid="{00000000-0005-0000-0000-000084000000}"/>
    <cellStyle name="Énfasis2 2 3" xfId="539" xr:uid="{00000000-0005-0000-0000-000085000000}"/>
    <cellStyle name="Énfasis3" xfId="43" builtinId="37" customBuiltin="1"/>
    <cellStyle name="Énfasis3 2" xfId="173" xr:uid="{00000000-0005-0000-0000-000087000000}"/>
    <cellStyle name="Énfasis3 2 2" xfId="333" xr:uid="{00000000-0005-0000-0000-000088000000}"/>
    <cellStyle name="Énfasis3 2 3" xfId="537" xr:uid="{00000000-0005-0000-0000-000089000000}"/>
    <cellStyle name="Énfasis4" xfId="47" builtinId="41" customBuiltin="1"/>
    <cellStyle name="Énfasis4 2" xfId="188" xr:uid="{00000000-0005-0000-0000-00008B000000}"/>
    <cellStyle name="Énfasis4 2 2" xfId="334" xr:uid="{00000000-0005-0000-0000-00008C000000}"/>
    <cellStyle name="Énfasis4 2 3" xfId="541" xr:uid="{00000000-0005-0000-0000-00008D000000}"/>
    <cellStyle name="Énfasis5" xfId="51" builtinId="45" customBuiltin="1"/>
    <cellStyle name="Énfasis5 2" xfId="265" xr:uid="{00000000-0005-0000-0000-00008F000000}"/>
    <cellStyle name="Énfasis5 2 2" xfId="335" xr:uid="{00000000-0005-0000-0000-000090000000}"/>
    <cellStyle name="Énfasis5 2 3" xfId="577" xr:uid="{00000000-0005-0000-0000-000091000000}"/>
    <cellStyle name="Énfasis6" xfId="55" builtinId="49" customBuiltin="1"/>
    <cellStyle name="Énfasis6 2" xfId="248" xr:uid="{00000000-0005-0000-0000-000093000000}"/>
    <cellStyle name="Énfasis6 2 2" xfId="336" xr:uid="{00000000-0005-0000-0000-000094000000}"/>
    <cellStyle name="Énfasis6 2 3" xfId="566" xr:uid="{00000000-0005-0000-0000-000095000000}"/>
    <cellStyle name="Entrada" xfId="26" builtinId="20" customBuiltin="1"/>
    <cellStyle name="Entrada 2" xfId="181" xr:uid="{00000000-0005-0000-0000-000097000000}"/>
    <cellStyle name="Entrada 2 2" xfId="337" xr:uid="{00000000-0005-0000-0000-000098000000}"/>
    <cellStyle name="Entrada 2 3" xfId="538" xr:uid="{00000000-0005-0000-0000-000099000000}"/>
    <cellStyle name="Euro" xfId="338" xr:uid="{00000000-0005-0000-0000-00009A000000}"/>
    <cellStyle name="Euro 2" xfId="339" xr:uid="{00000000-0005-0000-0000-00009B000000}"/>
    <cellStyle name="Euro 2 2" xfId="396" xr:uid="{00000000-0005-0000-0000-00009C000000}"/>
    <cellStyle name="Euro 3" xfId="395" xr:uid="{00000000-0005-0000-0000-00009D000000}"/>
    <cellStyle name="Excel Built-in Normal 2" xfId="119" xr:uid="{00000000-0005-0000-0000-00009E000000}"/>
    <cellStyle name="Excel Built-in Normal 2 2" xfId="244" xr:uid="{00000000-0005-0000-0000-00009F000000}"/>
    <cellStyle name="F2" xfId="340" xr:uid="{00000000-0005-0000-0000-0000A0000000}"/>
    <cellStyle name="F3" xfId="341" xr:uid="{00000000-0005-0000-0000-0000A1000000}"/>
    <cellStyle name="F4" xfId="342" xr:uid="{00000000-0005-0000-0000-0000A2000000}"/>
    <cellStyle name="F5" xfId="343" xr:uid="{00000000-0005-0000-0000-0000A3000000}"/>
    <cellStyle name="F6" xfId="344" xr:uid="{00000000-0005-0000-0000-0000A4000000}"/>
    <cellStyle name="F7" xfId="345" xr:uid="{00000000-0005-0000-0000-0000A5000000}"/>
    <cellStyle name="F8" xfId="346" xr:uid="{00000000-0005-0000-0000-0000A6000000}"/>
    <cellStyle name="Hipervínculo 2" xfId="192" xr:uid="{00000000-0005-0000-0000-0000A7000000}"/>
    <cellStyle name="Incorrecto" xfId="24" builtinId="27" customBuiltin="1"/>
    <cellStyle name="Incorrecto 2" xfId="254" xr:uid="{00000000-0005-0000-0000-0000A9000000}"/>
    <cellStyle name="Incorrecto 2 2" xfId="347" xr:uid="{00000000-0005-0000-0000-0000AA000000}"/>
    <cellStyle name="Incorrecto 2 3" xfId="572" xr:uid="{00000000-0005-0000-0000-0000AB000000}"/>
    <cellStyle name="KPT04" xfId="6" xr:uid="{00000000-0005-0000-0000-0000AC000000}"/>
    <cellStyle name="KPT04 2" xfId="9" xr:uid="{00000000-0005-0000-0000-0000AD000000}"/>
    <cellStyle name="KPT04 2 2" xfId="261" xr:uid="{00000000-0005-0000-0000-0000AE000000}"/>
    <cellStyle name="KPT04 3" xfId="263" xr:uid="{00000000-0005-0000-0000-0000AF000000}"/>
    <cellStyle name="KPT04_Main" xfId="14" xr:uid="{00000000-0005-0000-0000-0000B0000000}"/>
    <cellStyle name="Millares" xfId="1" builtinId="3"/>
    <cellStyle name="Millares [0]" xfId="2" builtinId="6"/>
    <cellStyle name="Millares [0] 10" xfId="708" xr:uid="{00000000-0005-0000-0000-0000B3000000}"/>
    <cellStyle name="Millares [0] 10 2" xfId="934" xr:uid="{00000000-0005-0000-0000-0000B4000000}"/>
    <cellStyle name="Millares [0] 11" xfId="820" xr:uid="{00000000-0005-0000-0000-0000B5000000}"/>
    <cellStyle name="Millares [0] 2" xfId="97" xr:uid="{00000000-0005-0000-0000-0000B6000000}"/>
    <cellStyle name="Millares [0] 2 2" xfId="160" xr:uid="{00000000-0005-0000-0000-0000B7000000}"/>
    <cellStyle name="Millares [0] 2 2 2" xfId="531" xr:uid="{00000000-0005-0000-0000-0000B8000000}"/>
    <cellStyle name="Millares [0] 2 2 2 2" xfId="785" xr:uid="{00000000-0005-0000-0000-0000B9000000}"/>
    <cellStyle name="Millares [0] 2 2 2 2 2" xfId="999" xr:uid="{00000000-0005-0000-0000-0000BA000000}"/>
    <cellStyle name="Millares [0] 2 2 2 3" xfId="884" xr:uid="{00000000-0005-0000-0000-0000BB000000}"/>
    <cellStyle name="Millares [0] 2 2 3" xfId="456" xr:uid="{00000000-0005-0000-0000-0000BC000000}"/>
    <cellStyle name="Millares [0] 2 2 3 2" xfId="756" xr:uid="{00000000-0005-0000-0000-0000BD000000}"/>
    <cellStyle name="Millares [0] 2 2 3 2 2" xfId="970" xr:uid="{00000000-0005-0000-0000-0000BE000000}"/>
    <cellStyle name="Millares [0] 2 2 3 3" xfId="855" xr:uid="{00000000-0005-0000-0000-0000BF000000}"/>
    <cellStyle name="Millares [0] 2 2 4" xfId="734" xr:uid="{00000000-0005-0000-0000-0000C0000000}"/>
    <cellStyle name="Millares [0] 2 2 4 2" xfId="949" xr:uid="{00000000-0005-0000-0000-0000C1000000}"/>
    <cellStyle name="Millares [0] 2 2 5" xfId="834" xr:uid="{00000000-0005-0000-0000-0000C2000000}"/>
    <cellStyle name="Millares [0] 2 3" xfId="501" xr:uid="{00000000-0005-0000-0000-0000C3000000}"/>
    <cellStyle name="Millares [0] 2 3 2" xfId="770" xr:uid="{00000000-0005-0000-0000-0000C4000000}"/>
    <cellStyle name="Millares [0] 2 3 2 2" xfId="984" xr:uid="{00000000-0005-0000-0000-0000C5000000}"/>
    <cellStyle name="Millares [0] 2 3 3" xfId="869" xr:uid="{00000000-0005-0000-0000-0000C6000000}"/>
    <cellStyle name="Millares [0] 2 4" xfId="439" xr:uid="{00000000-0005-0000-0000-0000C7000000}"/>
    <cellStyle name="Millares [0] 2 4 2" xfId="748" xr:uid="{00000000-0005-0000-0000-0000C8000000}"/>
    <cellStyle name="Millares [0] 2 4 2 2" xfId="962" xr:uid="{00000000-0005-0000-0000-0000C9000000}"/>
    <cellStyle name="Millares [0] 2 4 3" xfId="847" xr:uid="{00000000-0005-0000-0000-0000CA000000}"/>
    <cellStyle name="Millares [0] 2 5" xfId="724" xr:uid="{00000000-0005-0000-0000-0000CB000000}"/>
    <cellStyle name="Millares [0] 2 5 2" xfId="939" xr:uid="{00000000-0005-0000-0000-0000CC000000}"/>
    <cellStyle name="Millares [0] 2 6" xfId="824" xr:uid="{00000000-0005-0000-0000-0000CD000000}"/>
    <cellStyle name="Millares [0] 3" xfId="123" xr:uid="{00000000-0005-0000-0000-0000CE000000}"/>
    <cellStyle name="Millares [0] 3 2" xfId="518" xr:uid="{00000000-0005-0000-0000-0000CF000000}"/>
    <cellStyle name="Millares [0] 3 2 2" xfId="778" xr:uid="{00000000-0005-0000-0000-0000D0000000}"/>
    <cellStyle name="Millares [0] 3 2 2 2" xfId="992" xr:uid="{00000000-0005-0000-0000-0000D1000000}"/>
    <cellStyle name="Millares [0] 3 2 3" xfId="877" xr:uid="{00000000-0005-0000-0000-0000D2000000}"/>
    <cellStyle name="Millares [0] 3 3" xfId="450" xr:uid="{00000000-0005-0000-0000-0000D3000000}"/>
    <cellStyle name="Millares [0] 3 3 2" xfId="754" xr:uid="{00000000-0005-0000-0000-0000D4000000}"/>
    <cellStyle name="Millares [0] 3 3 2 2" xfId="968" xr:uid="{00000000-0005-0000-0000-0000D5000000}"/>
    <cellStyle name="Millares [0] 3 3 3" xfId="853" xr:uid="{00000000-0005-0000-0000-0000D6000000}"/>
    <cellStyle name="Millares [0] 3 4" xfId="731" xr:uid="{00000000-0005-0000-0000-0000D7000000}"/>
    <cellStyle name="Millares [0] 3 4 2" xfId="946" xr:uid="{00000000-0005-0000-0000-0000D8000000}"/>
    <cellStyle name="Millares [0] 3 5" xfId="831" xr:uid="{00000000-0005-0000-0000-0000D9000000}"/>
    <cellStyle name="Millares [0] 4" xfId="164" xr:uid="{00000000-0005-0000-0000-0000DA000000}"/>
    <cellStyle name="Millares [0] 4 2" xfId="534" xr:uid="{00000000-0005-0000-0000-0000DB000000}"/>
    <cellStyle name="Millares [0] 4 2 2" xfId="786" xr:uid="{00000000-0005-0000-0000-0000DC000000}"/>
    <cellStyle name="Millares [0] 4 2 2 2" xfId="1000" xr:uid="{00000000-0005-0000-0000-0000DD000000}"/>
    <cellStyle name="Millares [0] 4 2 3" xfId="885" xr:uid="{00000000-0005-0000-0000-0000DE000000}"/>
    <cellStyle name="Millares [0] 4 3" xfId="459" xr:uid="{00000000-0005-0000-0000-0000DF000000}"/>
    <cellStyle name="Millares [0] 4 3 2" xfId="757" xr:uid="{00000000-0005-0000-0000-0000E0000000}"/>
    <cellStyle name="Millares [0] 4 3 2 2" xfId="971" xr:uid="{00000000-0005-0000-0000-0000E1000000}"/>
    <cellStyle name="Millares [0] 4 3 3" xfId="856" xr:uid="{00000000-0005-0000-0000-0000E2000000}"/>
    <cellStyle name="Millares [0] 4 4" xfId="735" xr:uid="{00000000-0005-0000-0000-0000E3000000}"/>
    <cellStyle name="Millares [0] 4 4 2" xfId="950" xr:uid="{00000000-0005-0000-0000-0000E4000000}"/>
    <cellStyle name="Millares [0] 4 5" xfId="835" xr:uid="{00000000-0005-0000-0000-0000E5000000}"/>
    <cellStyle name="Millares [0] 5" xfId="415" xr:uid="{00000000-0005-0000-0000-0000E6000000}"/>
    <cellStyle name="Millares [0] 5 2" xfId="741" xr:uid="{00000000-0005-0000-0000-0000E7000000}"/>
    <cellStyle name="Millares [0] 5 2 2" xfId="955" xr:uid="{00000000-0005-0000-0000-0000E8000000}"/>
    <cellStyle name="Millares [0] 5 3" xfId="840" xr:uid="{00000000-0005-0000-0000-0000E9000000}"/>
    <cellStyle name="Millares [0] 6" xfId="464" xr:uid="{00000000-0005-0000-0000-0000EA000000}"/>
    <cellStyle name="Millares [0] 6 2" xfId="760" xr:uid="{00000000-0005-0000-0000-0000EB000000}"/>
    <cellStyle name="Millares [0] 6 2 2" xfId="974" xr:uid="{00000000-0005-0000-0000-0000EC000000}"/>
    <cellStyle name="Millares [0] 6 3" xfId="859" xr:uid="{00000000-0005-0000-0000-0000ED000000}"/>
    <cellStyle name="Millares [0] 7" xfId="680" xr:uid="{00000000-0005-0000-0000-0000EE000000}"/>
    <cellStyle name="Millares [0] 7 2" xfId="818" xr:uid="{00000000-0005-0000-0000-0000EF000000}"/>
    <cellStyle name="Millares [0] 7 2 2" xfId="1032" xr:uid="{00000000-0005-0000-0000-0000F0000000}"/>
    <cellStyle name="Millares [0] 7 3" xfId="918" xr:uid="{00000000-0005-0000-0000-0000F1000000}"/>
    <cellStyle name="Millares [0] 8" xfId="693" xr:uid="{00000000-0005-0000-0000-0000F2000000}"/>
    <cellStyle name="Millares [0] 8 2" xfId="927" xr:uid="{00000000-0005-0000-0000-0000F3000000}"/>
    <cellStyle name="Millares [0] 9" xfId="711" xr:uid="{00000000-0005-0000-0000-0000F4000000}"/>
    <cellStyle name="Millares [0] 9 2" xfId="936" xr:uid="{00000000-0005-0000-0000-0000F5000000}"/>
    <cellStyle name="Millares 10" xfId="474" xr:uid="{00000000-0005-0000-0000-0000F6000000}"/>
    <cellStyle name="Millares 10 2" xfId="764" xr:uid="{00000000-0005-0000-0000-0000F7000000}"/>
    <cellStyle name="Millares 10 2 2" xfId="978" xr:uid="{00000000-0005-0000-0000-0000F8000000}"/>
    <cellStyle name="Millares 10 3" xfId="863" xr:uid="{00000000-0005-0000-0000-0000F9000000}"/>
    <cellStyle name="Millares 11" xfId="618" xr:uid="{00000000-0005-0000-0000-0000FA000000}"/>
    <cellStyle name="Millares 11 2" xfId="801" xr:uid="{00000000-0005-0000-0000-0000FB000000}"/>
    <cellStyle name="Millares 11 2 2" xfId="1015" xr:uid="{00000000-0005-0000-0000-0000FC000000}"/>
    <cellStyle name="Millares 11 3" xfId="901" xr:uid="{00000000-0005-0000-0000-0000FD000000}"/>
    <cellStyle name="Millares 12" xfId="514" xr:uid="{00000000-0005-0000-0000-0000FE000000}"/>
    <cellStyle name="Millares 12 2" xfId="774" xr:uid="{00000000-0005-0000-0000-0000FF000000}"/>
    <cellStyle name="Millares 12 2 2" xfId="988" xr:uid="{00000000-0005-0000-0000-000000010000}"/>
    <cellStyle name="Millares 12 3" xfId="873" xr:uid="{00000000-0005-0000-0000-000001010000}"/>
    <cellStyle name="Millares 13" xfId="590" xr:uid="{00000000-0005-0000-0000-000002010000}"/>
    <cellStyle name="Millares 13 2" xfId="791" xr:uid="{00000000-0005-0000-0000-000003010000}"/>
    <cellStyle name="Millares 13 2 2" xfId="1005" xr:uid="{00000000-0005-0000-0000-000004010000}"/>
    <cellStyle name="Millares 13 3" xfId="890" xr:uid="{00000000-0005-0000-0000-000005010000}"/>
    <cellStyle name="Millares 14" xfId="472" xr:uid="{00000000-0005-0000-0000-000006010000}"/>
    <cellStyle name="Millares 14 2" xfId="763" xr:uid="{00000000-0005-0000-0000-000007010000}"/>
    <cellStyle name="Millares 14 2 2" xfId="977" xr:uid="{00000000-0005-0000-0000-000008010000}"/>
    <cellStyle name="Millares 14 3" xfId="862" xr:uid="{00000000-0005-0000-0000-000009010000}"/>
    <cellStyle name="Millares 15" xfId="628" xr:uid="{00000000-0005-0000-0000-00000A010000}"/>
    <cellStyle name="Millares 15 2" xfId="804" xr:uid="{00000000-0005-0000-0000-00000B010000}"/>
    <cellStyle name="Millares 15 2 2" xfId="1018" xr:uid="{00000000-0005-0000-0000-00000C010000}"/>
    <cellStyle name="Millares 15 3" xfId="904" xr:uid="{00000000-0005-0000-0000-00000D010000}"/>
    <cellStyle name="Millares 16" xfId="613" xr:uid="{00000000-0005-0000-0000-00000E010000}"/>
    <cellStyle name="Millares 16 2" xfId="798" xr:uid="{00000000-0005-0000-0000-00000F010000}"/>
    <cellStyle name="Millares 16 2 2" xfId="1012" xr:uid="{00000000-0005-0000-0000-000010010000}"/>
    <cellStyle name="Millares 16 3" xfId="898" xr:uid="{00000000-0005-0000-0000-000011010000}"/>
    <cellStyle name="Millares 17" xfId="609" xr:uid="{00000000-0005-0000-0000-000012010000}"/>
    <cellStyle name="Millares 17 2" xfId="796" xr:uid="{00000000-0005-0000-0000-000013010000}"/>
    <cellStyle name="Millares 17 2 2" xfId="1010" xr:uid="{00000000-0005-0000-0000-000014010000}"/>
    <cellStyle name="Millares 17 3" xfId="895" xr:uid="{00000000-0005-0000-0000-000015010000}"/>
    <cellStyle name="Millares 18" xfId="665" xr:uid="{00000000-0005-0000-0000-000016010000}"/>
    <cellStyle name="Millares 18 2" xfId="816" xr:uid="{00000000-0005-0000-0000-000017010000}"/>
    <cellStyle name="Millares 18 2 2" xfId="1030" xr:uid="{00000000-0005-0000-0000-000018010000}"/>
    <cellStyle name="Millares 18 3" xfId="916" xr:uid="{00000000-0005-0000-0000-000019010000}"/>
    <cellStyle name="Millares 19" xfId="597" xr:uid="{00000000-0005-0000-0000-00001A010000}"/>
    <cellStyle name="Millares 19 2" xfId="793" xr:uid="{00000000-0005-0000-0000-00001B010000}"/>
    <cellStyle name="Millares 19 2 2" xfId="1007" xr:uid="{00000000-0005-0000-0000-00001C010000}"/>
    <cellStyle name="Millares 19 3" xfId="892" xr:uid="{00000000-0005-0000-0000-00001D010000}"/>
    <cellStyle name="Millares 2" xfId="5" xr:uid="{00000000-0005-0000-0000-00001E010000}"/>
    <cellStyle name="Millares 2 2" xfId="8" xr:uid="{00000000-0005-0000-0000-00001F010000}"/>
    <cellStyle name="Millares 2 2 2" xfId="12" xr:uid="{00000000-0005-0000-0000-000020010000}"/>
    <cellStyle name="Millares 2 2 2 2" xfId="95" xr:uid="{00000000-0005-0000-0000-000021010000}"/>
    <cellStyle name="Millares 2 2 2 2 2" xfId="159" xr:uid="{00000000-0005-0000-0000-000022010000}"/>
    <cellStyle name="Millares 2 2 2 2 2 2" xfId="530" xr:uid="{00000000-0005-0000-0000-000023010000}"/>
    <cellStyle name="Millares 2 2 2 2 2 2 2" xfId="784" xr:uid="{00000000-0005-0000-0000-000024010000}"/>
    <cellStyle name="Millares 2 2 2 2 2 2 2 2" xfId="998" xr:uid="{00000000-0005-0000-0000-000025010000}"/>
    <cellStyle name="Millares 2 2 2 2 2 2 3" xfId="883" xr:uid="{00000000-0005-0000-0000-000026010000}"/>
    <cellStyle name="Millares 2 2 2 2 2 3" xfId="455" xr:uid="{00000000-0005-0000-0000-000027010000}"/>
    <cellStyle name="Millares 2 2 2 2 2 3 2" xfId="755" xr:uid="{00000000-0005-0000-0000-000028010000}"/>
    <cellStyle name="Millares 2 2 2 2 2 3 2 2" xfId="969" xr:uid="{00000000-0005-0000-0000-000029010000}"/>
    <cellStyle name="Millares 2 2 2 2 2 3 3" xfId="854" xr:uid="{00000000-0005-0000-0000-00002A010000}"/>
    <cellStyle name="Millares 2 2 2 2 2 4" xfId="733" xr:uid="{00000000-0005-0000-0000-00002B010000}"/>
    <cellStyle name="Millares 2 2 2 2 2 4 2" xfId="948" xr:uid="{00000000-0005-0000-0000-00002C010000}"/>
    <cellStyle name="Millares 2 2 2 2 2 5" xfId="833" xr:uid="{00000000-0005-0000-0000-00002D010000}"/>
    <cellStyle name="Millares 2 2 2 2 3" xfId="500" xr:uid="{00000000-0005-0000-0000-00002E010000}"/>
    <cellStyle name="Millares 2 2 2 2 3 2" xfId="769" xr:uid="{00000000-0005-0000-0000-00002F010000}"/>
    <cellStyle name="Millares 2 2 2 2 3 2 2" xfId="983" xr:uid="{00000000-0005-0000-0000-000030010000}"/>
    <cellStyle name="Millares 2 2 2 2 3 3" xfId="868" xr:uid="{00000000-0005-0000-0000-000031010000}"/>
    <cellStyle name="Millares 2 2 2 2 4" xfId="437" xr:uid="{00000000-0005-0000-0000-000032010000}"/>
    <cellStyle name="Millares 2 2 2 2 4 2" xfId="747" xr:uid="{00000000-0005-0000-0000-000033010000}"/>
    <cellStyle name="Millares 2 2 2 2 4 2 2" xfId="961" xr:uid="{00000000-0005-0000-0000-000034010000}"/>
    <cellStyle name="Millares 2 2 2 2 4 3" xfId="846" xr:uid="{00000000-0005-0000-0000-000035010000}"/>
    <cellStyle name="Millares 2 2 2 2 5" xfId="688" xr:uid="{00000000-0005-0000-0000-000036010000}"/>
    <cellStyle name="Millares 2 2 2 2 5 2" xfId="922" xr:uid="{00000000-0005-0000-0000-000037010000}"/>
    <cellStyle name="Millares 2 2 2 2 6" xfId="823" xr:uid="{00000000-0005-0000-0000-000038010000}"/>
    <cellStyle name="Millares 2 2 2 3" xfId="470" xr:uid="{00000000-0005-0000-0000-000039010000}"/>
    <cellStyle name="Millares 2 2 2 3 2" xfId="761" xr:uid="{00000000-0005-0000-0000-00003A010000}"/>
    <cellStyle name="Millares 2 2 2 3 2 2" xfId="975" xr:uid="{00000000-0005-0000-0000-00003B010000}"/>
    <cellStyle name="Millares 2 2 2 3 3" xfId="860" xr:uid="{00000000-0005-0000-0000-00003C010000}"/>
    <cellStyle name="Millares 2 2 2 4" xfId="420" xr:uid="{00000000-0005-0000-0000-00003D010000}"/>
    <cellStyle name="Millares 2 2 2 4 2" xfId="744" xr:uid="{00000000-0005-0000-0000-00003E010000}"/>
    <cellStyle name="Millares 2 2 2 4 2 2" xfId="958" xr:uid="{00000000-0005-0000-0000-00003F010000}"/>
    <cellStyle name="Millares 2 2 2 4 3" xfId="843" xr:uid="{00000000-0005-0000-0000-000040010000}"/>
    <cellStyle name="Millares 2 2 2 5" xfId="822" xr:uid="{00000000-0005-0000-0000-000041010000}"/>
    <cellStyle name="Millares 2 2 2 6" xfId="1036" xr:uid="{00000000-0005-0000-0000-000042010000}"/>
    <cellStyle name="Millares 2 2 3" xfId="418" xr:uid="{00000000-0005-0000-0000-000043010000}"/>
    <cellStyle name="Millares 2 2 3 2" xfId="743" xr:uid="{00000000-0005-0000-0000-000044010000}"/>
    <cellStyle name="Millares 2 2 3 2 2" xfId="957" xr:uid="{00000000-0005-0000-0000-000045010000}"/>
    <cellStyle name="Millares 2 2 3 3" xfId="842" xr:uid="{00000000-0005-0000-0000-000046010000}"/>
    <cellStyle name="Millares 2 2 4" xfId="397" xr:uid="{00000000-0005-0000-0000-000047010000}"/>
    <cellStyle name="Millares 2 3" xfId="348" xr:uid="{00000000-0005-0000-0000-000048010000}"/>
    <cellStyle name="Millares 2 3 2" xfId="594" xr:uid="{00000000-0005-0000-0000-000049010000}"/>
    <cellStyle name="Millares 2 3 3" xfId="417" xr:uid="{00000000-0005-0000-0000-00004A010000}"/>
    <cellStyle name="Millares 2 3 3 2" xfId="742" xr:uid="{00000000-0005-0000-0000-00004B010000}"/>
    <cellStyle name="Millares 2 3 3 2 2" xfId="956" xr:uid="{00000000-0005-0000-0000-00004C010000}"/>
    <cellStyle name="Millares 2 3 3 3" xfId="841" xr:uid="{00000000-0005-0000-0000-00004D010000}"/>
    <cellStyle name="Millares 2 4" xfId="103" xr:uid="{00000000-0005-0000-0000-00004E010000}"/>
    <cellStyle name="Millares 2 4 2" xfId="166" xr:uid="{00000000-0005-0000-0000-00004F010000}"/>
    <cellStyle name="Millares 2 4 2 2" xfId="535" xr:uid="{00000000-0005-0000-0000-000050010000}"/>
    <cellStyle name="Millares 2 4 2 2 2" xfId="787" xr:uid="{00000000-0005-0000-0000-000051010000}"/>
    <cellStyle name="Millares 2 4 2 2 2 2" xfId="1001" xr:uid="{00000000-0005-0000-0000-000052010000}"/>
    <cellStyle name="Millares 2 4 2 2 3" xfId="886" xr:uid="{00000000-0005-0000-0000-000053010000}"/>
    <cellStyle name="Millares 2 4 2 3" xfId="460" xr:uid="{00000000-0005-0000-0000-000054010000}"/>
    <cellStyle name="Millares 2 4 2 3 2" xfId="758" xr:uid="{00000000-0005-0000-0000-000055010000}"/>
    <cellStyle name="Millares 2 4 2 3 2 2" xfId="972" xr:uid="{00000000-0005-0000-0000-000056010000}"/>
    <cellStyle name="Millares 2 4 2 3 3" xfId="857" xr:uid="{00000000-0005-0000-0000-000057010000}"/>
    <cellStyle name="Millares 2 4 2 4" xfId="736" xr:uid="{00000000-0005-0000-0000-000058010000}"/>
    <cellStyle name="Millares 2 4 2 4 2" xfId="951" xr:uid="{00000000-0005-0000-0000-000059010000}"/>
    <cellStyle name="Millares 2 4 2 5" xfId="836" xr:uid="{00000000-0005-0000-0000-00005A010000}"/>
    <cellStyle name="Millares 2 4 3" xfId="505" xr:uid="{00000000-0005-0000-0000-00005B010000}"/>
    <cellStyle name="Millares 2 4 3 2" xfId="771" xr:uid="{00000000-0005-0000-0000-00005C010000}"/>
    <cellStyle name="Millares 2 4 3 2 2" xfId="985" xr:uid="{00000000-0005-0000-0000-00005D010000}"/>
    <cellStyle name="Millares 2 4 3 3" xfId="870" xr:uid="{00000000-0005-0000-0000-00005E010000}"/>
    <cellStyle name="Millares 2 4 4" xfId="443" xr:uid="{00000000-0005-0000-0000-00005F010000}"/>
    <cellStyle name="Millares 2 4 4 2" xfId="749" xr:uid="{00000000-0005-0000-0000-000060010000}"/>
    <cellStyle name="Millares 2 4 4 2 2" xfId="963" xr:uid="{00000000-0005-0000-0000-000061010000}"/>
    <cellStyle name="Millares 2 4 4 3" xfId="848" xr:uid="{00000000-0005-0000-0000-000062010000}"/>
    <cellStyle name="Millares 2 4 5" xfId="726" xr:uid="{00000000-0005-0000-0000-000063010000}"/>
    <cellStyle name="Millares 2 4 5 2" xfId="941" xr:uid="{00000000-0005-0000-0000-000064010000}"/>
    <cellStyle name="Millares 2 4 6" xfId="826" xr:uid="{00000000-0005-0000-0000-000065010000}"/>
    <cellStyle name="Millares 2 5" xfId="714" xr:uid="{00000000-0005-0000-0000-000066010000}"/>
    <cellStyle name="Millares 2 5 2" xfId="937" xr:uid="{00000000-0005-0000-0000-000067010000}"/>
    <cellStyle name="Millares 20" xfId="631" xr:uid="{00000000-0005-0000-0000-000068010000}"/>
    <cellStyle name="Millares 20 2" xfId="805" xr:uid="{00000000-0005-0000-0000-000069010000}"/>
    <cellStyle name="Millares 20 2 2" xfId="1019" xr:uid="{00000000-0005-0000-0000-00006A010000}"/>
    <cellStyle name="Millares 20 3" xfId="905" xr:uid="{00000000-0005-0000-0000-00006B010000}"/>
    <cellStyle name="Millares 21" xfId="614" xr:uid="{00000000-0005-0000-0000-00006C010000}"/>
    <cellStyle name="Millares 21 2" xfId="799" xr:uid="{00000000-0005-0000-0000-00006D010000}"/>
    <cellStyle name="Millares 21 2 2" xfId="1013" xr:uid="{00000000-0005-0000-0000-00006E010000}"/>
    <cellStyle name="Millares 21 3" xfId="899" xr:uid="{00000000-0005-0000-0000-00006F010000}"/>
    <cellStyle name="Millares 22" xfId="582" xr:uid="{00000000-0005-0000-0000-000070010000}"/>
    <cellStyle name="Millares 22 2" xfId="788" xr:uid="{00000000-0005-0000-0000-000071010000}"/>
    <cellStyle name="Millares 22 2 2" xfId="1002" xr:uid="{00000000-0005-0000-0000-000072010000}"/>
    <cellStyle name="Millares 22 3" xfId="887" xr:uid="{00000000-0005-0000-0000-000073010000}"/>
    <cellStyle name="Millares 23" xfId="645" xr:uid="{00000000-0005-0000-0000-000074010000}"/>
    <cellStyle name="Millares 23 2" xfId="808" xr:uid="{00000000-0005-0000-0000-000075010000}"/>
    <cellStyle name="Millares 23 2 2" xfId="1022" xr:uid="{00000000-0005-0000-0000-000076010000}"/>
    <cellStyle name="Millares 23 3" xfId="908" xr:uid="{00000000-0005-0000-0000-000077010000}"/>
    <cellStyle name="Millares 24" xfId="593" xr:uid="{00000000-0005-0000-0000-000078010000}"/>
    <cellStyle name="Millares 24 2" xfId="792" xr:uid="{00000000-0005-0000-0000-000079010000}"/>
    <cellStyle name="Millares 24 2 2" xfId="1006" xr:uid="{00000000-0005-0000-0000-00007A010000}"/>
    <cellStyle name="Millares 24 3" xfId="891" xr:uid="{00000000-0005-0000-0000-00007B010000}"/>
    <cellStyle name="Millares 25" xfId="612" xr:uid="{00000000-0005-0000-0000-00007C010000}"/>
    <cellStyle name="Millares 25 2" xfId="797" xr:uid="{00000000-0005-0000-0000-00007D010000}"/>
    <cellStyle name="Millares 25 2 2" xfId="1011" xr:uid="{00000000-0005-0000-0000-00007E010000}"/>
    <cellStyle name="Millares 25 3" xfId="897" xr:uid="{00000000-0005-0000-0000-00007F010000}"/>
    <cellStyle name="Millares 26" xfId="525" xr:uid="{00000000-0005-0000-0000-000080010000}"/>
    <cellStyle name="Millares 26 2" xfId="780" xr:uid="{00000000-0005-0000-0000-000081010000}"/>
    <cellStyle name="Millares 26 2 2" xfId="994" xr:uid="{00000000-0005-0000-0000-000082010000}"/>
    <cellStyle name="Millares 26 3" xfId="879" xr:uid="{00000000-0005-0000-0000-000083010000}"/>
    <cellStyle name="Millares 27" xfId="615" xr:uid="{00000000-0005-0000-0000-000084010000}"/>
    <cellStyle name="Millares 27 2" xfId="800" xr:uid="{00000000-0005-0000-0000-000085010000}"/>
    <cellStyle name="Millares 27 2 2" xfId="1014" xr:uid="{00000000-0005-0000-0000-000086010000}"/>
    <cellStyle name="Millares 27 3" xfId="900" xr:uid="{00000000-0005-0000-0000-000087010000}"/>
    <cellStyle name="Millares 28" xfId="653" xr:uid="{00000000-0005-0000-0000-000088010000}"/>
    <cellStyle name="Millares 28 2" xfId="811" xr:uid="{00000000-0005-0000-0000-000089010000}"/>
    <cellStyle name="Millares 28 2 2" xfId="1025" xr:uid="{00000000-0005-0000-0000-00008A010000}"/>
    <cellStyle name="Millares 28 3" xfId="911" xr:uid="{00000000-0005-0000-0000-00008B010000}"/>
    <cellStyle name="Millares 29" xfId="606" xr:uid="{00000000-0005-0000-0000-00008C010000}"/>
    <cellStyle name="Millares 29 2" xfId="795" xr:uid="{00000000-0005-0000-0000-00008D010000}"/>
    <cellStyle name="Millares 29 2 2" xfId="1009" xr:uid="{00000000-0005-0000-0000-00008E010000}"/>
    <cellStyle name="Millares 29 3" xfId="894" xr:uid="{00000000-0005-0000-0000-00008F010000}"/>
    <cellStyle name="Millares 3" xfId="115" xr:uid="{00000000-0005-0000-0000-000090010000}"/>
    <cellStyle name="Millares 3 2" xfId="124" xr:uid="{00000000-0005-0000-0000-000091010000}"/>
    <cellStyle name="Millares 3 3" xfId="121" xr:uid="{00000000-0005-0000-0000-000092010000}"/>
    <cellStyle name="Millares 3 3 2" xfId="516" xr:uid="{00000000-0005-0000-0000-000093010000}"/>
    <cellStyle name="Millares 3 3 2 2" xfId="776" xr:uid="{00000000-0005-0000-0000-000094010000}"/>
    <cellStyle name="Millares 3 3 2 2 2" xfId="990" xr:uid="{00000000-0005-0000-0000-000095010000}"/>
    <cellStyle name="Millares 3 3 2 3" xfId="875" xr:uid="{00000000-0005-0000-0000-000096010000}"/>
    <cellStyle name="Millares 3 3 3" xfId="448" xr:uid="{00000000-0005-0000-0000-000097010000}"/>
    <cellStyle name="Millares 3 3 3 2" xfId="752" xr:uid="{00000000-0005-0000-0000-000098010000}"/>
    <cellStyle name="Millares 3 3 3 2 2" xfId="966" xr:uid="{00000000-0005-0000-0000-000099010000}"/>
    <cellStyle name="Millares 3 3 3 3" xfId="851" xr:uid="{00000000-0005-0000-0000-00009A010000}"/>
    <cellStyle name="Millares 3 3 4" xfId="729" xr:uid="{00000000-0005-0000-0000-00009B010000}"/>
    <cellStyle name="Millares 3 3 4 2" xfId="944" xr:uid="{00000000-0005-0000-0000-00009C010000}"/>
    <cellStyle name="Millares 3 3 5" xfId="829" xr:uid="{00000000-0005-0000-0000-00009D010000}"/>
    <cellStyle name="Millares 3 4" xfId="389" xr:uid="{00000000-0005-0000-0000-00009E010000}"/>
    <cellStyle name="Millares 3 4 2" xfId="605" xr:uid="{00000000-0005-0000-0000-00009F010000}"/>
    <cellStyle name="Millares 3 4 2 2" xfId="794" xr:uid="{00000000-0005-0000-0000-0000A0010000}"/>
    <cellStyle name="Millares 3 4 2 2 2" xfId="1008" xr:uid="{00000000-0005-0000-0000-0000A1010000}"/>
    <cellStyle name="Millares 3 4 2 3" xfId="893" xr:uid="{00000000-0005-0000-0000-0000A2010000}"/>
    <cellStyle name="Millares 3 4 3" xfId="739" xr:uid="{00000000-0005-0000-0000-0000A3010000}"/>
    <cellStyle name="Millares 3 4 3 2" xfId="953" xr:uid="{00000000-0005-0000-0000-0000A4010000}"/>
    <cellStyle name="Millares 3 5" xfId="512" xr:uid="{00000000-0005-0000-0000-0000A5010000}"/>
    <cellStyle name="Millares 3 5 2" xfId="773" xr:uid="{00000000-0005-0000-0000-0000A6010000}"/>
    <cellStyle name="Millares 3 5 2 2" xfId="987" xr:uid="{00000000-0005-0000-0000-0000A7010000}"/>
    <cellStyle name="Millares 3 5 3" xfId="872" xr:uid="{00000000-0005-0000-0000-0000A8010000}"/>
    <cellStyle name="Millares 3 6" xfId="444" xr:uid="{00000000-0005-0000-0000-0000A9010000}"/>
    <cellStyle name="Millares 3 6 2" xfId="750" xr:uid="{00000000-0005-0000-0000-0000AA010000}"/>
    <cellStyle name="Millares 3 6 2 2" xfId="964" xr:uid="{00000000-0005-0000-0000-0000AB010000}"/>
    <cellStyle name="Millares 3 6 3" xfId="849" xr:uid="{00000000-0005-0000-0000-0000AC010000}"/>
    <cellStyle name="Millares 3 7" xfId="727" xr:uid="{00000000-0005-0000-0000-0000AD010000}"/>
    <cellStyle name="Millares 3 7 2" xfId="942" xr:uid="{00000000-0005-0000-0000-0000AE010000}"/>
    <cellStyle name="Millares 3 8" xfId="827" xr:uid="{00000000-0005-0000-0000-0000AF010000}"/>
    <cellStyle name="Millares 30" xfId="649" xr:uid="{00000000-0005-0000-0000-0000B0010000}"/>
    <cellStyle name="Millares 30 2" xfId="809" xr:uid="{00000000-0005-0000-0000-0000B1010000}"/>
    <cellStyle name="Millares 30 2 2" xfId="1023" xr:uid="{00000000-0005-0000-0000-0000B2010000}"/>
    <cellStyle name="Millares 30 3" xfId="909" xr:uid="{00000000-0005-0000-0000-0000B3010000}"/>
    <cellStyle name="Millares 31" xfId="658" xr:uid="{00000000-0005-0000-0000-0000B4010000}"/>
    <cellStyle name="Millares 31 2" xfId="814" xr:uid="{00000000-0005-0000-0000-0000B5010000}"/>
    <cellStyle name="Millares 31 2 2" xfId="1028" xr:uid="{00000000-0005-0000-0000-0000B6010000}"/>
    <cellStyle name="Millares 31 3" xfId="914" xr:uid="{00000000-0005-0000-0000-0000B7010000}"/>
    <cellStyle name="Millares 32" xfId="671" xr:uid="{00000000-0005-0000-0000-0000B8010000}"/>
    <cellStyle name="Millares 32 2" xfId="817" xr:uid="{00000000-0005-0000-0000-0000B9010000}"/>
    <cellStyle name="Millares 32 2 2" xfId="1031" xr:uid="{00000000-0005-0000-0000-0000BA010000}"/>
    <cellStyle name="Millares 32 3" xfId="917" xr:uid="{00000000-0005-0000-0000-0000BB010000}"/>
    <cellStyle name="Millares 33" xfId="478" xr:uid="{00000000-0005-0000-0000-0000BC010000}"/>
    <cellStyle name="Millares 33 2" xfId="766" xr:uid="{00000000-0005-0000-0000-0000BD010000}"/>
    <cellStyle name="Millares 33 2 2" xfId="980" xr:uid="{00000000-0005-0000-0000-0000BE010000}"/>
    <cellStyle name="Millares 33 3" xfId="865" xr:uid="{00000000-0005-0000-0000-0000BF010000}"/>
    <cellStyle name="Millares 34" xfId="656" xr:uid="{00000000-0005-0000-0000-0000C0010000}"/>
    <cellStyle name="Millares 34 2" xfId="813" xr:uid="{00000000-0005-0000-0000-0000C1010000}"/>
    <cellStyle name="Millares 34 2 2" xfId="1027" xr:uid="{00000000-0005-0000-0000-0000C2010000}"/>
    <cellStyle name="Millares 34 3" xfId="913" xr:uid="{00000000-0005-0000-0000-0000C3010000}"/>
    <cellStyle name="Millares 35" xfId="636" xr:uid="{00000000-0005-0000-0000-0000C4010000}"/>
    <cellStyle name="Millares 35 2" xfId="806" xr:uid="{00000000-0005-0000-0000-0000C5010000}"/>
    <cellStyle name="Millares 35 2 2" xfId="1020" xr:uid="{00000000-0005-0000-0000-0000C6010000}"/>
    <cellStyle name="Millares 35 3" xfId="906" xr:uid="{00000000-0005-0000-0000-0000C7010000}"/>
    <cellStyle name="Millares 36" xfId="483" xr:uid="{00000000-0005-0000-0000-0000C8010000}"/>
    <cellStyle name="Millares 36 2" xfId="768" xr:uid="{00000000-0005-0000-0000-0000C9010000}"/>
    <cellStyle name="Millares 36 2 2" xfId="982" xr:uid="{00000000-0005-0000-0000-0000CA010000}"/>
    <cellStyle name="Millares 36 3" xfId="867" xr:uid="{00000000-0005-0000-0000-0000CB010000}"/>
    <cellStyle name="Millares 37" xfId="663" xr:uid="{00000000-0005-0000-0000-0000CC010000}"/>
    <cellStyle name="Millares 37 2" xfId="815" xr:uid="{00000000-0005-0000-0000-0000CD010000}"/>
    <cellStyle name="Millares 37 2 2" xfId="1029" xr:uid="{00000000-0005-0000-0000-0000CE010000}"/>
    <cellStyle name="Millares 37 3" xfId="915" xr:uid="{00000000-0005-0000-0000-0000CF010000}"/>
    <cellStyle name="Millares 38" xfId="651" xr:uid="{00000000-0005-0000-0000-0000D0010000}"/>
    <cellStyle name="Millares 38 2" xfId="810" xr:uid="{00000000-0005-0000-0000-0000D1010000}"/>
    <cellStyle name="Millares 38 2 2" xfId="1024" xr:uid="{00000000-0005-0000-0000-0000D2010000}"/>
    <cellStyle name="Millares 38 3" xfId="910" xr:uid="{00000000-0005-0000-0000-0000D3010000}"/>
    <cellStyle name="Millares 39" xfId="643" xr:uid="{00000000-0005-0000-0000-0000D4010000}"/>
    <cellStyle name="Millares 39 2" xfId="807" xr:uid="{00000000-0005-0000-0000-0000D5010000}"/>
    <cellStyle name="Millares 39 2 2" xfId="1021" xr:uid="{00000000-0005-0000-0000-0000D6010000}"/>
    <cellStyle name="Millares 39 3" xfId="907" xr:uid="{00000000-0005-0000-0000-0000D7010000}"/>
    <cellStyle name="Millares 4" xfId="120" xr:uid="{00000000-0005-0000-0000-0000D8010000}"/>
    <cellStyle name="Millares 4 2" xfId="515" xr:uid="{00000000-0005-0000-0000-0000D9010000}"/>
    <cellStyle name="Millares 4 2 2" xfId="775" xr:uid="{00000000-0005-0000-0000-0000DA010000}"/>
    <cellStyle name="Millares 4 2 2 2" xfId="989" xr:uid="{00000000-0005-0000-0000-0000DB010000}"/>
    <cellStyle name="Millares 4 2 3" xfId="874" xr:uid="{00000000-0005-0000-0000-0000DC010000}"/>
    <cellStyle name="Millares 4 3" xfId="447" xr:uid="{00000000-0005-0000-0000-0000DD010000}"/>
    <cellStyle name="Millares 4 3 2" xfId="751" xr:uid="{00000000-0005-0000-0000-0000DE010000}"/>
    <cellStyle name="Millares 4 3 2 2" xfId="965" xr:uid="{00000000-0005-0000-0000-0000DF010000}"/>
    <cellStyle name="Millares 4 3 3" xfId="850" xr:uid="{00000000-0005-0000-0000-0000E0010000}"/>
    <cellStyle name="Millares 4 4" xfId="728" xr:uid="{00000000-0005-0000-0000-0000E1010000}"/>
    <cellStyle name="Millares 4 4 2" xfId="943" xr:uid="{00000000-0005-0000-0000-0000E2010000}"/>
    <cellStyle name="Millares 4 5" xfId="828" xr:uid="{00000000-0005-0000-0000-0000E3010000}"/>
    <cellStyle name="Millares 40" xfId="627" xr:uid="{00000000-0005-0000-0000-0000E4010000}"/>
    <cellStyle name="Millares 40 2" xfId="803" xr:uid="{00000000-0005-0000-0000-0000E5010000}"/>
    <cellStyle name="Millares 40 2 2" xfId="1017" xr:uid="{00000000-0005-0000-0000-0000E6010000}"/>
    <cellStyle name="Millares 40 3" xfId="903" xr:uid="{00000000-0005-0000-0000-0000E7010000}"/>
    <cellStyle name="Millares 41" xfId="509" xr:uid="{00000000-0005-0000-0000-0000E8010000}"/>
    <cellStyle name="Millares 41 2" xfId="772" xr:uid="{00000000-0005-0000-0000-0000E9010000}"/>
    <cellStyle name="Millares 41 2 2" xfId="986" xr:uid="{00000000-0005-0000-0000-0000EA010000}"/>
    <cellStyle name="Millares 41 3" xfId="871" xr:uid="{00000000-0005-0000-0000-0000EB010000}"/>
    <cellStyle name="Millares 42" xfId="622" xr:uid="{00000000-0005-0000-0000-0000EC010000}"/>
    <cellStyle name="Millares 42 2" xfId="802" xr:uid="{00000000-0005-0000-0000-0000ED010000}"/>
    <cellStyle name="Millares 42 2 2" xfId="1016" xr:uid="{00000000-0005-0000-0000-0000EE010000}"/>
    <cellStyle name="Millares 42 3" xfId="902" xr:uid="{00000000-0005-0000-0000-0000EF010000}"/>
    <cellStyle name="Millares 43" xfId="583" xr:uid="{00000000-0005-0000-0000-0000F0010000}"/>
    <cellStyle name="Millares 43 2" xfId="789" xr:uid="{00000000-0005-0000-0000-0000F1010000}"/>
    <cellStyle name="Millares 43 2 2" xfId="1003" xr:uid="{00000000-0005-0000-0000-0000F2010000}"/>
    <cellStyle name="Millares 43 3" xfId="888" xr:uid="{00000000-0005-0000-0000-0000F3010000}"/>
    <cellStyle name="Millares 44" xfId="584" xr:uid="{00000000-0005-0000-0000-0000F4010000}"/>
    <cellStyle name="Millares 44 2" xfId="790" xr:uid="{00000000-0005-0000-0000-0000F5010000}"/>
    <cellStyle name="Millares 44 2 2" xfId="1004" xr:uid="{00000000-0005-0000-0000-0000F6010000}"/>
    <cellStyle name="Millares 44 3" xfId="889" xr:uid="{00000000-0005-0000-0000-0000F7010000}"/>
    <cellStyle name="Millares 45" xfId="521" xr:uid="{00000000-0005-0000-0000-0000F8010000}"/>
    <cellStyle name="Millares 45 2" xfId="779" xr:uid="{00000000-0005-0000-0000-0000F9010000}"/>
    <cellStyle name="Millares 45 2 2" xfId="993" xr:uid="{00000000-0005-0000-0000-0000FA010000}"/>
    <cellStyle name="Millares 45 3" xfId="878" xr:uid="{00000000-0005-0000-0000-0000FB010000}"/>
    <cellStyle name="Millares 46" xfId="527" xr:uid="{00000000-0005-0000-0000-0000FC010000}"/>
    <cellStyle name="Millares 46 2" xfId="782" xr:uid="{00000000-0005-0000-0000-0000FD010000}"/>
    <cellStyle name="Millares 46 2 2" xfId="996" xr:uid="{00000000-0005-0000-0000-0000FE010000}"/>
    <cellStyle name="Millares 46 3" xfId="881" xr:uid="{00000000-0005-0000-0000-0000FF010000}"/>
    <cellStyle name="Millares 47" xfId="529" xr:uid="{00000000-0005-0000-0000-000000020000}"/>
    <cellStyle name="Millares 47 2" xfId="783" xr:uid="{00000000-0005-0000-0000-000001020000}"/>
    <cellStyle name="Millares 47 2 2" xfId="997" xr:uid="{00000000-0005-0000-0000-000002020000}"/>
    <cellStyle name="Millares 47 3" xfId="882" xr:uid="{00000000-0005-0000-0000-000003020000}"/>
    <cellStyle name="Millares 48" xfId="481" xr:uid="{00000000-0005-0000-0000-000004020000}"/>
    <cellStyle name="Millares 48 2" xfId="767" xr:uid="{00000000-0005-0000-0000-000005020000}"/>
    <cellStyle name="Millares 48 2 2" xfId="981" xr:uid="{00000000-0005-0000-0000-000006020000}"/>
    <cellStyle name="Millares 48 3" xfId="866" xr:uid="{00000000-0005-0000-0000-000007020000}"/>
    <cellStyle name="Millares 49" xfId="526" xr:uid="{00000000-0005-0000-0000-000008020000}"/>
    <cellStyle name="Millares 49 2" xfId="781" xr:uid="{00000000-0005-0000-0000-000009020000}"/>
    <cellStyle name="Millares 49 2 2" xfId="995" xr:uid="{00000000-0005-0000-0000-00000A020000}"/>
    <cellStyle name="Millares 49 3" xfId="880" xr:uid="{00000000-0005-0000-0000-00000B020000}"/>
    <cellStyle name="Millares 5" xfId="414" xr:uid="{00000000-0005-0000-0000-00000C020000}"/>
    <cellStyle name="Millares 5 2" xfId="740" xr:uid="{00000000-0005-0000-0000-00000D020000}"/>
    <cellStyle name="Millares 5 2 2" xfId="954" xr:uid="{00000000-0005-0000-0000-00000E020000}"/>
    <cellStyle name="Millares 5 3" xfId="839" xr:uid="{00000000-0005-0000-0000-00000F020000}"/>
    <cellStyle name="Millares 50" xfId="471" xr:uid="{00000000-0005-0000-0000-000010020000}"/>
    <cellStyle name="Millares 50 2" xfId="762" xr:uid="{00000000-0005-0000-0000-000011020000}"/>
    <cellStyle name="Millares 50 2 2" xfId="976" xr:uid="{00000000-0005-0000-0000-000012020000}"/>
    <cellStyle name="Millares 50 3" xfId="861" xr:uid="{00000000-0005-0000-0000-000013020000}"/>
    <cellStyle name="Millares 51" xfId="475" xr:uid="{00000000-0005-0000-0000-000014020000}"/>
    <cellStyle name="Millares 51 2" xfId="765" xr:uid="{00000000-0005-0000-0000-000015020000}"/>
    <cellStyle name="Millares 51 2 2" xfId="979" xr:uid="{00000000-0005-0000-0000-000016020000}"/>
    <cellStyle name="Millares 51 3" xfId="864" xr:uid="{00000000-0005-0000-0000-000017020000}"/>
    <cellStyle name="Millares 52" xfId="655" xr:uid="{00000000-0005-0000-0000-000018020000}"/>
    <cellStyle name="Millares 52 2" xfId="812" xr:uid="{00000000-0005-0000-0000-000019020000}"/>
    <cellStyle name="Millares 52 2 2" xfId="1026" xr:uid="{00000000-0005-0000-0000-00001A020000}"/>
    <cellStyle name="Millares 52 3" xfId="912" xr:uid="{00000000-0005-0000-0000-00001B020000}"/>
    <cellStyle name="Millares 53" xfId="682" xr:uid="{00000000-0005-0000-0000-00001C020000}"/>
    <cellStyle name="Millares 53 2" xfId="919" xr:uid="{00000000-0005-0000-0000-00001D020000}"/>
    <cellStyle name="Millares 54" xfId="685" xr:uid="{00000000-0005-0000-0000-00001E020000}"/>
    <cellStyle name="Millares 54 2" xfId="921" xr:uid="{00000000-0005-0000-0000-00001F020000}"/>
    <cellStyle name="Millares 55" xfId="695" xr:uid="{00000000-0005-0000-0000-000020020000}"/>
    <cellStyle name="Millares 55 2" xfId="928" xr:uid="{00000000-0005-0000-0000-000021020000}"/>
    <cellStyle name="Millares 56" xfId="689" xr:uid="{00000000-0005-0000-0000-000022020000}"/>
    <cellStyle name="Millares 56 2" xfId="923" xr:uid="{00000000-0005-0000-0000-000023020000}"/>
    <cellStyle name="Millares 57" xfId="698" xr:uid="{00000000-0005-0000-0000-000024020000}"/>
    <cellStyle name="Millares 57 2" xfId="929" xr:uid="{00000000-0005-0000-0000-000025020000}"/>
    <cellStyle name="Millares 58" xfId="691" xr:uid="{00000000-0005-0000-0000-000026020000}"/>
    <cellStyle name="Millares 58 2" xfId="925" xr:uid="{00000000-0005-0000-0000-000027020000}"/>
    <cellStyle name="Millares 59" xfId="683" xr:uid="{00000000-0005-0000-0000-000028020000}"/>
    <cellStyle name="Millares 59 2" xfId="920" xr:uid="{00000000-0005-0000-0000-000029020000}"/>
    <cellStyle name="Millares 6" xfId="122" xr:uid="{00000000-0005-0000-0000-00002A020000}"/>
    <cellStyle name="Millares 6 2" xfId="517" xr:uid="{00000000-0005-0000-0000-00002B020000}"/>
    <cellStyle name="Millares 6 2 2" xfId="777" xr:uid="{00000000-0005-0000-0000-00002C020000}"/>
    <cellStyle name="Millares 6 2 2 2" xfId="991" xr:uid="{00000000-0005-0000-0000-00002D020000}"/>
    <cellStyle name="Millares 6 2 3" xfId="876" xr:uid="{00000000-0005-0000-0000-00002E020000}"/>
    <cellStyle name="Millares 6 3" xfId="449" xr:uid="{00000000-0005-0000-0000-00002F020000}"/>
    <cellStyle name="Millares 6 3 2" xfId="753" xr:uid="{00000000-0005-0000-0000-000030020000}"/>
    <cellStyle name="Millares 6 3 2 2" xfId="967" xr:uid="{00000000-0005-0000-0000-000031020000}"/>
    <cellStyle name="Millares 6 3 3" xfId="852" xr:uid="{00000000-0005-0000-0000-000032020000}"/>
    <cellStyle name="Millares 6 4" xfId="730" xr:uid="{00000000-0005-0000-0000-000033020000}"/>
    <cellStyle name="Millares 6 4 2" xfId="945" xr:uid="{00000000-0005-0000-0000-000034020000}"/>
    <cellStyle name="Millares 6 5" xfId="830" xr:uid="{00000000-0005-0000-0000-000035020000}"/>
    <cellStyle name="Millares 60" xfId="700" xr:uid="{00000000-0005-0000-0000-000036020000}"/>
    <cellStyle name="Millares 60 2" xfId="930" xr:uid="{00000000-0005-0000-0000-000037020000}"/>
    <cellStyle name="Millares 61" xfId="702" xr:uid="{00000000-0005-0000-0000-000038020000}"/>
    <cellStyle name="Millares 61 2" xfId="931" xr:uid="{00000000-0005-0000-0000-000039020000}"/>
    <cellStyle name="Millares 62" xfId="690" xr:uid="{00000000-0005-0000-0000-00003A020000}"/>
    <cellStyle name="Millares 62 2" xfId="924" xr:uid="{00000000-0005-0000-0000-00003B020000}"/>
    <cellStyle name="Millares 63" xfId="706" xr:uid="{00000000-0005-0000-0000-00003C020000}"/>
    <cellStyle name="Millares 63 2" xfId="933" xr:uid="{00000000-0005-0000-0000-00003D020000}"/>
    <cellStyle name="Millares 64" xfId="705" xr:uid="{00000000-0005-0000-0000-00003E020000}"/>
    <cellStyle name="Millares 64 2" xfId="932" xr:uid="{00000000-0005-0000-0000-00003F020000}"/>
    <cellStyle name="Millares 65" xfId="710" xr:uid="{00000000-0005-0000-0000-000040020000}"/>
    <cellStyle name="Millares 65 2" xfId="935" xr:uid="{00000000-0005-0000-0000-000041020000}"/>
    <cellStyle name="Millares 66" xfId="819" xr:uid="{00000000-0005-0000-0000-000042020000}"/>
    <cellStyle name="Millares 67" xfId="838" xr:uid="{00000000-0005-0000-0000-000043020000}"/>
    <cellStyle name="Millares 68" xfId="896" xr:uid="{00000000-0005-0000-0000-000044020000}"/>
    <cellStyle name="Millares 69" xfId="1033" xr:uid="{00000000-0005-0000-0000-000045020000}"/>
    <cellStyle name="Millares 7" xfId="423" xr:uid="{00000000-0005-0000-0000-000046020000}"/>
    <cellStyle name="Millares 7 2" xfId="745" xr:uid="{00000000-0005-0000-0000-000047020000}"/>
    <cellStyle name="Millares 7 2 2" xfId="959" xr:uid="{00000000-0005-0000-0000-000048020000}"/>
    <cellStyle name="Millares 7 3" xfId="844" xr:uid="{00000000-0005-0000-0000-000049020000}"/>
    <cellStyle name="Millares 70" xfId="1034" xr:uid="{00000000-0005-0000-0000-00004A020000}"/>
    <cellStyle name="Millares 71" xfId="1035" xr:uid="{00000000-0005-0000-0000-00004B020000}"/>
    <cellStyle name="Millares 8" xfId="425" xr:uid="{00000000-0005-0000-0000-00004C020000}"/>
    <cellStyle name="Millares 8 2" xfId="746" xr:uid="{00000000-0005-0000-0000-00004D020000}"/>
    <cellStyle name="Millares 8 2 2" xfId="960" xr:uid="{00000000-0005-0000-0000-00004E020000}"/>
    <cellStyle name="Millares 8 3" xfId="845" xr:uid="{00000000-0005-0000-0000-00004F020000}"/>
    <cellStyle name="Millares 9" xfId="463" xr:uid="{00000000-0005-0000-0000-000050020000}"/>
    <cellStyle name="Millares 9 2" xfId="759" xr:uid="{00000000-0005-0000-0000-000051020000}"/>
    <cellStyle name="Millares 9 2 2" xfId="973" xr:uid="{00000000-0005-0000-0000-000052020000}"/>
    <cellStyle name="Millares 9 3" xfId="858" xr:uid="{00000000-0005-0000-0000-000053020000}"/>
    <cellStyle name="Moneda" xfId="3" builtinId="4"/>
    <cellStyle name="Moneda [0]" xfId="4" builtinId="7"/>
    <cellStyle name="Moneda [0] 2" xfId="101" xr:uid="{00000000-0005-0000-0000-000056020000}"/>
    <cellStyle name="Moneda [0] 2 2" xfId="125" xr:uid="{00000000-0005-0000-0000-000057020000}"/>
    <cellStyle name="Moneda [0] 2 2 2" xfId="168" xr:uid="{00000000-0005-0000-0000-000058020000}"/>
    <cellStyle name="Moneda [0] 2 2 2 2" xfId="737" xr:uid="{00000000-0005-0000-0000-000059020000}"/>
    <cellStyle name="Moneda [0] 2 2 2 2 2" xfId="952" xr:uid="{00000000-0005-0000-0000-00005A020000}"/>
    <cellStyle name="Moneda [0] 2 2 2 3" xfId="837" xr:uid="{00000000-0005-0000-0000-00005B020000}"/>
    <cellStyle name="Moneda [0] 2 2 3" xfId="519" xr:uid="{00000000-0005-0000-0000-00005C020000}"/>
    <cellStyle name="Moneda [0] 2 2 4" xfId="451" xr:uid="{00000000-0005-0000-0000-00005D020000}"/>
    <cellStyle name="Moneda [0] 2 3" xfId="163" xr:uid="{00000000-0005-0000-0000-00005E020000}"/>
    <cellStyle name="Moneda [0] 2 3 2" xfId="533" xr:uid="{00000000-0005-0000-0000-00005F020000}"/>
    <cellStyle name="Moneda [0] 2 3 3" xfId="458" xr:uid="{00000000-0005-0000-0000-000060020000}"/>
    <cellStyle name="Moneda [0] 2 4" xfId="503" xr:uid="{00000000-0005-0000-0000-000061020000}"/>
    <cellStyle name="Moneda [0] 2 5" xfId="442" xr:uid="{00000000-0005-0000-0000-000062020000}"/>
    <cellStyle name="Moneda [0] 3" xfId="416" xr:uid="{00000000-0005-0000-0000-000063020000}"/>
    <cellStyle name="Moneda [0] 4" xfId="466" xr:uid="{00000000-0005-0000-0000-000064020000}"/>
    <cellStyle name="Moneda [0] 5" xfId="692" xr:uid="{00000000-0005-0000-0000-000065020000}"/>
    <cellStyle name="Moneda [0] 5 2" xfId="926" xr:uid="{00000000-0005-0000-0000-000066020000}"/>
    <cellStyle name="Moneda [0] 6" xfId="713" xr:uid="{00000000-0005-0000-0000-000067020000}"/>
    <cellStyle name="Moneda 10" xfId="139" xr:uid="{00000000-0005-0000-0000-000068020000}"/>
    <cellStyle name="Moneda 11" xfId="144" xr:uid="{00000000-0005-0000-0000-000069020000}"/>
    <cellStyle name="Moneda 12" xfId="145" xr:uid="{00000000-0005-0000-0000-00006A020000}"/>
    <cellStyle name="Moneda 13" xfId="146" xr:uid="{00000000-0005-0000-0000-00006B020000}"/>
    <cellStyle name="Moneda 14" xfId="147" xr:uid="{00000000-0005-0000-0000-00006C020000}"/>
    <cellStyle name="Moneda 15" xfId="148" xr:uid="{00000000-0005-0000-0000-00006D020000}"/>
    <cellStyle name="Moneda 16" xfId="149" xr:uid="{00000000-0005-0000-0000-00006E020000}"/>
    <cellStyle name="Moneda 17" xfId="465" xr:uid="{00000000-0005-0000-0000-00006F020000}"/>
    <cellStyle name="Moneda 18" xfId="479" xr:uid="{00000000-0005-0000-0000-000070020000}"/>
    <cellStyle name="Moneda 19" xfId="624" xr:uid="{00000000-0005-0000-0000-000071020000}"/>
    <cellStyle name="Moneda 2" xfId="11" xr:uid="{00000000-0005-0000-0000-000072020000}"/>
    <cellStyle name="Moneda 2 2" xfId="102" xr:uid="{00000000-0005-0000-0000-000073020000}"/>
    <cellStyle name="Moneda 2 2 2" xfId="725" xr:uid="{00000000-0005-0000-0000-000074020000}"/>
    <cellStyle name="Moneda 2 2 2 2" xfId="940" xr:uid="{00000000-0005-0000-0000-000075020000}"/>
    <cellStyle name="Moneda 2 2 3" xfId="825" xr:uid="{00000000-0005-0000-0000-000076020000}"/>
    <cellStyle name="Moneda 2 3" xfId="100" xr:uid="{00000000-0005-0000-0000-000077020000}"/>
    <cellStyle name="Moneda 2 3 2" xfId="502" xr:uid="{00000000-0005-0000-0000-000078020000}"/>
    <cellStyle name="Moneda 2 3 3" xfId="441" xr:uid="{00000000-0005-0000-0000-000079020000}"/>
    <cellStyle name="Moneda 2 4" xfId="131" xr:uid="{00000000-0005-0000-0000-00007A020000}"/>
    <cellStyle name="Moneda 2 4 2" xfId="732" xr:uid="{00000000-0005-0000-0000-00007B020000}"/>
    <cellStyle name="Moneda 2 4 2 2" xfId="947" xr:uid="{00000000-0005-0000-0000-00007C020000}"/>
    <cellStyle name="Moneda 2 4 3" xfId="832" xr:uid="{00000000-0005-0000-0000-00007D020000}"/>
    <cellStyle name="Moneda 2 5" xfId="162" xr:uid="{00000000-0005-0000-0000-00007E020000}"/>
    <cellStyle name="Moneda 2 5 2" xfId="532" xr:uid="{00000000-0005-0000-0000-00007F020000}"/>
    <cellStyle name="Moneda 2 5 3" xfId="457" xr:uid="{00000000-0005-0000-0000-000080020000}"/>
    <cellStyle name="Moneda 2 6" xfId="715" xr:uid="{00000000-0005-0000-0000-000081020000}"/>
    <cellStyle name="Moneda 2 6 2" xfId="938" xr:uid="{00000000-0005-0000-0000-000082020000}"/>
    <cellStyle name="Moneda 2 7" xfId="821" xr:uid="{00000000-0005-0000-0000-000083020000}"/>
    <cellStyle name="Moneda 20" xfId="484" xr:uid="{00000000-0005-0000-0000-000084020000}"/>
    <cellStyle name="Moneda 21" xfId="476" xr:uid="{00000000-0005-0000-0000-000085020000}"/>
    <cellStyle name="Moneda 22" xfId="586" xr:uid="{00000000-0005-0000-0000-000086020000}"/>
    <cellStyle name="Moneda 23" xfId="473" xr:uid="{00000000-0005-0000-0000-000087020000}"/>
    <cellStyle name="Moneda 24" xfId="510" xr:uid="{00000000-0005-0000-0000-000088020000}"/>
    <cellStyle name="Moneda 25" xfId="632" xr:uid="{00000000-0005-0000-0000-000089020000}"/>
    <cellStyle name="Moneda 26" xfId="611" xr:uid="{00000000-0005-0000-0000-00008A020000}"/>
    <cellStyle name="Moneda 27" xfId="648" xr:uid="{00000000-0005-0000-0000-00008B020000}"/>
    <cellStyle name="Moneda 28" xfId="506" xr:uid="{00000000-0005-0000-0000-00008C020000}"/>
    <cellStyle name="Moneda 29" xfId="524" xr:uid="{00000000-0005-0000-0000-00008D020000}"/>
    <cellStyle name="Moneda 3" xfId="13" xr:uid="{00000000-0005-0000-0000-00008E020000}"/>
    <cellStyle name="Moneda 3 2" xfId="118" xr:uid="{00000000-0005-0000-0000-00008F020000}"/>
    <cellStyle name="Moneda 3 2 2" xfId="413" xr:uid="{00000000-0005-0000-0000-000090020000}"/>
    <cellStyle name="Moneda 3 2 3" xfId="446" xr:uid="{00000000-0005-0000-0000-000091020000}"/>
    <cellStyle name="Moneda 3 2 4" xfId="513" xr:uid="{00000000-0005-0000-0000-000092020000}"/>
    <cellStyle name="Moneda 3 2 5" xfId="411" xr:uid="{00000000-0005-0000-0000-000093020000}"/>
    <cellStyle name="Moneda 3 3" xfId="412" xr:uid="{00000000-0005-0000-0000-000094020000}"/>
    <cellStyle name="Moneda 30" xfId="616" xr:uid="{00000000-0005-0000-0000-000095020000}"/>
    <cellStyle name="Moneda 31" xfId="652" xr:uid="{00000000-0005-0000-0000-000096020000}"/>
    <cellStyle name="Moneda 32" xfId="666" xr:uid="{00000000-0005-0000-0000-000097020000}"/>
    <cellStyle name="Moneda 33" xfId="522" xr:uid="{00000000-0005-0000-0000-000098020000}"/>
    <cellStyle name="Moneda 34" xfId="499" xr:uid="{00000000-0005-0000-0000-000099020000}"/>
    <cellStyle name="Moneda 35" xfId="588" xr:uid="{00000000-0005-0000-0000-00009A020000}"/>
    <cellStyle name="Moneda 36" xfId="646" xr:uid="{00000000-0005-0000-0000-00009B020000}"/>
    <cellStyle name="Moneda 37" xfId="670" xr:uid="{00000000-0005-0000-0000-00009C020000}"/>
    <cellStyle name="Moneda 38" xfId="673" xr:uid="{00000000-0005-0000-0000-00009D020000}"/>
    <cellStyle name="Moneda 39" xfId="587" xr:uid="{00000000-0005-0000-0000-00009E020000}"/>
    <cellStyle name="Moneda 4" xfId="130" xr:uid="{00000000-0005-0000-0000-00009F020000}"/>
    <cellStyle name="Moneda 4 2" xfId="391" xr:uid="{00000000-0005-0000-0000-0000A0020000}"/>
    <cellStyle name="Moneda 40" xfId="498" xr:uid="{00000000-0005-0000-0000-0000A1020000}"/>
    <cellStyle name="Moneda 41" xfId="581" xr:uid="{00000000-0005-0000-0000-0000A2020000}"/>
    <cellStyle name="Moneda 42" xfId="528" xr:uid="{00000000-0005-0000-0000-0000A3020000}"/>
    <cellStyle name="Moneda 43" xfId="674" xr:uid="{00000000-0005-0000-0000-0000A4020000}"/>
    <cellStyle name="Moneda 44" xfId="661" xr:uid="{00000000-0005-0000-0000-0000A5020000}"/>
    <cellStyle name="Moneda 45" xfId="523" xr:uid="{00000000-0005-0000-0000-0000A6020000}"/>
    <cellStyle name="Moneda 46" xfId="468" xr:uid="{00000000-0005-0000-0000-0000A7020000}"/>
    <cellStyle name="Moneda 47" xfId="511" xr:uid="{00000000-0005-0000-0000-0000A8020000}"/>
    <cellStyle name="Moneda 48" xfId="647" xr:uid="{00000000-0005-0000-0000-0000A9020000}"/>
    <cellStyle name="Moneda 49" xfId="607" xr:uid="{00000000-0005-0000-0000-0000AA020000}"/>
    <cellStyle name="Moneda 5" xfId="134" xr:uid="{00000000-0005-0000-0000-0000AB020000}"/>
    <cellStyle name="Moneda 50" xfId="630" xr:uid="{00000000-0005-0000-0000-0000AC020000}"/>
    <cellStyle name="Moneda 51" xfId="676" xr:uid="{00000000-0005-0000-0000-0000AD020000}"/>
    <cellStyle name="Moneda 52" xfId="592" xr:uid="{00000000-0005-0000-0000-0000AE020000}"/>
    <cellStyle name="Moneda 53" xfId="493" xr:uid="{00000000-0005-0000-0000-0000AF020000}"/>
    <cellStyle name="Moneda 54" xfId="668" xr:uid="{00000000-0005-0000-0000-0000B0020000}"/>
    <cellStyle name="Moneda 55" xfId="659" xr:uid="{00000000-0005-0000-0000-0000B1020000}"/>
    <cellStyle name="Moneda 56" xfId="507" xr:uid="{00000000-0005-0000-0000-0000B2020000}"/>
    <cellStyle name="Moneda 57" xfId="672" xr:uid="{00000000-0005-0000-0000-0000B3020000}"/>
    <cellStyle name="Moneda 58" xfId="640" xr:uid="{00000000-0005-0000-0000-0000B4020000}"/>
    <cellStyle name="Moneda 59" xfId="596" xr:uid="{00000000-0005-0000-0000-0000B5020000}"/>
    <cellStyle name="Moneda 6" xfId="135" xr:uid="{00000000-0005-0000-0000-0000B6020000}"/>
    <cellStyle name="Moneda 60" xfId="467" xr:uid="{00000000-0005-0000-0000-0000B7020000}"/>
    <cellStyle name="Moneda 61" xfId="712" xr:uid="{00000000-0005-0000-0000-0000B8020000}"/>
    <cellStyle name="Moneda 7" xfId="136" xr:uid="{00000000-0005-0000-0000-0000B9020000}"/>
    <cellStyle name="Moneda 8" xfId="138" xr:uid="{00000000-0005-0000-0000-0000BA020000}"/>
    <cellStyle name="Moneda 9" xfId="137" xr:uid="{00000000-0005-0000-0000-0000BB020000}"/>
    <cellStyle name="Neutral" xfId="25" builtinId="28" customBuiltin="1"/>
    <cellStyle name="Neutral 2" xfId="77" xr:uid="{00000000-0005-0000-0000-0000BD020000}"/>
    <cellStyle name="Neutral 2 2" xfId="349" xr:uid="{00000000-0005-0000-0000-0000BE020000}"/>
    <cellStyle name="Neutral 2 3" xfId="495" xr:uid="{00000000-0005-0000-0000-0000BF020000}"/>
    <cellStyle name="Neutral 3" xfId="424" xr:uid="{00000000-0005-0000-0000-0000C0020000}"/>
    <cellStyle name="Neutral 4" xfId="716" xr:uid="{00000000-0005-0000-0000-0000C1020000}"/>
    <cellStyle name="Normal" xfId="0" builtinId="0"/>
    <cellStyle name="Normal 10" xfId="94" xr:uid="{00000000-0005-0000-0000-0000C3020000}"/>
    <cellStyle name="Normal 10 2" xfId="194" xr:uid="{00000000-0005-0000-0000-0000C4020000}"/>
    <cellStyle name="Normal 10 2 2" xfId="543" xr:uid="{00000000-0005-0000-0000-0000C5020000}"/>
    <cellStyle name="Normal 10 2 3" xfId="436" xr:uid="{00000000-0005-0000-0000-0000C6020000}"/>
    <cellStyle name="Normal 10 3" xfId="387" xr:uid="{00000000-0005-0000-0000-0000C7020000}"/>
    <cellStyle name="Normal 100" xfId="633" xr:uid="{00000000-0005-0000-0000-0000C8020000}"/>
    <cellStyle name="Normal 101" xfId="604" xr:uid="{00000000-0005-0000-0000-0000C9020000}"/>
    <cellStyle name="Normal 102" xfId="591" xr:uid="{00000000-0005-0000-0000-0000CA020000}"/>
    <cellStyle name="Normal 103" xfId="619" xr:uid="{00000000-0005-0000-0000-0000CB020000}"/>
    <cellStyle name="Normal 104" xfId="639" xr:uid="{00000000-0005-0000-0000-0000CC020000}"/>
    <cellStyle name="Normal 105" xfId="617" xr:uid="{00000000-0005-0000-0000-0000CD020000}"/>
    <cellStyle name="Normal 106" xfId="625" xr:uid="{00000000-0005-0000-0000-0000CE020000}"/>
    <cellStyle name="Normal 107" xfId="634" xr:uid="{00000000-0005-0000-0000-0000CF020000}"/>
    <cellStyle name="Normal 108" xfId="608" xr:uid="{00000000-0005-0000-0000-0000D0020000}"/>
    <cellStyle name="Normal 109" xfId="589" xr:uid="{00000000-0005-0000-0000-0000D1020000}"/>
    <cellStyle name="Normal 11" xfId="107" xr:uid="{00000000-0005-0000-0000-0000D2020000}"/>
    <cellStyle name="Normal 11 2" xfId="247" xr:uid="{00000000-0005-0000-0000-0000D3020000}"/>
    <cellStyle name="Normal 110" xfId="635" xr:uid="{00000000-0005-0000-0000-0000D4020000}"/>
    <cellStyle name="Normal 111" xfId="504" xr:uid="{00000000-0005-0000-0000-0000D5020000}"/>
    <cellStyle name="Normal 112" xfId="650" xr:uid="{00000000-0005-0000-0000-0000D6020000}"/>
    <cellStyle name="Normal 113" xfId="520" xr:uid="{00000000-0005-0000-0000-0000D7020000}"/>
    <cellStyle name="Normal 114" xfId="620" xr:uid="{00000000-0005-0000-0000-0000D8020000}"/>
    <cellStyle name="Normal 115" xfId="585" xr:uid="{00000000-0005-0000-0000-0000D9020000}"/>
    <cellStyle name="Normal 116" xfId="677" xr:uid="{00000000-0005-0000-0000-0000DA020000}"/>
    <cellStyle name="Normal 117" xfId="477" xr:uid="{00000000-0005-0000-0000-0000DB020000}"/>
    <cellStyle name="Normal 118" xfId="662" xr:uid="{00000000-0005-0000-0000-0000DC020000}"/>
    <cellStyle name="Normal 119" xfId="610" xr:uid="{00000000-0005-0000-0000-0000DD020000}"/>
    <cellStyle name="Normal 12" xfId="104" xr:uid="{00000000-0005-0000-0000-0000DE020000}"/>
    <cellStyle name="Normal 12 2" xfId="208" xr:uid="{00000000-0005-0000-0000-0000DF020000}"/>
    <cellStyle name="Normal 120" xfId="626" xr:uid="{00000000-0005-0000-0000-0000E0020000}"/>
    <cellStyle name="Normal 121" xfId="623" xr:uid="{00000000-0005-0000-0000-0000E1020000}"/>
    <cellStyle name="Normal 122" xfId="641" xr:uid="{00000000-0005-0000-0000-0000E2020000}"/>
    <cellStyle name="Normal 123" xfId="469" xr:uid="{00000000-0005-0000-0000-0000E3020000}"/>
    <cellStyle name="Normal 124" xfId="664" xr:uid="{00000000-0005-0000-0000-0000E4020000}"/>
    <cellStyle name="Normal 125" xfId="508" xr:uid="{00000000-0005-0000-0000-0000E5020000}"/>
    <cellStyle name="Normal 126" xfId="678" xr:uid="{00000000-0005-0000-0000-0000E6020000}"/>
    <cellStyle name="Normal 127" xfId="642" xr:uid="{00000000-0005-0000-0000-0000E7020000}"/>
    <cellStyle name="Normal 128" xfId="482" xr:uid="{00000000-0005-0000-0000-0000E8020000}"/>
    <cellStyle name="Normal 129" xfId="675" xr:uid="{00000000-0005-0000-0000-0000E9020000}"/>
    <cellStyle name="Normal 13" xfId="90" xr:uid="{00000000-0005-0000-0000-0000EA020000}"/>
    <cellStyle name="Normal 13 2" xfId="227" xr:uid="{00000000-0005-0000-0000-0000EB020000}"/>
    <cellStyle name="Normal 130" xfId="654" xr:uid="{00000000-0005-0000-0000-0000EC020000}"/>
    <cellStyle name="Normal 131" xfId="485" xr:uid="{00000000-0005-0000-0000-0000ED020000}"/>
    <cellStyle name="Normal 132" xfId="629" xr:uid="{00000000-0005-0000-0000-0000EE020000}"/>
    <cellStyle name="Normal 133" xfId="394" xr:uid="{00000000-0005-0000-0000-0000EF020000}"/>
    <cellStyle name="Normal 134" xfId="679" xr:uid="{00000000-0005-0000-0000-0000F0020000}"/>
    <cellStyle name="Normal 135" xfId="681" xr:uid="{00000000-0005-0000-0000-0000F1020000}"/>
    <cellStyle name="Normal 136" xfId="686" xr:uid="{00000000-0005-0000-0000-0000F2020000}"/>
    <cellStyle name="Normal 137" xfId="684" xr:uid="{00000000-0005-0000-0000-0000F3020000}"/>
    <cellStyle name="Normal 138" xfId="697" xr:uid="{00000000-0005-0000-0000-0000F4020000}"/>
    <cellStyle name="Normal 139" xfId="696" xr:uid="{00000000-0005-0000-0000-0000F5020000}"/>
    <cellStyle name="Normal 14" xfId="92" xr:uid="{00000000-0005-0000-0000-0000F6020000}"/>
    <cellStyle name="Normal 14 2" xfId="238" xr:uid="{00000000-0005-0000-0000-0000F7020000}"/>
    <cellStyle name="Normal 14 2 2" xfId="563" xr:uid="{00000000-0005-0000-0000-0000F8020000}"/>
    <cellStyle name="Normal 14 2 3" xfId="398" xr:uid="{00000000-0005-0000-0000-0000F9020000}"/>
    <cellStyle name="Normal 14 3" xfId="350" xr:uid="{00000000-0005-0000-0000-0000FA020000}"/>
    <cellStyle name="Normal 14 3 2" xfId="595" xr:uid="{00000000-0005-0000-0000-0000FB020000}"/>
    <cellStyle name="Normal 14 3 3" xfId="434" xr:uid="{00000000-0005-0000-0000-0000FC020000}"/>
    <cellStyle name="Normal 140" xfId="699" xr:uid="{00000000-0005-0000-0000-0000FD020000}"/>
    <cellStyle name="Normal 141" xfId="701" xr:uid="{00000000-0005-0000-0000-0000FE020000}"/>
    <cellStyle name="Normal 142" xfId="703" xr:uid="{00000000-0005-0000-0000-0000FF020000}"/>
    <cellStyle name="Normal 143" xfId="704" xr:uid="{00000000-0005-0000-0000-000000030000}"/>
    <cellStyle name="Normal 144" xfId="694" xr:uid="{00000000-0005-0000-0000-000001030000}"/>
    <cellStyle name="Normal 145" xfId="687" xr:uid="{00000000-0005-0000-0000-000002030000}"/>
    <cellStyle name="Normal 146" xfId="707" xr:uid="{00000000-0005-0000-0000-000003030000}"/>
    <cellStyle name="Normal 147" xfId="709" xr:uid="{00000000-0005-0000-0000-000004030000}"/>
    <cellStyle name="Normal 15" xfId="105" xr:uid="{00000000-0005-0000-0000-000005030000}"/>
    <cellStyle name="Normal 15 2" xfId="216" xr:uid="{00000000-0005-0000-0000-000006030000}"/>
    <cellStyle name="Normal 16" xfId="88" xr:uid="{00000000-0005-0000-0000-000007030000}"/>
    <cellStyle name="Normal 16 2" xfId="74" xr:uid="{00000000-0005-0000-0000-000008030000}"/>
    <cellStyle name="Normal 17" xfId="106" xr:uid="{00000000-0005-0000-0000-000009030000}"/>
    <cellStyle name="Normal 17 2" xfId="178" xr:uid="{00000000-0005-0000-0000-00000A030000}"/>
    <cellStyle name="Normal 18" xfId="87" xr:uid="{00000000-0005-0000-0000-00000B030000}"/>
    <cellStyle name="Normal 18 2" xfId="187" xr:uid="{00000000-0005-0000-0000-00000C030000}"/>
    <cellStyle name="Normal 19" xfId="108" xr:uid="{00000000-0005-0000-0000-00000D030000}"/>
    <cellStyle name="Normal 19 2" xfId="204" xr:uid="{00000000-0005-0000-0000-00000E030000}"/>
    <cellStyle name="Normal 2" xfId="7" xr:uid="{00000000-0005-0000-0000-00000F030000}"/>
    <cellStyle name="Normal 2 2" xfId="10" xr:uid="{00000000-0005-0000-0000-000010030000}"/>
    <cellStyle name="Normal 2 2 10" xfId="352" xr:uid="{00000000-0005-0000-0000-000011030000}"/>
    <cellStyle name="Normal 2 2 10 2" xfId="400" xr:uid="{00000000-0005-0000-0000-000012030000}"/>
    <cellStyle name="Normal 2 2 2" xfId="15" xr:uid="{00000000-0005-0000-0000-000013030000}"/>
    <cellStyle name="Normal 2 2 2 2" xfId="132" xr:uid="{00000000-0005-0000-0000-000014030000}"/>
    <cellStyle name="Normal 2 2 2 2 2" xfId="230" xr:uid="{00000000-0005-0000-0000-000015030000}"/>
    <cellStyle name="Normal 2 2 2 2 2 2" xfId="356" xr:uid="{00000000-0005-0000-0000-000016030000}"/>
    <cellStyle name="Normal 2 2 2 2 2 2 2" xfId="401" xr:uid="{00000000-0005-0000-0000-000017030000}"/>
    <cellStyle name="Normal 2 2 2 2 2 3" xfId="355" xr:uid="{00000000-0005-0000-0000-000018030000}"/>
    <cellStyle name="Normal 2 2 2 2 2 4" xfId="559" xr:uid="{00000000-0005-0000-0000-000019030000}"/>
    <cellStyle name="Normal 2 2 2 2 3" xfId="354" xr:uid="{00000000-0005-0000-0000-00001A030000}"/>
    <cellStyle name="Normal 2 2 2 2 4" xfId="454" xr:uid="{00000000-0005-0000-0000-00001B030000}"/>
    <cellStyle name="Normal 2 2 2 3" xfId="212" xr:uid="{00000000-0005-0000-0000-00001C030000}"/>
    <cellStyle name="Normal 2 2 2 3 2" xfId="357" xr:uid="{00000000-0005-0000-0000-00001D030000}"/>
    <cellStyle name="Normal 2 2 2 3 3" xfId="550" xr:uid="{00000000-0005-0000-0000-00001E030000}"/>
    <cellStyle name="Normal 2 2 2 4" xfId="358" xr:uid="{00000000-0005-0000-0000-00001F030000}"/>
    <cellStyle name="Normal 2 2 2 5" xfId="353" xr:uid="{00000000-0005-0000-0000-000020030000}"/>
    <cellStyle name="Normal 2 2 3" xfId="221" xr:uid="{00000000-0005-0000-0000-000021030000}"/>
    <cellStyle name="Normal 2 2 3 2" xfId="359" xr:uid="{00000000-0005-0000-0000-000022030000}"/>
    <cellStyle name="Normal 2 2 3 3" xfId="555" xr:uid="{00000000-0005-0000-0000-000023030000}"/>
    <cellStyle name="Normal 2 2 4" xfId="399" xr:uid="{00000000-0005-0000-0000-000024030000}"/>
    <cellStyle name="Normal 2 2 5" xfId="419" xr:uid="{00000000-0005-0000-0000-000025030000}"/>
    <cellStyle name="Normal 2 2 7" xfId="360" xr:uid="{00000000-0005-0000-0000-000026030000}"/>
    <cellStyle name="Normal 2 2 7 2" xfId="402" xr:uid="{00000000-0005-0000-0000-000027030000}"/>
    <cellStyle name="Normal 2 2 8" xfId="361" xr:uid="{00000000-0005-0000-0000-000028030000}"/>
    <cellStyle name="Normal 2 2 8 2" xfId="403" xr:uid="{00000000-0005-0000-0000-000029030000}"/>
    <cellStyle name="Normal 2 2 9" xfId="362" xr:uid="{00000000-0005-0000-0000-00002A030000}"/>
    <cellStyle name="Normal 2 2 9 2" xfId="404" xr:uid="{00000000-0005-0000-0000-00002B030000}"/>
    <cellStyle name="Normal 2 3" xfId="16" xr:uid="{00000000-0005-0000-0000-00002C030000}"/>
    <cellStyle name="Normal 2 3 2" xfId="126" xr:uid="{00000000-0005-0000-0000-00002D030000}"/>
    <cellStyle name="Normal 2 3 2 2" xfId="364" xr:uid="{00000000-0005-0000-0000-00002E030000}"/>
    <cellStyle name="Normal 2 3 2 2 2" xfId="598" xr:uid="{00000000-0005-0000-0000-00002F030000}"/>
    <cellStyle name="Normal 2 3 2 2 3" xfId="452" xr:uid="{00000000-0005-0000-0000-000030030000}"/>
    <cellStyle name="Normal 2 3 3" xfId="167" xr:uid="{00000000-0005-0000-0000-000031030000}"/>
    <cellStyle name="Normal 2 3 3 2" xfId="270" xr:uid="{00000000-0005-0000-0000-000032030000}"/>
    <cellStyle name="Normal 2 3 3 2 2" xfId="579" xr:uid="{00000000-0005-0000-0000-000033030000}"/>
    <cellStyle name="Normal 2 3 3 2 3" xfId="461" xr:uid="{00000000-0005-0000-0000-000034030000}"/>
    <cellStyle name="Normal 2 3 3 3" xfId="365" xr:uid="{00000000-0005-0000-0000-000035030000}"/>
    <cellStyle name="Normal 2 3 3 4" xfId="392" xr:uid="{00000000-0005-0000-0000-000036030000}"/>
    <cellStyle name="Normal 2 3 4" xfId="246" xr:uid="{00000000-0005-0000-0000-000037030000}"/>
    <cellStyle name="Normal 2 3 4 2" xfId="565" xr:uid="{00000000-0005-0000-0000-000038030000}"/>
    <cellStyle name="Normal 2 3 4 3" xfId="421" xr:uid="{00000000-0005-0000-0000-000039030000}"/>
    <cellStyle name="Normal 2 3 5" xfId="363" xr:uid="{00000000-0005-0000-0000-00003A030000}"/>
    <cellStyle name="Normal 2 4" xfId="117" xr:uid="{00000000-0005-0000-0000-00003B030000}"/>
    <cellStyle name="Normal 2 4 2" xfId="197" xr:uid="{00000000-0005-0000-0000-00003C030000}"/>
    <cellStyle name="Normal 2 4 2 2" xfId="545" xr:uid="{00000000-0005-0000-0000-00003D030000}"/>
    <cellStyle name="Normal 2 4 2 3" xfId="405" xr:uid="{00000000-0005-0000-0000-00003E030000}"/>
    <cellStyle name="Normal 2 4 3" xfId="366" xr:uid="{00000000-0005-0000-0000-00003F030000}"/>
    <cellStyle name="Normal 2 4 3 2" xfId="599" xr:uid="{00000000-0005-0000-0000-000040030000}"/>
    <cellStyle name="Normal 2 4 3 3" xfId="445" xr:uid="{00000000-0005-0000-0000-000041030000}"/>
    <cellStyle name="Normal 2 5" xfId="367" xr:uid="{00000000-0005-0000-0000-000042030000}"/>
    <cellStyle name="Normal 2 6" xfId="368" xr:uid="{00000000-0005-0000-0000-000043030000}"/>
    <cellStyle name="Normal 2 7" xfId="351" xr:uid="{00000000-0005-0000-0000-000044030000}"/>
    <cellStyle name="Normal 2_FUT INGRESOS 2010 Y FLS Y TESORERIA FLS AGOSTO 26" xfId="369" xr:uid="{00000000-0005-0000-0000-000045030000}"/>
    <cellStyle name="Normal 20" xfId="86" xr:uid="{00000000-0005-0000-0000-000046030000}"/>
    <cellStyle name="Normal 20 2" xfId="234" xr:uid="{00000000-0005-0000-0000-000047030000}"/>
    <cellStyle name="Normal 21" xfId="91" xr:uid="{00000000-0005-0000-0000-000048030000}"/>
    <cellStyle name="Normal 21 2" xfId="209" xr:uid="{00000000-0005-0000-0000-000049030000}"/>
    <cellStyle name="Normal 22" xfId="89" xr:uid="{00000000-0005-0000-0000-00004A030000}"/>
    <cellStyle name="Normal 22 2" xfId="193" xr:uid="{00000000-0005-0000-0000-00004B030000}"/>
    <cellStyle name="Normal 23" xfId="109" xr:uid="{00000000-0005-0000-0000-00004C030000}"/>
    <cellStyle name="Normal 23 2" xfId="239" xr:uid="{00000000-0005-0000-0000-00004D030000}"/>
    <cellStyle name="Normal 24" xfId="110" xr:uid="{00000000-0005-0000-0000-00004E030000}"/>
    <cellStyle name="Normal 24 2" xfId="268" xr:uid="{00000000-0005-0000-0000-00004F030000}"/>
    <cellStyle name="Normal 25" xfId="111" xr:uid="{00000000-0005-0000-0000-000050030000}"/>
    <cellStyle name="Normal 25 2" xfId="240" xr:uid="{00000000-0005-0000-0000-000051030000}"/>
    <cellStyle name="Normal 26" xfId="112" xr:uid="{00000000-0005-0000-0000-000052030000}"/>
    <cellStyle name="Normal 26 2" xfId="258" xr:uid="{00000000-0005-0000-0000-000053030000}"/>
    <cellStyle name="Normal 27" xfId="113" xr:uid="{00000000-0005-0000-0000-000054030000}"/>
    <cellStyle name="Normal 27 2" xfId="241" xr:uid="{00000000-0005-0000-0000-000055030000}"/>
    <cellStyle name="Normal 28" xfId="114" xr:uid="{00000000-0005-0000-0000-000056030000}"/>
    <cellStyle name="Normal 28 2" xfId="78" xr:uid="{00000000-0005-0000-0000-000057030000}"/>
    <cellStyle name="Normal 29" xfId="116" xr:uid="{00000000-0005-0000-0000-000058030000}"/>
    <cellStyle name="Normal 29 2" xfId="75" xr:uid="{00000000-0005-0000-0000-000059030000}"/>
    <cellStyle name="Normal 3" xfId="17" xr:uid="{00000000-0005-0000-0000-00005A030000}"/>
    <cellStyle name="Normal 3 2" xfId="127" xr:uid="{00000000-0005-0000-0000-00005B030000}"/>
    <cellStyle name="Normal 3 2 2" xfId="210" xr:uid="{00000000-0005-0000-0000-00005C030000}"/>
    <cellStyle name="Normal 3 2 2 2" xfId="549" xr:uid="{00000000-0005-0000-0000-00005D030000}"/>
    <cellStyle name="Normal 3 2 2 3" xfId="407" xr:uid="{00000000-0005-0000-0000-00005E030000}"/>
    <cellStyle name="Normal 3 2 3" xfId="370" xr:uid="{00000000-0005-0000-0000-00005F030000}"/>
    <cellStyle name="Normal 3 2 3 2" xfId="601" xr:uid="{00000000-0005-0000-0000-000060030000}"/>
    <cellStyle name="Normal 3 2 3 3" xfId="453" xr:uid="{00000000-0005-0000-0000-000061030000}"/>
    <cellStyle name="Normal 3 3" xfId="264" xr:uid="{00000000-0005-0000-0000-000062030000}"/>
    <cellStyle name="Normal 3 3 2" xfId="576" xr:uid="{00000000-0005-0000-0000-000063030000}"/>
    <cellStyle name="Normal 3 3 3" xfId="406" xr:uid="{00000000-0005-0000-0000-000064030000}"/>
    <cellStyle name="Normal 3 4" xfId="277" xr:uid="{00000000-0005-0000-0000-000065030000}"/>
    <cellStyle name="Normal 3 4 2" xfId="580" xr:uid="{00000000-0005-0000-0000-000066030000}"/>
    <cellStyle name="Normal 3 4 3" xfId="422" xr:uid="{00000000-0005-0000-0000-000067030000}"/>
    <cellStyle name="Normal 3 5" xfId="63" xr:uid="{00000000-0005-0000-0000-000068030000}"/>
    <cellStyle name="Normal 30" xfId="128" xr:uid="{00000000-0005-0000-0000-000069030000}"/>
    <cellStyle name="Normal 30 2" xfId="176" xr:uid="{00000000-0005-0000-0000-00006A030000}"/>
    <cellStyle name="Normal 31" xfId="142" xr:uid="{00000000-0005-0000-0000-00006B030000}"/>
    <cellStyle name="Normal 31 2" xfId="82" xr:uid="{00000000-0005-0000-0000-00006C030000}"/>
    <cellStyle name="Normal 32" xfId="140" xr:uid="{00000000-0005-0000-0000-00006D030000}"/>
    <cellStyle name="Normal 32 2" xfId="73" xr:uid="{00000000-0005-0000-0000-00006E030000}"/>
    <cellStyle name="Normal 33" xfId="141" xr:uid="{00000000-0005-0000-0000-00006F030000}"/>
    <cellStyle name="Normal 33 2" xfId="200" xr:uid="{00000000-0005-0000-0000-000070030000}"/>
    <cellStyle name="Normal 34" xfId="133" xr:uid="{00000000-0005-0000-0000-000071030000}"/>
    <cellStyle name="Normal 34 2" xfId="180" xr:uid="{00000000-0005-0000-0000-000072030000}"/>
    <cellStyle name="Normal 35" xfId="143" xr:uid="{00000000-0005-0000-0000-000073030000}"/>
    <cellStyle name="Normal 35 2" xfId="174" xr:uid="{00000000-0005-0000-0000-000074030000}"/>
    <cellStyle name="Normal 36" xfId="150" xr:uid="{00000000-0005-0000-0000-000075030000}"/>
    <cellStyle name="Normal 36 2" xfId="198" xr:uid="{00000000-0005-0000-0000-000076030000}"/>
    <cellStyle name="Normal 37" xfId="158" xr:uid="{00000000-0005-0000-0000-000077030000}"/>
    <cellStyle name="Normal 37 2" xfId="217" xr:uid="{00000000-0005-0000-0000-000078030000}"/>
    <cellStyle name="Normal 38" xfId="153" xr:uid="{00000000-0005-0000-0000-000079030000}"/>
    <cellStyle name="Normal 38 2" xfId="243" xr:uid="{00000000-0005-0000-0000-00007A030000}"/>
    <cellStyle name="Normal 39" xfId="161" xr:uid="{00000000-0005-0000-0000-00007B030000}"/>
    <cellStyle name="Normal 39 2" xfId="189" xr:uid="{00000000-0005-0000-0000-00007C030000}"/>
    <cellStyle name="Normal 4" xfId="84" xr:uid="{00000000-0005-0000-0000-00007D030000}"/>
    <cellStyle name="Normal 4 2" xfId="262" xr:uid="{00000000-0005-0000-0000-00007E030000}"/>
    <cellStyle name="Normal 4 2 2" xfId="372" xr:uid="{00000000-0005-0000-0000-00007F030000}"/>
    <cellStyle name="Normal 4 2 3" xfId="575" xr:uid="{00000000-0005-0000-0000-000080030000}"/>
    <cellStyle name="Normal 4 3" xfId="371" xr:uid="{00000000-0005-0000-0000-000081030000}"/>
    <cellStyle name="Normal 4 4" xfId="432" xr:uid="{00000000-0005-0000-0000-000082030000}"/>
    <cellStyle name="Normal 40" xfId="151" xr:uid="{00000000-0005-0000-0000-000083030000}"/>
    <cellStyle name="Normal 40 2" xfId="179" xr:uid="{00000000-0005-0000-0000-000084030000}"/>
    <cellStyle name="Normal 41" xfId="165" xr:uid="{00000000-0005-0000-0000-000085030000}"/>
    <cellStyle name="Normal 41 2" xfId="222" xr:uid="{00000000-0005-0000-0000-000086030000}"/>
    <cellStyle name="Normal 42" xfId="169" xr:uid="{00000000-0005-0000-0000-000087030000}"/>
    <cellStyle name="Normal 42 2" xfId="272" xr:uid="{00000000-0005-0000-0000-000088030000}"/>
    <cellStyle name="Normal 43" xfId="157" xr:uid="{00000000-0005-0000-0000-000089030000}"/>
    <cellStyle name="Normal 43 2" xfId="183" xr:uid="{00000000-0005-0000-0000-00008A030000}"/>
    <cellStyle name="Normal 44" xfId="154" xr:uid="{00000000-0005-0000-0000-00008B030000}"/>
    <cellStyle name="Normal 44 2" xfId="185" xr:uid="{00000000-0005-0000-0000-00008C030000}"/>
    <cellStyle name="Normal 45" xfId="155" xr:uid="{00000000-0005-0000-0000-00008D030000}"/>
    <cellStyle name="Normal 45 2" xfId="259" xr:uid="{00000000-0005-0000-0000-00008E030000}"/>
    <cellStyle name="Normal 46" xfId="152" xr:uid="{00000000-0005-0000-0000-00008F030000}"/>
    <cellStyle name="Normal 46 2" xfId="236" xr:uid="{00000000-0005-0000-0000-000090030000}"/>
    <cellStyle name="Normal 47" xfId="156" xr:uid="{00000000-0005-0000-0000-000091030000}"/>
    <cellStyle name="Normal 47 2" xfId="232" xr:uid="{00000000-0005-0000-0000-000092030000}"/>
    <cellStyle name="Normal 48" xfId="60" xr:uid="{00000000-0005-0000-0000-000093030000}"/>
    <cellStyle name="Normal 49" xfId="71" xr:uid="{00000000-0005-0000-0000-000094030000}"/>
    <cellStyle name="Normal 5" xfId="93" xr:uid="{00000000-0005-0000-0000-000095030000}"/>
    <cellStyle name="Normal 5 2" xfId="186" xr:uid="{00000000-0005-0000-0000-000096030000}"/>
    <cellStyle name="Normal 5 2 2" xfId="540" xr:uid="{00000000-0005-0000-0000-000097030000}"/>
    <cellStyle name="Normal 5 2 3" xfId="435" xr:uid="{00000000-0005-0000-0000-000098030000}"/>
    <cellStyle name="Normal 5 3" xfId="373" xr:uid="{00000000-0005-0000-0000-000099030000}"/>
    <cellStyle name="Normal 50" xfId="79" xr:uid="{00000000-0005-0000-0000-00009A030000}"/>
    <cellStyle name="Normal 51" xfId="211" xr:uid="{00000000-0005-0000-0000-00009B030000}"/>
    <cellStyle name="Normal 52" xfId="219" xr:uid="{00000000-0005-0000-0000-00009C030000}"/>
    <cellStyle name="Normal 53" xfId="175" xr:uid="{00000000-0005-0000-0000-00009D030000}"/>
    <cellStyle name="Normal 54" xfId="191" xr:uid="{00000000-0005-0000-0000-00009E030000}"/>
    <cellStyle name="Normal 55" xfId="214" xr:uid="{00000000-0005-0000-0000-00009F030000}"/>
    <cellStyle name="Normal 56" xfId="170" xr:uid="{00000000-0005-0000-0000-0000A0030000}"/>
    <cellStyle name="Normal 57" xfId="226" xr:uid="{00000000-0005-0000-0000-0000A1030000}"/>
    <cellStyle name="Normal 58" xfId="76" xr:uid="{00000000-0005-0000-0000-0000A2030000}"/>
    <cellStyle name="Normal 59" xfId="207" xr:uid="{00000000-0005-0000-0000-0000A3030000}"/>
    <cellStyle name="Normal 6" xfId="19" xr:uid="{00000000-0005-0000-0000-0000A4030000}"/>
    <cellStyle name="Normal 6 2" xfId="70" xr:uid="{00000000-0005-0000-0000-0000A5030000}"/>
    <cellStyle name="Normal 60" xfId="228" xr:uid="{00000000-0005-0000-0000-0000A6030000}"/>
    <cellStyle name="Normal 61" xfId="195" xr:uid="{00000000-0005-0000-0000-0000A7030000}"/>
    <cellStyle name="Normal 62" xfId="182" xr:uid="{00000000-0005-0000-0000-0000A8030000}"/>
    <cellStyle name="Normal 63" xfId="81" xr:uid="{00000000-0005-0000-0000-0000A9030000}"/>
    <cellStyle name="Normal 64" xfId="172" xr:uid="{00000000-0005-0000-0000-0000AA030000}"/>
    <cellStyle name="Normal 65" xfId="199" xr:uid="{00000000-0005-0000-0000-0000AB030000}"/>
    <cellStyle name="Normal 66" xfId="206" xr:uid="{00000000-0005-0000-0000-0000AC030000}"/>
    <cellStyle name="Normal 67" xfId="229" xr:uid="{00000000-0005-0000-0000-0000AD030000}"/>
    <cellStyle name="Normal 68" xfId="256" xr:uid="{00000000-0005-0000-0000-0000AE030000}"/>
    <cellStyle name="Normal 69" xfId="266" xr:uid="{00000000-0005-0000-0000-0000AF030000}"/>
    <cellStyle name="Normal 7" xfId="18" xr:uid="{00000000-0005-0000-0000-0000B0030000}"/>
    <cellStyle name="Normal 7 2" xfId="225" xr:uid="{00000000-0005-0000-0000-0000B1030000}"/>
    <cellStyle name="Normal 7 2 2" xfId="558" xr:uid="{00000000-0005-0000-0000-0000B2030000}"/>
    <cellStyle name="Normal 7 2 3" xfId="408" xr:uid="{00000000-0005-0000-0000-0000B3030000}"/>
    <cellStyle name="Normal 7 3" xfId="374" xr:uid="{00000000-0005-0000-0000-0000B4030000}"/>
    <cellStyle name="Normal 7 3 2" xfId="602" xr:uid="{00000000-0005-0000-0000-0000B5030000}"/>
    <cellStyle name="Normal 7 3 3" xfId="438" xr:uid="{00000000-0005-0000-0000-0000B6030000}"/>
    <cellStyle name="Normal 70" xfId="267" xr:uid="{00000000-0005-0000-0000-0000B7030000}"/>
    <cellStyle name="Normal 71" xfId="245" xr:uid="{00000000-0005-0000-0000-0000B8030000}"/>
    <cellStyle name="Normal 72" xfId="202" xr:uid="{00000000-0005-0000-0000-0000B9030000}"/>
    <cellStyle name="Normal 73" xfId="278" xr:uid="{00000000-0005-0000-0000-0000BA030000}"/>
    <cellStyle name="Normal 74" xfId="271" xr:uid="{00000000-0005-0000-0000-0000BB030000}"/>
    <cellStyle name="Normal 75" xfId="280" xr:uid="{00000000-0005-0000-0000-0000BC030000}"/>
    <cellStyle name="Normal 76" xfId="66" xr:uid="{00000000-0005-0000-0000-0000BD030000}"/>
    <cellStyle name="Normal 77" xfId="275" xr:uid="{00000000-0005-0000-0000-0000BE030000}"/>
    <cellStyle name="Normal 78" xfId="276" xr:uid="{00000000-0005-0000-0000-0000BF030000}"/>
    <cellStyle name="Normal 79" xfId="273" xr:uid="{00000000-0005-0000-0000-0000C0030000}"/>
    <cellStyle name="Normal 8" xfId="85" xr:uid="{00000000-0005-0000-0000-0000C1030000}"/>
    <cellStyle name="Normal 8 2" xfId="83" xr:uid="{00000000-0005-0000-0000-0000C2030000}"/>
    <cellStyle name="Normal 8 2 2" xfId="497" xr:uid="{00000000-0005-0000-0000-0000C3030000}"/>
    <cellStyle name="Normal 8 2 3" xfId="409" xr:uid="{00000000-0005-0000-0000-0000C4030000}"/>
    <cellStyle name="Normal 8 3" xfId="375" xr:uid="{00000000-0005-0000-0000-0000C5030000}"/>
    <cellStyle name="Normal 8 3 2" xfId="603" xr:uid="{00000000-0005-0000-0000-0000C6030000}"/>
    <cellStyle name="Normal 8 3 3" xfId="433" xr:uid="{00000000-0005-0000-0000-0000C7030000}"/>
    <cellStyle name="Normal 80" xfId="279" xr:uid="{00000000-0005-0000-0000-0000C8030000}"/>
    <cellStyle name="Normal 81" xfId="177" xr:uid="{00000000-0005-0000-0000-0000C9030000}"/>
    <cellStyle name="Normal 82" xfId="274" xr:uid="{00000000-0005-0000-0000-0000CA030000}"/>
    <cellStyle name="Normal 83" xfId="255" xr:uid="{00000000-0005-0000-0000-0000CB030000}"/>
    <cellStyle name="Normal 84" xfId="281" xr:uid="{00000000-0005-0000-0000-0000CC030000}"/>
    <cellStyle name="Normal 85" xfId="59" xr:uid="{00000000-0005-0000-0000-0000CD030000}"/>
    <cellStyle name="Normal 86" xfId="282" xr:uid="{00000000-0005-0000-0000-0000CE030000}"/>
    <cellStyle name="Normal 87" xfId="390" xr:uid="{00000000-0005-0000-0000-0000CF030000}"/>
    <cellStyle name="Normal 88" xfId="388" xr:uid="{00000000-0005-0000-0000-0000D0030000}"/>
    <cellStyle name="Normal 89" xfId="462" xr:uid="{00000000-0005-0000-0000-0000D1030000}"/>
    <cellStyle name="Normal 9" xfId="99" xr:uid="{00000000-0005-0000-0000-0000D2030000}"/>
    <cellStyle name="Normal 9 2" xfId="62" xr:uid="{00000000-0005-0000-0000-0000D3030000}"/>
    <cellStyle name="Normal 9 2 2" xfId="487" xr:uid="{00000000-0005-0000-0000-0000D4030000}"/>
    <cellStyle name="Normal 9 2 3" xfId="440" xr:uid="{00000000-0005-0000-0000-0000D5030000}"/>
    <cellStyle name="Normal 9 3" xfId="283" xr:uid="{00000000-0005-0000-0000-0000D6030000}"/>
    <cellStyle name="Normal 90" xfId="480" xr:uid="{00000000-0005-0000-0000-0000D7030000}"/>
    <cellStyle name="Normal 91" xfId="669" xr:uid="{00000000-0005-0000-0000-0000D8030000}"/>
    <cellStyle name="Normal 92" xfId="644" xr:uid="{00000000-0005-0000-0000-0000D9030000}"/>
    <cellStyle name="Normal 93" xfId="657" xr:uid="{00000000-0005-0000-0000-0000DA030000}"/>
    <cellStyle name="Normal 94" xfId="600" xr:uid="{00000000-0005-0000-0000-0000DB030000}"/>
    <cellStyle name="Normal 95" xfId="667" xr:uid="{00000000-0005-0000-0000-0000DC030000}"/>
    <cellStyle name="Normal 96" xfId="637" xr:uid="{00000000-0005-0000-0000-0000DD030000}"/>
    <cellStyle name="Normal 97" xfId="638" xr:uid="{00000000-0005-0000-0000-0000DE030000}"/>
    <cellStyle name="Normal 98" xfId="660" xr:uid="{00000000-0005-0000-0000-0000DF030000}"/>
    <cellStyle name="Normal 99" xfId="621" xr:uid="{00000000-0005-0000-0000-0000E0030000}"/>
    <cellStyle name="Notas" xfId="32" builtinId="10" customBuiltin="1"/>
    <cellStyle name="Notas 2" xfId="203" xr:uid="{00000000-0005-0000-0000-0000E2030000}"/>
    <cellStyle name="Notas 2 2" xfId="376" xr:uid="{00000000-0005-0000-0000-0000E3030000}"/>
    <cellStyle name="Notas 2 3" xfId="547" xr:uid="{00000000-0005-0000-0000-0000E4030000}"/>
    <cellStyle name="Notas 3" xfId="377" xr:uid="{00000000-0005-0000-0000-0000E5030000}"/>
    <cellStyle name="Notas 3 2" xfId="410" xr:uid="{00000000-0005-0000-0000-0000E6030000}"/>
    <cellStyle name="Notas 4" xfId="717" xr:uid="{00000000-0005-0000-0000-0000E7030000}"/>
    <cellStyle name="Porcentaje 2" xfId="738" xr:uid="{00000000-0005-0000-0000-0000E9030000}"/>
    <cellStyle name="Porcentaje 2 2" xfId="96" xr:uid="{00000000-0005-0000-0000-0000EA030000}"/>
    <cellStyle name="Porcentaje 2 2 2" xfId="98" xr:uid="{00000000-0005-0000-0000-0000EB030000}"/>
    <cellStyle name="Porcentaje 2 3" xfId="129" xr:uid="{00000000-0005-0000-0000-0000EC030000}"/>
    <cellStyle name="Salida" xfId="27" builtinId="21" customBuiltin="1"/>
    <cellStyle name="Salida 2" xfId="205" xr:uid="{00000000-0005-0000-0000-0000EE030000}"/>
    <cellStyle name="Salida 2 2" xfId="378" xr:uid="{00000000-0005-0000-0000-0000EF030000}"/>
    <cellStyle name="Salida 2 3" xfId="548" xr:uid="{00000000-0005-0000-0000-0000F0030000}"/>
    <cellStyle name="TableStyleLight1" xfId="379" xr:uid="{00000000-0005-0000-0000-0000F1030000}"/>
    <cellStyle name="Texto de advertencia" xfId="31" builtinId="11" customBuiltin="1"/>
    <cellStyle name="Texto de advertencia 2" xfId="249" xr:uid="{00000000-0005-0000-0000-0000F3030000}"/>
    <cellStyle name="Texto de advertencia 2 2" xfId="380" xr:uid="{00000000-0005-0000-0000-0000F4030000}"/>
    <cellStyle name="Texto de advertencia 2 3" xfId="567" xr:uid="{00000000-0005-0000-0000-0000F5030000}"/>
    <cellStyle name="Texto explicativo" xfId="33" builtinId="53" customBuiltin="1"/>
    <cellStyle name="Texto explicativo 2" xfId="252" xr:uid="{00000000-0005-0000-0000-0000F7030000}"/>
    <cellStyle name="Texto explicativo 2 2" xfId="381" xr:uid="{00000000-0005-0000-0000-0000F8030000}"/>
    <cellStyle name="Texto explicativo 2 3" xfId="570" xr:uid="{00000000-0005-0000-0000-0000F9030000}"/>
    <cellStyle name="Título" xfId="393" builtinId="15" customBuiltin="1"/>
    <cellStyle name="Título 1 2" xfId="269" xr:uid="{00000000-0005-0000-0000-0000FB030000}"/>
    <cellStyle name="Título 1 2 2" xfId="382" xr:uid="{00000000-0005-0000-0000-0000FC030000}"/>
    <cellStyle name="Título 1 2 3" xfId="578" xr:uid="{00000000-0005-0000-0000-0000FD030000}"/>
    <cellStyle name="Título 2" xfId="21" builtinId="17" customBuiltin="1"/>
    <cellStyle name="Título 2 2" xfId="65" xr:uid="{00000000-0005-0000-0000-0000FF030000}"/>
    <cellStyle name="Título 2 2 2" xfId="383" xr:uid="{00000000-0005-0000-0000-000000040000}"/>
    <cellStyle name="Título 2 2 3" xfId="489" xr:uid="{00000000-0005-0000-0000-000001040000}"/>
    <cellStyle name="Título 3" xfId="22" builtinId="18" customBuiltin="1"/>
    <cellStyle name="Título 3 2" xfId="190" xr:uid="{00000000-0005-0000-0000-000003040000}"/>
    <cellStyle name="Título 3 2 2" xfId="384" xr:uid="{00000000-0005-0000-0000-000004040000}"/>
    <cellStyle name="Título 3 2 3" xfId="542" xr:uid="{00000000-0005-0000-0000-000005040000}"/>
    <cellStyle name="Título 4" xfId="64" xr:uid="{00000000-0005-0000-0000-000006040000}"/>
    <cellStyle name="Título 4 2" xfId="385" xr:uid="{00000000-0005-0000-0000-000007040000}"/>
    <cellStyle name="Título 4 3" xfId="488" xr:uid="{00000000-0005-0000-0000-000008040000}"/>
    <cellStyle name="Título 5" xfId="231" xr:uid="{00000000-0005-0000-0000-000009040000}"/>
    <cellStyle name="Total" xfId="34" builtinId="25" customBuiltin="1"/>
    <cellStyle name="Total 2" xfId="220" xr:uid="{00000000-0005-0000-0000-00000B040000}"/>
    <cellStyle name="Total 2 2" xfId="386" xr:uid="{00000000-0005-0000-0000-00000C040000}"/>
    <cellStyle name="Total 2 3" xfId="554" xr:uid="{00000000-0005-0000-0000-00000D040000}"/>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24-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63954</xdr:colOff>
          <xdr:row>304</xdr:row>
          <xdr:rowOff>1091293</xdr:rowOff>
        </xdr:from>
        <xdr:to>
          <xdr:col>37</xdr:col>
          <xdr:colOff>340179</xdr:colOff>
          <xdr:row>304</xdr:row>
          <xdr:rowOff>1434193</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0</xdr:col>
      <xdr:colOff>421822</xdr:colOff>
      <xdr:row>0</xdr:row>
      <xdr:rowOff>0</xdr:rowOff>
    </xdr:from>
    <xdr:ext cx="984249" cy="825500"/>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22" y="0"/>
          <a:ext cx="984249" cy="825500"/>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CA314"/>
  <sheetViews>
    <sheetView showGridLines="0" zoomScale="70" zoomScaleNormal="70" workbookViewId="0">
      <selection activeCell="Y6" sqref="A6:XFD6"/>
    </sheetView>
  </sheetViews>
  <sheetFormatPr baseColWidth="10" defaultColWidth="11.42578125" defaultRowHeight="15" x14ac:dyDescent="0.2"/>
  <cols>
    <col min="1" max="1" width="11.42578125" style="10" customWidth="1"/>
    <col min="2" max="2" width="24.5703125" style="1" customWidth="1"/>
    <col min="3" max="3" width="10.7109375" style="8" customWidth="1"/>
    <col min="4" max="4" width="20.28515625" style="8" customWidth="1"/>
    <col min="5" max="5" width="10.85546875" style="8" customWidth="1"/>
    <col min="6" max="6" width="17.85546875" style="8" customWidth="1"/>
    <col min="7" max="7" width="11.5703125" style="9" customWidth="1"/>
    <col min="8" max="8" width="39" style="10" customWidth="1"/>
    <col min="9" max="9" width="16.85546875" style="10" customWidth="1"/>
    <col min="10" max="10" width="37.140625" style="10" customWidth="1"/>
    <col min="11" max="11" width="44" style="11" customWidth="1"/>
    <col min="12" max="12" width="15.7109375" style="11" customWidth="1"/>
    <col min="13" max="13" width="33.85546875" style="11" customWidth="1"/>
    <col min="14" max="14" width="13.28515625" style="9" customWidth="1"/>
    <col min="15" max="15" width="33.28515625" style="11" customWidth="1"/>
    <col min="16" max="16" width="16.28515625" style="11" customWidth="1"/>
    <col min="17" max="17" width="26" style="13" customWidth="1"/>
    <col min="18" max="18" width="13.42578125" style="12" customWidth="1"/>
    <col min="19" max="19" width="27.140625" style="13" customWidth="1"/>
    <col min="20" max="20" width="27.7109375" style="10" customWidth="1"/>
    <col min="21" max="21" width="12.42578125" style="12" customWidth="1"/>
    <col min="22" max="22" width="24.140625" style="185" customWidth="1"/>
    <col min="23" max="23" width="37.7109375" style="13" customWidth="1"/>
    <col min="24" max="24" width="64.140625" style="13" customWidth="1"/>
    <col min="25" max="25" width="31.7109375" style="1" customWidth="1"/>
    <col min="26" max="26" width="27.7109375" style="1" customWidth="1"/>
    <col min="27" max="27" width="24.42578125" style="1" customWidth="1"/>
    <col min="28" max="28" width="28.28515625" style="1" customWidth="1"/>
    <col min="29" max="29" width="29.140625" style="1" customWidth="1"/>
    <col min="30" max="30" width="30.7109375" style="1" customWidth="1"/>
    <col min="31" max="32" width="24.85546875" style="2" customWidth="1"/>
    <col min="33" max="34" width="24.85546875" style="1" customWidth="1"/>
    <col min="35" max="35" width="24.85546875" style="15" customWidth="1"/>
    <col min="36" max="36" width="28.7109375" style="1" customWidth="1"/>
    <col min="37" max="38" width="28.42578125" style="1" customWidth="1"/>
    <col min="39" max="39" width="24.7109375" style="2" customWidth="1"/>
    <col min="40" max="40" width="43.42578125" style="23" customWidth="1"/>
    <col min="41" max="41" width="23.42578125" style="2" customWidth="1"/>
    <col min="42" max="42" width="25.140625" style="2" customWidth="1"/>
    <col min="43" max="79" width="11.42578125" style="2"/>
    <col min="80" max="16384" width="11.42578125" style="1"/>
  </cols>
  <sheetData>
    <row r="1" spans="1:79" ht="24" customHeight="1" x14ac:dyDescent="0.2">
      <c r="C1" s="227" t="s">
        <v>1423</v>
      </c>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78" t="s">
        <v>0</v>
      </c>
      <c r="AN1" s="208" t="s">
        <v>1466</v>
      </c>
    </row>
    <row r="2" spans="1:79" ht="17.25" customHeight="1" x14ac:dyDescent="0.2">
      <c r="C2" s="229" t="s">
        <v>1465</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79" t="s">
        <v>1</v>
      </c>
      <c r="AN2" s="206">
        <v>5</v>
      </c>
    </row>
    <row r="3" spans="1:79" ht="17.25" customHeight="1" x14ac:dyDescent="0.2">
      <c r="C3" s="231" t="s">
        <v>1424</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78" t="s">
        <v>2</v>
      </c>
      <c r="AN3" s="207">
        <v>44440</v>
      </c>
    </row>
    <row r="4" spans="1:79" ht="17.25" customHeight="1" x14ac:dyDescent="0.2">
      <c r="C4" s="233" t="s">
        <v>1463</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78" t="s">
        <v>3</v>
      </c>
      <c r="AN4" s="209" t="s">
        <v>1334</v>
      </c>
    </row>
    <row r="5" spans="1:79" s="4" customFormat="1" ht="24.75" customHeight="1" x14ac:dyDescent="0.25">
      <c r="A5" s="223" t="s">
        <v>4</v>
      </c>
      <c r="B5" s="224"/>
      <c r="C5" s="235" t="s">
        <v>5</v>
      </c>
      <c r="D5" s="235"/>
      <c r="E5" s="235" t="s">
        <v>6</v>
      </c>
      <c r="F5" s="235"/>
      <c r="G5" s="218" t="s">
        <v>7</v>
      </c>
      <c r="H5" s="219"/>
      <c r="I5" s="219"/>
      <c r="J5" s="219"/>
      <c r="K5" s="220"/>
      <c r="L5" s="235" t="s">
        <v>9</v>
      </c>
      <c r="M5" s="235"/>
      <c r="N5" s="235"/>
      <c r="O5" s="218"/>
      <c r="P5" s="235" t="s">
        <v>10</v>
      </c>
      <c r="Q5" s="235"/>
      <c r="R5" s="235"/>
      <c r="S5" s="218"/>
      <c r="T5" s="218" t="s">
        <v>1418</v>
      </c>
      <c r="U5" s="219"/>
      <c r="V5" s="235" t="s">
        <v>11</v>
      </c>
      <c r="W5" s="235"/>
      <c r="X5" s="235"/>
      <c r="Y5" s="221" t="s">
        <v>1420</v>
      </c>
      <c r="Z5" s="222"/>
      <c r="AA5" s="222"/>
      <c r="AB5" s="222"/>
      <c r="AC5" s="222"/>
      <c r="AD5" s="222"/>
      <c r="AE5" s="222"/>
      <c r="AF5" s="222"/>
      <c r="AG5" s="222"/>
      <c r="AH5" s="222"/>
      <c r="AI5" s="222"/>
      <c r="AJ5" s="222"/>
      <c r="AK5" s="222"/>
      <c r="AL5" s="222"/>
      <c r="AM5" s="76"/>
      <c r="AN5" s="77"/>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1:79" s="4" customFormat="1" ht="58.5" customHeight="1" x14ac:dyDescent="0.25">
      <c r="A6" s="215" t="s">
        <v>14</v>
      </c>
      <c r="B6" s="215" t="s">
        <v>15</v>
      </c>
      <c r="C6" s="213" t="s">
        <v>14</v>
      </c>
      <c r="D6" s="213" t="s">
        <v>15</v>
      </c>
      <c r="E6" s="225" t="s">
        <v>14</v>
      </c>
      <c r="F6" s="225" t="s">
        <v>15</v>
      </c>
      <c r="G6" s="213" t="s">
        <v>1414</v>
      </c>
      <c r="H6" s="213" t="s">
        <v>1415</v>
      </c>
      <c r="I6" s="213" t="s">
        <v>1416</v>
      </c>
      <c r="J6" s="213" t="s">
        <v>1417</v>
      </c>
      <c r="K6" s="211" t="s">
        <v>8</v>
      </c>
      <c r="L6" s="213" t="s">
        <v>16</v>
      </c>
      <c r="M6" s="213" t="s">
        <v>17</v>
      </c>
      <c r="N6" s="213" t="s">
        <v>18</v>
      </c>
      <c r="O6" s="213" t="s">
        <v>19</v>
      </c>
      <c r="P6" s="211" t="s">
        <v>16</v>
      </c>
      <c r="Q6" s="211" t="s">
        <v>20</v>
      </c>
      <c r="R6" s="211" t="s">
        <v>21</v>
      </c>
      <c r="S6" s="211" t="s">
        <v>22</v>
      </c>
      <c r="T6" s="213" t="s">
        <v>1450</v>
      </c>
      <c r="U6" s="213" t="s">
        <v>1419</v>
      </c>
      <c r="V6" s="215" t="s">
        <v>23</v>
      </c>
      <c r="W6" s="210" t="s">
        <v>24</v>
      </c>
      <c r="X6" s="210" t="s">
        <v>25</v>
      </c>
      <c r="Y6" s="204" t="s">
        <v>1445</v>
      </c>
      <c r="Z6" s="204" t="s">
        <v>26</v>
      </c>
      <c r="AA6" s="204" t="s">
        <v>27</v>
      </c>
      <c r="AB6" s="204" t="s">
        <v>28</v>
      </c>
      <c r="AC6" s="204" t="s">
        <v>29</v>
      </c>
      <c r="AD6" s="204" t="s">
        <v>1446</v>
      </c>
      <c r="AE6" s="204" t="s">
        <v>1447</v>
      </c>
      <c r="AF6" s="204" t="s">
        <v>30</v>
      </c>
      <c r="AG6" s="204" t="s">
        <v>31</v>
      </c>
      <c r="AH6" s="204" t="s">
        <v>32</v>
      </c>
      <c r="AI6" s="204" t="s">
        <v>33</v>
      </c>
      <c r="AJ6" s="204" t="s">
        <v>34</v>
      </c>
      <c r="AK6" s="204" t="s">
        <v>35</v>
      </c>
      <c r="AL6" s="204" t="s">
        <v>1338</v>
      </c>
      <c r="AM6" s="204" t="s">
        <v>1421</v>
      </c>
      <c r="AN6" s="216" t="s">
        <v>13</v>
      </c>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1:79" s="4" customFormat="1" ht="24" hidden="1" customHeight="1" x14ac:dyDescent="0.25">
      <c r="A7" s="215"/>
      <c r="B7" s="215"/>
      <c r="C7" s="214"/>
      <c r="D7" s="214"/>
      <c r="E7" s="226"/>
      <c r="F7" s="226"/>
      <c r="G7" s="214"/>
      <c r="H7" s="214"/>
      <c r="I7" s="214"/>
      <c r="J7" s="214"/>
      <c r="K7" s="212"/>
      <c r="L7" s="214"/>
      <c r="M7" s="214"/>
      <c r="N7" s="214"/>
      <c r="O7" s="214"/>
      <c r="P7" s="212"/>
      <c r="Q7" s="212"/>
      <c r="R7" s="212"/>
      <c r="S7" s="212"/>
      <c r="T7" s="214"/>
      <c r="U7" s="214"/>
      <c r="V7" s="215"/>
      <c r="W7" s="210"/>
      <c r="X7" s="210"/>
      <c r="Y7" s="84" t="s">
        <v>1422</v>
      </c>
      <c r="Z7" s="84" t="s">
        <v>1422</v>
      </c>
      <c r="AA7" s="84" t="s">
        <v>1422</v>
      </c>
      <c r="AB7" s="84" t="s">
        <v>1422</v>
      </c>
      <c r="AC7" s="84" t="s">
        <v>1422</v>
      </c>
      <c r="AD7" s="84" t="s">
        <v>1422</v>
      </c>
      <c r="AE7" s="84" t="s">
        <v>1422</v>
      </c>
      <c r="AF7" s="84" t="s">
        <v>1422</v>
      </c>
      <c r="AG7" s="84" t="s">
        <v>1422</v>
      </c>
      <c r="AH7" s="84" t="s">
        <v>1422</v>
      </c>
      <c r="AI7" s="84" t="s">
        <v>1422</v>
      </c>
      <c r="AJ7" s="84" t="s">
        <v>1422</v>
      </c>
      <c r="AK7" s="84" t="s">
        <v>1422</v>
      </c>
      <c r="AL7" s="84" t="s">
        <v>1422</v>
      </c>
      <c r="AM7" s="84" t="s">
        <v>1422</v>
      </c>
      <c r="AN7" s="217"/>
    </row>
    <row r="8" spans="1:79" ht="165.75" hidden="1" customHeight="1" x14ac:dyDescent="0.2">
      <c r="A8" s="69">
        <v>304</v>
      </c>
      <c r="B8" s="105" t="s">
        <v>1393</v>
      </c>
      <c r="C8" s="66">
        <v>4</v>
      </c>
      <c r="D8" s="105" t="s">
        <v>1394</v>
      </c>
      <c r="E8" s="66">
        <v>45</v>
      </c>
      <c r="F8" s="68" t="s">
        <v>36</v>
      </c>
      <c r="G8" s="66" t="s">
        <v>38</v>
      </c>
      <c r="H8" s="68" t="s">
        <v>1352</v>
      </c>
      <c r="I8" s="66">
        <v>4599</v>
      </c>
      <c r="J8" s="68" t="s">
        <v>1353</v>
      </c>
      <c r="K8" s="68" t="s">
        <v>37</v>
      </c>
      <c r="L8" s="66" t="s">
        <v>38</v>
      </c>
      <c r="M8" s="68" t="s">
        <v>39</v>
      </c>
      <c r="N8" s="66">
        <v>4599023</v>
      </c>
      <c r="O8" s="68" t="s">
        <v>40</v>
      </c>
      <c r="P8" s="66" t="s">
        <v>38</v>
      </c>
      <c r="Q8" s="68" t="s">
        <v>41</v>
      </c>
      <c r="R8" s="66">
        <v>459902300</v>
      </c>
      <c r="S8" s="68" t="s">
        <v>42</v>
      </c>
      <c r="T8" s="72" t="s">
        <v>1449</v>
      </c>
      <c r="U8" s="106">
        <v>5</v>
      </c>
      <c r="V8" s="72" t="s">
        <v>43</v>
      </c>
      <c r="W8" s="68" t="s">
        <v>44</v>
      </c>
      <c r="X8" s="68" t="s">
        <v>45</v>
      </c>
      <c r="Y8" s="107"/>
      <c r="Z8" s="107"/>
      <c r="AA8" s="107"/>
      <c r="AB8" s="107"/>
      <c r="AC8" s="107"/>
      <c r="AD8" s="107"/>
      <c r="AE8" s="107"/>
      <c r="AF8" s="107"/>
      <c r="AG8" s="107"/>
      <c r="AH8" s="107"/>
      <c r="AI8" s="85">
        <f>36000000+5000000+138885000</f>
        <v>179885000</v>
      </c>
      <c r="AJ8" s="107"/>
      <c r="AK8" s="107"/>
      <c r="AL8" s="107"/>
      <c r="AM8" s="91">
        <f t="shared" ref="AM8:AM39" si="0">+Y8+Z8+AA8+AB8+AC8+AD8+AE8+AF8+AG8+AH8+AI8+AJ8+AK8</f>
        <v>179885000</v>
      </c>
      <c r="AN8" s="80" t="s">
        <v>1425</v>
      </c>
      <c r="AO8" s="6"/>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row>
    <row r="9" spans="1:79" ht="158.25" hidden="1" customHeight="1" x14ac:dyDescent="0.2">
      <c r="A9" s="69">
        <v>304</v>
      </c>
      <c r="B9" s="105" t="s">
        <v>1393</v>
      </c>
      <c r="C9" s="66">
        <v>4</v>
      </c>
      <c r="D9" s="68" t="s">
        <v>1394</v>
      </c>
      <c r="E9" s="66">
        <v>45</v>
      </c>
      <c r="F9" s="68" t="s">
        <v>36</v>
      </c>
      <c r="G9" s="66" t="s">
        <v>38</v>
      </c>
      <c r="H9" s="68" t="s">
        <v>1352</v>
      </c>
      <c r="I9" s="66">
        <v>4599</v>
      </c>
      <c r="J9" s="68" t="s">
        <v>1353</v>
      </c>
      <c r="K9" s="68" t="s">
        <v>37</v>
      </c>
      <c r="L9" s="66" t="s">
        <v>38</v>
      </c>
      <c r="M9" s="68" t="s">
        <v>46</v>
      </c>
      <c r="N9" s="66">
        <v>4599002</v>
      </c>
      <c r="O9" s="68" t="s">
        <v>47</v>
      </c>
      <c r="P9" s="66" t="s">
        <v>38</v>
      </c>
      <c r="Q9" s="68" t="s">
        <v>48</v>
      </c>
      <c r="R9" s="66">
        <v>459900200</v>
      </c>
      <c r="S9" s="68" t="s">
        <v>1317</v>
      </c>
      <c r="T9" s="72" t="s">
        <v>1449</v>
      </c>
      <c r="U9" s="106">
        <v>4</v>
      </c>
      <c r="V9" s="72" t="s">
        <v>49</v>
      </c>
      <c r="W9" s="68" t="s">
        <v>50</v>
      </c>
      <c r="X9" s="68" t="s">
        <v>51</v>
      </c>
      <c r="Y9" s="107"/>
      <c r="Z9" s="107"/>
      <c r="AA9" s="107"/>
      <c r="AB9" s="107"/>
      <c r="AC9" s="107"/>
      <c r="AD9" s="107"/>
      <c r="AE9" s="107"/>
      <c r="AF9" s="107"/>
      <c r="AG9" s="107"/>
      <c r="AH9" s="107"/>
      <c r="AI9" s="85">
        <v>154285400</v>
      </c>
      <c r="AJ9" s="107"/>
      <c r="AK9" s="107"/>
      <c r="AL9" s="107"/>
      <c r="AM9" s="91">
        <f t="shared" si="0"/>
        <v>154285400</v>
      </c>
      <c r="AN9" s="80" t="s">
        <v>1425</v>
      </c>
      <c r="AO9" s="6"/>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row>
    <row r="10" spans="1:79" ht="196.5" hidden="1" customHeight="1" x14ac:dyDescent="0.2">
      <c r="A10" s="69">
        <v>304</v>
      </c>
      <c r="B10" s="105" t="s">
        <v>1393</v>
      </c>
      <c r="C10" s="66">
        <v>4</v>
      </c>
      <c r="D10" s="68" t="s">
        <v>1394</v>
      </c>
      <c r="E10" s="66">
        <v>45</v>
      </c>
      <c r="F10" s="68" t="s">
        <v>36</v>
      </c>
      <c r="G10" s="66" t="s">
        <v>38</v>
      </c>
      <c r="H10" s="68" t="s">
        <v>1352</v>
      </c>
      <c r="I10" s="66">
        <v>4599</v>
      </c>
      <c r="J10" s="68" t="s">
        <v>1353</v>
      </c>
      <c r="K10" s="68" t="s">
        <v>37</v>
      </c>
      <c r="L10" s="66" t="s">
        <v>38</v>
      </c>
      <c r="M10" s="68" t="s">
        <v>52</v>
      </c>
      <c r="N10" s="66">
        <v>4599023</v>
      </c>
      <c r="O10" s="68" t="s">
        <v>40</v>
      </c>
      <c r="P10" s="66" t="s">
        <v>38</v>
      </c>
      <c r="Q10" s="68" t="s">
        <v>53</v>
      </c>
      <c r="R10" s="66">
        <v>459902301</v>
      </c>
      <c r="S10" s="68" t="s">
        <v>54</v>
      </c>
      <c r="T10" s="72" t="s">
        <v>1449</v>
      </c>
      <c r="U10" s="106">
        <v>1</v>
      </c>
      <c r="V10" s="72" t="s">
        <v>55</v>
      </c>
      <c r="W10" s="67" t="s">
        <v>56</v>
      </c>
      <c r="X10" s="68" t="s">
        <v>1337</v>
      </c>
      <c r="Y10" s="107"/>
      <c r="Z10" s="107"/>
      <c r="AA10" s="107"/>
      <c r="AB10" s="107"/>
      <c r="AC10" s="107"/>
      <c r="AD10" s="107"/>
      <c r="AE10" s="107"/>
      <c r="AF10" s="107"/>
      <c r="AG10" s="107"/>
      <c r="AH10" s="107"/>
      <c r="AI10" s="75">
        <f>50000000-7188826</f>
        <v>42811174</v>
      </c>
      <c r="AJ10" s="107"/>
      <c r="AK10" s="107"/>
      <c r="AL10" s="107"/>
      <c r="AM10" s="91">
        <f t="shared" si="0"/>
        <v>42811174</v>
      </c>
      <c r="AN10" s="80" t="s">
        <v>1425</v>
      </c>
      <c r="AO10" s="6"/>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row>
    <row r="11" spans="1:79" ht="121.5" hidden="1" customHeight="1" x14ac:dyDescent="0.2">
      <c r="A11" s="69">
        <v>304</v>
      </c>
      <c r="B11" s="105" t="s">
        <v>1393</v>
      </c>
      <c r="C11" s="66">
        <v>4</v>
      </c>
      <c r="D11" s="68" t="s">
        <v>1394</v>
      </c>
      <c r="E11" s="66">
        <v>45</v>
      </c>
      <c r="F11" s="68" t="s">
        <v>36</v>
      </c>
      <c r="G11" s="66" t="s">
        <v>38</v>
      </c>
      <c r="H11" s="68" t="s">
        <v>1348</v>
      </c>
      <c r="I11" s="66">
        <v>4502</v>
      </c>
      <c r="J11" s="68" t="s">
        <v>1349</v>
      </c>
      <c r="K11" s="68" t="s">
        <v>57</v>
      </c>
      <c r="L11" s="66" t="s">
        <v>38</v>
      </c>
      <c r="M11" s="68" t="s">
        <v>58</v>
      </c>
      <c r="N11" s="66">
        <v>4502033</v>
      </c>
      <c r="O11" s="68" t="s">
        <v>59</v>
      </c>
      <c r="P11" s="66" t="s">
        <v>38</v>
      </c>
      <c r="Q11" s="109" t="s">
        <v>60</v>
      </c>
      <c r="R11" s="34">
        <v>450203300</v>
      </c>
      <c r="S11" s="109" t="s">
        <v>61</v>
      </c>
      <c r="T11" s="72" t="s">
        <v>1449</v>
      </c>
      <c r="U11" s="106">
        <v>1</v>
      </c>
      <c r="V11" s="72" t="s">
        <v>62</v>
      </c>
      <c r="W11" s="67" t="s">
        <v>63</v>
      </c>
      <c r="X11" s="68" t="s">
        <v>64</v>
      </c>
      <c r="Y11" s="107"/>
      <c r="Z11" s="107"/>
      <c r="AA11" s="107"/>
      <c r="AB11" s="107"/>
      <c r="AC11" s="107"/>
      <c r="AD11" s="107"/>
      <c r="AE11" s="107"/>
      <c r="AF11" s="107"/>
      <c r="AG11" s="107"/>
      <c r="AH11" s="107"/>
      <c r="AI11" s="85">
        <v>80543366</v>
      </c>
      <c r="AJ11" s="107"/>
      <c r="AK11" s="107"/>
      <c r="AL11" s="107"/>
      <c r="AM11" s="91">
        <f t="shared" si="0"/>
        <v>80543366</v>
      </c>
      <c r="AN11" s="80" t="s">
        <v>1425</v>
      </c>
      <c r="AO11" s="6"/>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row>
    <row r="12" spans="1:79" ht="165" hidden="1" customHeight="1" x14ac:dyDescent="0.2">
      <c r="A12" s="69">
        <v>305</v>
      </c>
      <c r="B12" s="105" t="s">
        <v>1395</v>
      </c>
      <c r="C12" s="66">
        <v>4</v>
      </c>
      <c r="D12" s="68" t="s">
        <v>1394</v>
      </c>
      <c r="E12" s="66">
        <v>45</v>
      </c>
      <c r="F12" s="68" t="s">
        <v>36</v>
      </c>
      <c r="G12" s="66">
        <v>4502</v>
      </c>
      <c r="H12" s="68" t="s">
        <v>1348</v>
      </c>
      <c r="I12" s="66">
        <v>4502</v>
      </c>
      <c r="J12" s="68" t="s">
        <v>1349</v>
      </c>
      <c r="K12" s="68" t="s">
        <v>65</v>
      </c>
      <c r="L12" s="66" t="s">
        <v>38</v>
      </c>
      <c r="M12" s="68" t="s">
        <v>66</v>
      </c>
      <c r="N12" s="66">
        <v>4502001</v>
      </c>
      <c r="O12" s="68" t="s">
        <v>67</v>
      </c>
      <c r="P12" s="66" t="s">
        <v>38</v>
      </c>
      <c r="Q12" s="109" t="s">
        <v>68</v>
      </c>
      <c r="R12" s="34">
        <v>450200100</v>
      </c>
      <c r="S12" s="109" t="s">
        <v>69</v>
      </c>
      <c r="T12" s="72" t="s">
        <v>1449</v>
      </c>
      <c r="U12" s="106">
        <v>1</v>
      </c>
      <c r="V12" s="72" t="s">
        <v>70</v>
      </c>
      <c r="W12" s="68" t="s">
        <v>71</v>
      </c>
      <c r="X12" s="68" t="s">
        <v>72</v>
      </c>
      <c r="Y12" s="107"/>
      <c r="Z12" s="107"/>
      <c r="AA12" s="107"/>
      <c r="AB12" s="107"/>
      <c r="AC12" s="107"/>
      <c r="AD12" s="107"/>
      <c r="AE12" s="107"/>
      <c r="AF12" s="107"/>
      <c r="AG12" s="107"/>
      <c r="AH12" s="107"/>
      <c r="AI12" s="70">
        <v>110600000</v>
      </c>
      <c r="AJ12" s="107"/>
      <c r="AK12" s="107"/>
      <c r="AL12" s="107"/>
      <c r="AM12" s="91">
        <f t="shared" si="0"/>
        <v>110600000</v>
      </c>
      <c r="AN12" s="81" t="s">
        <v>1426</v>
      </c>
      <c r="AO12" s="6"/>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row>
    <row r="13" spans="1:79" ht="107.25" hidden="1" customHeight="1" x14ac:dyDescent="0.2">
      <c r="A13" s="69">
        <v>305</v>
      </c>
      <c r="B13" s="105" t="s">
        <v>1395</v>
      </c>
      <c r="C13" s="66">
        <v>4</v>
      </c>
      <c r="D13" s="68" t="s">
        <v>1394</v>
      </c>
      <c r="E13" s="66">
        <v>45</v>
      </c>
      <c r="F13" s="68" t="s">
        <v>36</v>
      </c>
      <c r="G13" s="66">
        <v>4502</v>
      </c>
      <c r="H13" s="68" t="s">
        <v>1348</v>
      </c>
      <c r="I13" s="66">
        <v>4502</v>
      </c>
      <c r="J13" s="68" t="s">
        <v>1349</v>
      </c>
      <c r="K13" s="68" t="s">
        <v>57</v>
      </c>
      <c r="L13" s="66" t="s">
        <v>38</v>
      </c>
      <c r="M13" s="109" t="s">
        <v>73</v>
      </c>
      <c r="N13" s="34">
        <v>4502001</v>
      </c>
      <c r="O13" s="109" t="s">
        <v>67</v>
      </c>
      <c r="P13" s="66" t="s">
        <v>38</v>
      </c>
      <c r="Q13" s="109" t="s">
        <v>74</v>
      </c>
      <c r="R13" s="34">
        <v>450200101</v>
      </c>
      <c r="S13" s="109" t="s">
        <v>1318</v>
      </c>
      <c r="T13" s="72" t="s">
        <v>1449</v>
      </c>
      <c r="U13" s="106">
        <v>12</v>
      </c>
      <c r="V13" s="72" t="s">
        <v>75</v>
      </c>
      <c r="W13" s="68" t="s">
        <v>76</v>
      </c>
      <c r="X13" s="68" t="s">
        <v>77</v>
      </c>
      <c r="Y13" s="107"/>
      <c r="Z13" s="107"/>
      <c r="AA13" s="107"/>
      <c r="AB13" s="107"/>
      <c r="AC13" s="107"/>
      <c r="AD13" s="107"/>
      <c r="AE13" s="107"/>
      <c r="AF13" s="107"/>
      <c r="AG13" s="107"/>
      <c r="AH13" s="107"/>
      <c r="AI13" s="70">
        <v>14925000</v>
      </c>
      <c r="AJ13" s="107"/>
      <c r="AK13" s="107"/>
      <c r="AL13" s="107"/>
      <c r="AM13" s="91">
        <f t="shared" si="0"/>
        <v>14925000</v>
      </c>
      <c r="AN13" s="81" t="s">
        <v>1426</v>
      </c>
      <c r="AO13" s="6"/>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row>
    <row r="14" spans="1:79" ht="198.75" hidden="1" customHeight="1" x14ac:dyDescent="0.2">
      <c r="A14" s="69">
        <v>305</v>
      </c>
      <c r="B14" s="105" t="s">
        <v>1395</v>
      </c>
      <c r="C14" s="66">
        <v>4</v>
      </c>
      <c r="D14" s="68" t="s">
        <v>1394</v>
      </c>
      <c r="E14" s="66">
        <v>45</v>
      </c>
      <c r="F14" s="68" t="s">
        <v>36</v>
      </c>
      <c r="G14" s="66" t="s">
        <v>38</v>
      </c>
      <c r="H14" s="68" t="s">
        <v>1352</v>
      </c>
      <c r="I14" s="66">
        <v>4599</v>
      </c>
      <c r="J14" s="68" t="s">
        <v>1353</v>
      </c>
      <c r="K14" s="68" t="s">
        <v>37</v>
      </c>
      <c r="L14" s="66" t="s">
        <v>38</v>
      </c>
      <c r="M14" s="68" t="s">
        <v>78</v>
      </c>
      <c r="N14" s="66">
        <v>4599018</v>
      </c>
      <c r="O14" s="68" t="s">
        <v>79</v>
      </c>
      <c r="P14" s="66" t="s">
        <v>38</v>
      </c>
      <c r="Q14" s="68" t="s">
        <v>80</v>
      </c>
      <c r="R14" s="66">
        <v>459901800</v>
      </c>
      <c r="S14" s="68" t="s">
        <v>81</v>
      </c>
      <c r="T14" s="72" t="s">
        <v>1449</v>
      </c>
      <c r="U14" s="66">
        <v>5</v>
      </c>
      <c r="V14" s="72" t="s">
        <v>82</v>
      </c>
      <c r="W14" s="68" t="s">
        <v>83</v>
      </c>
      <c r="X14" s="68" t="s">
        <v>84</v>
      </c>
      <c r="Y14" s="107"/>
      <c r="Z14" s="107"/>
      <c r="AA14" s="107"/>
      <c r="AB14" s="107"/>
      <c r="AC14" s="107"/>
      <c r="AD14" s="107"/>
      <c r="AE14" s="107"/>
      <c r="AF14" s="107"/>
      <c r="AG14" s="107"/>
      <c r="AH14" s="107"/>
      <c r="AI14" s="85">
        <v>220682500</v>
      </c>
      <c r="AJ14" s="107"/>
      <c r="AK14" s="107"/>
      <c r="AL14" s="107"/>
      <c r="AM14" s="91">
        <f t="shared" si="0"/>
        <v>220682500</v>
      </c>
      <c r="AN14" s="81" t="s">
        <v>1426</v>
      </c>
      <c r="AO14" s="6"/>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row>
    <row r="15" spans="1:79" ht="143.25" hidden="1" customHeight="1" x14ac:dyDescent="0.2">
      <c r="A15" s="69">
        <v>305</v>
      </c>
      <c r="B15" s="105" t="s">
        <v>1395</v>
      </c>
      <c r="C15" s="66">
        <v>4</v>
      </c>
      <c r="D15" s="68" t="s">
        <v>1394</v>
      </c>
      <c r="E15" s="66">
        <v>45</v>
      </c>
      <c r="F15" s="68" t="s">
        <v>36</v>
      </c>
      <c r="G15" s="66" t="s">
        <v>38</v>
      </c>
      <c r="H15" s="68" t="s">
        <v>1352</v>
      </c>
      <c r="I15" s="66">
        <v>4599</v>
      </c>
      <c r="J15" s="68" t="s">
        <v>1353</v>
      </c>
      <c r="K15" s="68" t="s">
        <v>37</v>
      </c>
      <c r="L15" s="66" t="s">
        <v>38</v>
      </c>
      <c r="M15" s="68" t="s">
        <v>85</v>
      </c>
      <c r="N15" s="66">
        <v>4599025</v>
      </c>
      <c r="O15" s="68" t="s">
        <v>86</v>
      </c>
      <c r="P15" s="66" t="s">
        <v>38</v>
      </c>
      <c r="Q15" s="68" t="s">
        <v>87</v>
      </c>
      <c r="R15" s="66">
        <v>459902500</v>
      </c>
      <c r="S15" s="68" t="s">
        <v>88</v>
      </c>
      <c r="T15" s="72" t="s">
        <v>1449</v>
      </c>
      <c r="U15" s="66">
        <v>1</v>
      </c>
      <c r="V15" s="72" t="s">
        <v>89</v>
      </c>
      <c r="W15" s="68" t="s">
        <v>90</v>
      </c>
      <c r="X15" s="68" t="s">
        <v>91</v>
      </c>
      <c r="Y15" s="107"/>
      <c r="Z15" s="107"/>
      <c r="AA15" s="107"/>
      <c r="AB15" s="107"/>
      <c r="AC15" s="107"/>
      <c r="AD15" s="107"/>
      <c r="AE15" s="107"/>
      <c r="AF15" s="107"/>
      <c r="AG15" s="107"/>
      <c r="AH15" s="107"/>
      <c r="AI15" s="85">
        <v>50776000</v>
      </c>
      <c r="AJ15" s="107"/>
      <c r="AK15" s="107"/>
      <c r="AL15" s="107"/>
      <c r="AM15" s="91">
        <f t="shared" si="0"/>
        <v>50776000</v>
      </c>
      <c r="AN15" s="81" t="s">
        <v>1426</v>
      </c>
      <c r="AO15" s="6"/>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row>
    <row r="16" spans="1:79" ht="178.5" hidden="1" customHeight="1" x14ac:dyDescent="0.2">
      <c r="A16" s="69">
        <v>305</v>
      </c>
      <c r="B16" s="105" t="s">
        <v>1395</v>
      </c>
      <c r="C16" s="66">
        <v>4</v>
      </c>
      <c r="D16" s="68" t="s">
        <v>1394</v>
      </c>
      <c r="E16" s="66">
        <v>45</v>
      </c>
      <c r="F16" s="68" t="s">
        <v>36</v>
      </c>
      <c r="G16" s="66" t="s">
        <v>38</v>
      </c>
      <c r="H16" s="68" t="s">
        <v>1352</v>
      </c>
      <c r="I16" s="66">
        <v>4599</v>
      </c>
      <c r="J16" s="68" t="s">
        <v>1353</v>
      </c>
      <c r="K16" s="68" t="s">
        <v>37</v>
      </c>
      <c r="L16" s="66" t="s">
        <v>38</v>
      </c>
      <c r="M16" s="68" t="s">
        <v>1335</v>
      </c>
      <c r="N16" s="66">
        <v>4599025</v>
      </c>
      <c r="O16" s="68" t="s">
        <v>86</v>
      </c>
      <c r="P16" s="66" t="s">
        <v>38</v>
      </c>
      <c r="Q16" s="68" t="s">
        <v>92</v>
      </c>
      <c r="R16" s="66">
        <v>459902500</v>
      </c>
      <c r="S16" s="68" t="s">
        <v>88</v>
      </c>
      <c r="T16" s="72" t="s">
        <v>1449</v>
      </c>
      <c r="U16" s="66">
        <v>1</v>
      </c>
      <c r="V16" s="72" t="s">
        <v>93</v>
      </c>
      <c r="W16" s="68" t="s">
        <v>94</v>
      </c>
      <c r="X16" s="68" t="s">
        <v>95</v>
      </c>
      <c r="Y16" s="107"/>
      <c r="Z16" s="107"/>
      <c r="AA16" s="107"/>
      <c r="AB16" s="107"/>
      <c r="AC16" s="107"/>
      <c r="AD16" s="107"/>
      <c r="AE16" s="107"/>
      <c r="AF16" s="107"/>
      <c r="AG16" s="107"/>
      <c r="AH16" s="107"/>
      <c r="AI16" s="85">
        <v>298084000</v>
      </c>
      <c r="AJ16" s="107"/>
      <c r="AK16" s="107"/>
      <c r="AL16" s="107"/>
      <c r="AM16" s="91">
        <f t="shared" si="0"/>
        <v>298084000</v>
      </c>
      <c r="AN16" s="81" t="s">
        <v>1426</v>
      </c>
      <c r="AO16" s="6"/>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row>
    <row r="17" spans="1:41" s="1" customFormat="1" ht="153.75" hidden="1" customHeight="1" x14ac:dyDescent="0.2">
      <c r="A17" s="69">
        <v>305</v>
      </c>
      <c r="B17" s="105" t="s">
        <v>1395</v>
      </c>
      <c r="C17" s="66">
        <v>4</v>
      </c>
      <c r="D17" s="68" t="s">
        <v>1394</v>
      </c>
      <c r="E17" s="66">
        <v>45</v>
      </c>
      <c r="F17" s="68" t="s">
        <v>36</v>
      </c>
      <c r="G17" s="66" t="s">
        <v>38</v>
      </c>
      <c r="H17" s="68" t="s">
        <v>1352</v>
      </c>
      <c r="I17" s="66">
        <v>4599</v>
      </c>
      <c r="J17" s="68" t="s">
        <v>1353</v>
      </c>
      <c r="K17" s="68" t="s">
        <v>96</v>
      </c>
      <c r="L17" s="66" t="s">
        <v>38</v>
      </c>
      <c r="M17" s="68" t="s">
        <v>97</v>
      </c>
      <c r="N17" s="66">
        <v>4599031</v>
      </c>
      <c r="O17" s="68" t="s">
        <v>98</v>
      </c>
      <c r="P17" s="66" t="s">
        <v>38</v>
      </c>
      <c r="Q17" s="68" t="s">
        <v>99</v>
      </c>
      <c r="R17" s="66">
        <v>459903101</v>
      </c>
      <c r="S17" s="68" t="s">
        <v>100</v>
      </c>
      <c r="T17" s="72" t="s">
        <v>1449</v>
      </c>
      <c r="U17" s="66">
        <v>12</v>
      </c>
      <c r="V17" s="72" t="s">
        <v>101</v>
      </c>
      <c r="W17" s="68" t="s">
        <v>102</v>
      </c>
      <c r="X17" s="68" t="s">
        <v>103</v>
      </c>
      <c r="Y17" s="107"/>
      <c r="Z17" s="107"/>
      <c r="AA17" s="107"/>
      <c r="AB17" s="107"/>
      <c r="AC17" s="107"/>
      <c r="AD17" s="107"/>
      <c r="AE17" s="107"/>
      <c r="AF17" s="107"/>
      <c r="AG17" s="107"/>
      <c r="AH17" s="107"/>
      <c r="AI17" s="70">
        <f>10*3600000*1-12460000</f>
        <v>23540000</v>
      </c>
      <c r="AJ17" s="107"/>
      <c r="AK17" s="107"/>
      <c r="AL17" s="107"/>
      <c r="AM17" s="91">
        <f t="shared" si="0"/>
        <v>23540000</v>
      </c>
      <c r="AN17" s="81" t="s">
        <v>1426</v>
      </c>
      <c r="AO17" s="6"/>
    </row>
    <row r="18" spans="1:41" s="1" customFormat="1" ht="106.5" hidden="1" customHeight="1" x14ac:dyDescent="0.2">
      <c r="A18" s="69">
        <v>305</v>
      </c>
      <c r="B18" s="105" t="s">
        <v>1395</v>
      </c>
      <c r="C18" s="66">
        <v>4</v>
      </c>
      <c r="D18" s="68" t="s">
        <v>1394</v>
      </c>
      <c r="E18" s="66">
        <v>45</v>
      </c>
      <c r="F18" s="68" t="s">
        <v>36</v>
      </c>
      <c r="G18" s="66" t="s">
        <v>38</v>
      </c>
      <c r="H18" s="68" t="s">
        <v>1352</v>
      </c>
      <c r="I18" s="66">
        <v>4599</v>
      </c>
      <c r="J18" s="68" t="s">
        <v>1353</v>
      </c>
      <c r="K18" s="68" t="s">
        <v>96</v>
      </c>
      <c r="L18" s="66" t="s">
        <v>38</v>
      </c>
      <c r="M18" s="68" t="s">
        <v>104</v>
      </c>
      <c r="N18" s="66">
        <v>4599031</v>
      </c>
      <c r="O18" s="68" t="s">
        <v>98</v>
      </c>
      <c r="P18" s="66" t="s">
        <v>38</v>
      </c>
      <c r="Q18" s="68" t="s">
        <v>105</v>
      </c>
      <c r="R18" s="66">
        <v>459903101</v>
      </c>
      <c r="S18" s="68" t="s">
        <v>100</v>
      </c>
      <c r="T18" s="72" t="s">
        <v>1449</v>
      </c>
      <c r="U18" s="66">
        <v>12</v>
      </c>
      <c r="V18" s="72" t="s">
        <v>101</v>
      </c>
      <c r="W18" s="68" t="s">
        <v>102</v>
      </c>
      <c r="X18" s="68" t="s">
        <v>103</v>
      </c>
      <c r="Y18" s="107"/>
      <c r="Z18" s="107"/>
      <c r="AA18" s="107"/>
      <c r="AB18" s="107"/>
      <c r="AC18" s="107"/>
      <c r="AD18" s="107"/>
      <c r="AE18" s="107"/>
      <c r="AF18" s="107"/>
      <c r="AG18" s="107"/>
      <c r="AH18" s="107"/>
      <c r="AI18" s="85">
        <f>10*3600000*1-10035000</f>
        <v>25965000</v>
      </c>
      <c r="AJ18" s="107"/>
      <c r="AK18" s="107"/>
      <c r="AL18" s="107"/>
      <c r="AM18" s="91">
        <f t="shared" si="0"/>
        <v>25965000</v>
      </c>
      <c r="AN18" s="81" t="s">
        <v>1426</v>
      </c>
      <c r="AO18" s="6"/>
    </row>
    <row r="19" spans="1:41" s="1" customFormat="1" ht="111" hidden="1" customHeight="1" x14ac:dyDescent="0.2">
      <c r="A19" s="69">
        <v>305</v>
      </c>
      <c r="B19" s="105" t="s">
        <v>1395</v>
      </c>
      <c r="C19" s="66">
        <v>4</v>
      </c>
      <c r="D19" s="68" t="s">
        <v>1394</v>
      </c>
      <c r="E19" s="66">
        <v>45</v>
      </c>
      <c r="F19" s="68" t="s">
        <v>36</v>
      </c>
      <c r="G19" s="66" t="s">
        <v>38</v>
      </c>
      <c r="H19" s="68" t="s">
        <v>1352</v>
      </c>
      <c r="I19" s="66">
        <v>4599</v>
      </c>
      <c r="J19" s="68" t="s">
        <v>1353</v>
      </c>
      <c r="K19" s="68" t="s">
        <v>96</v>
      </c>
      <c r="L19" s="66" t="s">
        <v>38</v>
      </c>
      <c r="M19" s="68" t="s">
        <v>106</v>
      </c>
      <c r="N19" s="66">
        <v>4599031</v>
      </c>
      <c r="O19" s="68" t="s">
        <v>98</v>
      </c>
      <c r="P19" s="66" t="s">
        <v>38</v>
      </c>
      <c r="Q19" s="67" t="s">
        <v>107</v>
      </c>
      <c r="R19" s="66">
        <v>459903101</v>
      </c>
      <c r="S19" s="67" t="s">
        <v>100</v>
      </c>
      <c r="T19" s="72" t="s">
        <v>1449</v>
      </c>
      <c r="U19" s="66">
        <v>12</v>
      </c>
      <c r="V19" s="72" t="s">
        <v>101</v>
      </c>
      <c r="W19" s="68" t="s">
        <v>102</v>
      </c>
      <c r="X19" s="68" t="s">
        <v>103</v>
      </c>
      <c r="Y19" s="107"/>
      <c r="Z19" s="107"/>
      <c r="AA19" s="107"/>
      <c r="AB19" s="107"/>
      <c r="AC19" s="107"/>
      <c r="AD19" s="107"/>
      <c r="AE19" s="107"/>
      <c r="AF19" s="107"/>
      <c r="AG19" s="107"/>
      <c r="AH19" s="107"/>
      <c r="AI19" s="85">
        <v>24465000</v>
      </c>
      <c r="AJ19" s="107"/>
      <c r="AK19" s="107"/>
      <c r="AL19" s="107"/>
      <c r="AM19" s="91">
        <f t="shared" si="0"/>
        <v>24465000</v>
      </c>
      <c r="AN19" s="81" t="s">
        <v>1426</v>
      </c>
      <c r="AO19" s="6"/>
    </row>
    <row r="20" spans="1:41" s="1" customFormat="1" ht="136.5" hidden="1" customHeight="1" x14ac:dyDescent="0.2">
      <c r="A20" s="69">
        <v>305</v>
      </c>
      <c r="B20" s="105" t="s">
        <v>1395</v>
      </c>
      <c r="C20" s="66">
        <v>4</v>
      </c>
      <c r="D20" s="68" t="s">
        <v>1394</v>
      </c>
      <c r="E20" s="66">
        <v>45</v>
      </c>
      <c r="F20" s="68" t="s">
        <v>36</v>
      </c>
      <c r="G20" s="66" t="s">
        <v>38</v>
      </c>
      <c r="H20" s="68" t="s">
        <v>1352</v>
      </c>
      <c r="I20" s="66">
        <v>4599</v>
      </c>
      <c r="J20" s="68" t="s">
        <v>1353</v>
      </c>
      <c r="K20" s="68" t="s">
        <v>96</v>
      </c>
      <c r="L20" s="66" t="s">
        <v>38</v>
      </c>
      <c r="M20" s="68" t="s">
        <v>108</v>
      </c>
      <c r="N20" s="66">
        <v>4599031</v>
      </c>
      <c r="O20" s="68" t="s">
        <v>98</v>
      </c>
      <c r="P20" s="66" t="s">
        <v>38</v>
      </c>
      <c r="Q20" s="109" t="s">
        <v>107</v>
      </c>
      <c r="R20" s="66">
        <v>459903101</v>
      </c>
      <c r="S20" s="67" t="s">
        <v>100</v>
      </c>
      <c r="T20" s="72" t="s">
        <v>1449</v>
      </c>
      <c r="U20" s="66">
        <v>12</v>
      </c>
      <c r="V20" s="72" t="s">
        <v>101</v>
      </c>
      <c r="W20" s="68" t="s">
        <v>102</v>
      </c>
      <c r="X20" s="68" t="s">
        <v>103</v>
      </c>
      <c r="Y20" s="107"/>
      <c r="Z20" s="107"/>
      <c r="AA20" s="107"/>
      <c r="AB20" s="107"/>
      <c r="AC20" s="107"/>
      <c r="AD20" s="107"/>
      <c r="AE20" s="107"/>
      <c r="AF20" s="107"/>
      <c r="AG20" s="107"/>
      <c r="AH20" s="107"/>
      <c r="AI20" s="85">
        <f>10*3600000*1+24000000-24000000-11477500</f>
        <v>24522500</v>
      </c>
      <c r="AJ20" s="107"/>
      <c r="AK20" s="107"/>
      <c r="AL20" s="107"/>
      <c r="AM20" s="91">
        <f t="shared" si="0"/>
        <v>24522500</v>
      </c>
      <c r="AN20" s="81" t="s">
        <v>1426</v>
      </c>
      <c r="AO20" s="6"/>
    </row>
    <row r="21" spans="1:41" s="1" customFormat="1" ht="144" hidden="1" customHeight="1" x14ac:dyDescent="0.2">
      <c r="A21" s="69">
        <v>305</v>
      </c>
      <c r="B21" s="105" t="s">
        <v>1395</v>
      </c>
      <c r="C21" s="66">
        <v>4</v>
      </c>
      <c r="D21" s="68" t="s">
        <v>1394</v>
      </c>
      <c r="E21" s="66">
        <v>45</v>
      </c>
      <c r="F21" s="68" t="s">
        <v>36</v>
      </c>
      <c r="G21" s="66" t="s">
        <v>38</v>
      </c>
      <c r="H21" s="68" t="s">
        <v>1352</v>
      </c>
      <c r="I21" s="66">
        <v>4599</v>
      </c>
      <c r="J21" s="68" t="s">
        <v>1353</v>
      </c>
      <c r="K21" s="68" t="s">
        <v>96</v>
      </c>
      <c r="L21" s="66" t="s">
        <v>38</v>
      </c>
      <c r="M21" s="68" t="s">
        <v>109</v>
      </c>
      <c r="N21" s="66">
        <v>4599031</v>
      </c>
      <c r="O21" s="68" t="s">
        <v>98</v>
      </c>
      <c r="P21" s="66" t="s">
        <v>38</v>
      </c>
      <c r="Q21" s="68" t="s">
        <v>107</v>
      </c>
      <c r="R21" s="66">
        <v>459903101</v>
      </c>
      <c r="S21" s="68" t="s">
        <v>100</v>
      </c>
      <c r="T21" s="72" t="s">
        <v>1449</v>
      </c>
      <c r="U21" s="66">
        <v>12</v>
      </c>
      <c r="V21" s="72" t="s">
        <v>101</v>
      </c>
      <c r="W21" s="68" t="s">
        <v>102</v>
      </c>
      <c r="X21" s="68" t="s">
        <v>103</v>
      </c>
      <c r="Y21" s="107"/>
      <c r="Z21" s="107"/>
      <c r="AA21" s="107"/>
      <c r="AB21" s="107"/>
      <c r="AC21" s="107"/>
      <c r="AD21" s="107"/>
      <c r="AE21" s="107"/>
      <c r="AF21" s="107"/>
      <c r="AG21" s="107"/>
      <c r="AH21" s="107"/>
      <c r="AI21" s="85">
        <f>10*3600000*1+24000000-33000000</f>
        <v>27000000</v>
      </c>
      <c r="AJ21" s="107"/>
      <c r="AK21" s="107"/>
      <c r="AL21" s="107"/>
      <c r="AM21" s="91">
        <f t="shared" si="0"/>
        <v>27000000</v>
      </c>
      <c r="AN21" s="81" t="s">
        <v>1426</v>
      </c>
      <c r="AO21" s="6"/>
    </row>
    <row r="22" spans="1:41" s="1" customFormat="1" ht="135" hidden="1" customHeight="1" x14ac:dyDescent="0.2">
      <c r="A22" s="69">
        <v>305</v>
      </c>
      <c r="B22" s="105" t="s">
        <v>1395</v>
      </c>
      <c r="C22" s="66">
        <v>4</v>
      </c>
      <c r="D22" s="68" t="s">
        <v>1394</v>
      </c>
      <c r="E22" s="66">
        <v>45</v>
      </c>
      <c r="F22" s="68" t="s">
        <v>36</v>
      </c>
      <c r="G22" s="66" t="s">
        <v>38</v>
      </c>
      <c r="H22" s="68" t="s">
        <v>1352</v>
      </c>
      <c r="I22" s="66">
        <v>4599</v>
      </c>
      <c r="J22" s="68" t="s">
        <v>1353</v>
      </c>
      <c r="K22" s="68" t="s">
        <v>96</v>
      </c>
      <c r="L22" s="66" t="s">
        <v>38</v>
      </c>
      <c r="M22" s="68" t="s">
        <v>110</v>
      </c>
      <c r="N22" s="66">
        <v>4599031</v>
      </c>
      <c r="O22" s="68" t="s">
        <v>98</v>
      </c>
      <c r="P22" s="66" t="s">
        <v>38</v>
      </c>
      <c r="Q22" s="68" t="s">
        <v>107</v>
      </c>
      <c r="R22" s="66">
        <v>459903101</v>
      </c>
      <c r="S22" s="68" t="s">
        <v>100</v>
      </c>
      <c r="T22" s="72" t="s">
        <v>1449</v>
      </c>
      <c r="U22" s="66">
        <v>12</v>
      </c>
      <c r="V22" s="72" t="s">
        <v>101</v>
      </c>
      <c r="W22" s="68" t="s">
        <v>102</v>
      </c>
      <c r="X22" s="68" t="s">
        <v>103</v>
      </c>
      <c r="Y22" s="107"/>
      <c r="Z22" s="107"/>
      <c r="AA22" s="107"/>
      <c r="AB22" s="107"/>
      <c r="AC22" s="107"/>
      <c r="AD22" s="107"/>
      <c r="AE22" s="107"/>
      <c r="AF22" s="107"/>
      <c r="AG22" s="107"/>
      <c r="AH22" s="107"/>
      <c r="AI22" s="70">
        <v>19675833</v>
      </c>
      <c r="AJ22" s="107"/>
      <c r="AK22" s="107"/>
      <c r="AL22" s="107"/>
      <c r="AM22" s="91">
        <f t="shared" si="0"/>
        <v>19675833</v>
      </c>
      <c r="AN22" s="81" t="s">
        <v>1426</v>
      </c>
      <c r="AO22" s="6"/>
    </row>
    <row r="23" spans="1:41" s="1" customFormat="1" ht="138" hidden="1" customHeight="1" x14ac:dyDescent="0.2">
      <c r="A23" s="69">
        <v>305</v>
      </c>
      <c r="B23" s="105" t="s">
        <v>1395</v>
      </c>
      <c r="C23" s="66">
        <v>4</v>
      </c>
      <c r="D23" s="68" t="s">
        <v>1394</v>
      </c>
      <c r="E23" s="66">
        <v>45</v>
      </c>
      <c r="F23" s="68" t="s">
        <v>36</v>
      </c>
      <c r="G23" s="66" t="s">
        <v>38</v>
      </c>
      <c r="H23" s="68" t="s">
        <v>1352</v>
      </c>
      <c r="I23" s="66">
        <v>4599</v>
      </c>
      <c r="J23" s="68" t="s">
        <v>1353</v>
      </c>
      <c r="K23" s="68" t="s">
        <v>37</v>
      </c>
      <c r="L23" s="66" t="s">
        <v>38</v>
      </c>
      <c r="M23" s="68" t="s">
        <v>39</v>
      </c>
      <c r="N23" s="66">
        <v>4599023</v>
      </c>
      <c r="O23" s="68" t="s">
        <v>111</v>
      </c>
      <c r="P23" s="66" t="s">
        <v>38</v>
      </c>
      <c r="Q23" s="67" t="s">
        <v>112</v>
      </c>
      <c r="R23" s="66">
        <v>459902300</v>
      </c>
      <c r="S23" s="67" t="s">
        <v>42</v>
      </c>
      <c r="T23" s="72" t="s">
        <v>1449</v>
      </c>
      <c r="U23" s="66">
        <v>18</v>
      </c>
      <c r="V23" s="72" t="s">
        <v>113</v>
      </c>
      <c r="W23" s="67" t="s">
        <v>114</v>
      </c>
      <c r="X23" s="67" t="s">
        <v>115</v>
      </c>
      <c r="Y23" s="113"/>
      <c r="Z23" s="113"/>
      <c r="AA23" s="113"/>
      <c r="AB23" s="113"/>
      <c r="AC23" s="113"/>
      <c r="AD23" s="113"/>
      <c r="AE23" s="113"/>
      <c r="AF23" s="113"/>
      <c r="AG23" s="113"/>
      <c r="AH23" s="113"/>
      <c r="AI23" s="70">
        <v>70730000</v>
      </c>
      <c r="AJ23" s="113"/>
      <c r="AK23" s="113"/>
      <c r="AL23" s="113"/>
      <c r="AM23" s="91">
        <f t="shared" si="0"/>
        <v>70730000</v>
      </c>
      <c r="AN23" s="81" t="s">
        <v>1426</v>
      </c>
      <c r="AO23" s="6"/>
    </row>
    <row r="24" spans="1:41" s="1" customFormat="1" ht="171" hidden="1" customHeight="1" x14ac:dyDescent="0.2">
      <c r="A24" s="69">
        <v>307</v>
      </c>
      <c r="B24" s="105" t="s">
        <v>1397</v>
      </c>
      <c r="C24" s="66">
        <v>4</v>
      </c>
      <c r="D24" s="105" t="s">
        <v>1394</v>
      </c>
      <c r="E24" s="66">
        <v>45</v>
      </c>
      <c r="F24" s="68" t="s">
        <v>36</v>
      </c>
      <c r="G24" s="66" t="s">
        <v>38</v>
      </c>
      <c r="H24" s="68" t="s">
        <v>1352</v>
      </c>
      <c r="I24" s="66">
        <v>4599</v>
      </c>
      <c r="J24" s="68" t="s">
        <v>1353</v>
      </c>
      <c r="K24" s="68" t="s">
        <v>116</v>
      </c>
      <c r="L24" s="66" t="s">
        <v>38</v>
      </c>
      <c r="M24" s="114" t="s">
        <v>117</v>
      </c>
      <c r="N24" s="66">
        <v>4599002</v>
      </c>
      <c r="O24" s="114" t="s">
        <v>47</v>
      </c>
      <c r="P24" s="66" t="s">
        <v>38</v>
      </c>
      <c r="Q24" s="109" t="s">
        <v>118</v>
      </c>
      <c r="R24" s="66">
        <v>459900201</v>
      </c>
      <c r="S24" s="109" t="s">
        <v>119</v>
      </c>
      <c r="T24" s="72" t="s">
        <v>1449</v>
      </c>
      <c r="U24" s="115">
        <v>1</v>
      </c>
      <c r="V24" s="72" t="s">
        <v>120</v>
      </c>
      <c r="W24" s="67" t="s">
        <v>121</v>
      </c>
      <c r="X24" s="68" t="s">
        <v>122</v>
      </c>
      <c r="Y24" s="116"/>
      <c r="Z24" s="116"/>
      <c r="AA24" s="107"/>
      <c r="AB24" s="116"/>
      <c r="AC24" s="116"/>
      <c r="AD24" s="116"/>
      <c r="AE24" s="116"/>
      <c r="AF24" s="116"/>
      <c r="AG24" s="116"/>
      <c r="AH24" s="116"/>
      <c r="AI24" s="70">
        <v>1981395879</v>
      </c>
      <c r="AJ24" s="116"/>
      <c r="AK24" s="117">
        <v>504229463.83999997</v>
      </c>
      <c r="AL24" s="117"/>
      <c r="AM24" s="91">
        <f t="shared" si="0"/>
        <v>2485625342.8400002</v>
      </c>
      <c r="AN24" s="72" t="s">
        <v>1427</v>
      </c>
      <c r="AO24" s="6"/>
    </row>
    <row r="25" spans="1:41" s="1" customFormat="1" ht="145.5" hidden="1" customHeight="1" x14ac:dyDescent="0.2">
      <c r="A25" s="69">
        <v>307</v>
      </c>
      <c r="B25" s="105" t="s">
        <v>1397</v>
      </c>
      <c r="C25" s="66">
        <v>4</v>
      </c>
      <c r="D25" s="105" t="s">
        <v>1394</v>
      </c>
      <c r="E25" s="66">
        <v>45</v>
      </c>
      <c r="F25" s="68" t="s">
        <v>36</v>
      </c>
      <c r="G25" s="66" t="s">
        <v>38</v>
      </c>
      <c r="H25" s="68" t="s">
        <v>1352</v>
      </c>
      <c r="I25" s="66">
        <v>4599</v>
      </c>
      <c r="J25" s="68" t="s">
        <v>1353</v>
      </c>
      <c r="K25" s="68" t="s">
        <v>116</v>
      </c>
      <c r="L25" s="66" t="s">
        <v>38</v>
      </c>
      <c r="M25" s="114" t="s">
        <v>123</v>
      </c>
      <c r="N25" s="66">
        <v>4599002</v>
      </c>
      <c r="O25" s="114" t="s">
        <v>124</v>
      </c>
      <c r="P25" s="66" t="s">
        <v>38</v>
      </c>
      <c r="Q25" s="109" t="s">
        <v>125</v>
      </c>
      <c r="R25" s="66">
        <v>459900200</v>
      </c>
      <c r="S25" s="109" t="s">
        <v>1319</v>
      </c>
      <c r="T25" s="72" t="s">
        <v>1449</v>
      </c>
      <c r="U25" s="115">
        <v>1</v>
      </c>
      <c r="V25" s="72" t="s">
        <v>126</v>
      </c>
      <c r="W25" s="67" t="s">
        <v>127</v>
      </c>
      <c r="X25" s="68" t="s">
        <v>128</v>
      </c>
      <c r="Y25" s="107"/>
      <c r="Z25" s="107"/>
      <c r="AA25" s="107"/>
      <c r="AB25" s="107"/>
      <c r="AC25" s="107"/>
      <c r="AD25" s="107"/>
      <c r="AE25" s="107"/>
      <c r="AF25" s="107"/>
      <c r="AG25" s="107"/>
      <c r="AH25" s="107"/>
      <c r="AI25" s="70">
        <v>316000000</v>
      </c>
      <c r="AJ25" s="107"/>
      <c r="AK25" s="117"/>
      <c r="AL25" s="107"/>
      <c r="AM25" s="91">
        <f t="shared" si="0"/>
        <v>316000000</v>
      </c>
      <c r="AN25" s="72" t="s">
        <v>1427</v>
      </c>
      <c r="AO25" s="6"/>
    </row>
    <row r="26" spans="1:41" s="1" customFormat="1" ht="217.5" hidden="1" customHeight="1" x14ac:dyDescent="0.2">
      <c r="A26" s="69">
        <v>308</v>
      </c>
      <c r="B26" s="68" t="s">
        <v>1400</v>
      </c>
      <c r="C26" s="66">
        <v>1</v>
      </c>
      <c r="D26" s="68" t="s">
        <v>1396</v>
      </c>
      <c r="E26" s="66">
        <v>12</v>
      </c>
      <c r="F26" s="68" t="s">
        <v>129</v>
      </c>
      <c r="G26" s="66">
        <v>1202</v>
      </c>
      <c r="H26" s="68" t="s">
        <v>1355</v>
      </c>
      <c r="I26" s="66">
        <v>1202</v>
      </c>
      <c r="J26" s="68" t="s">
        <v>1354</v>
      </c>
      <c r="K26" s="68" t="s">
        <v>130</v>
      </c>
      <c r="L26" s="66" t="s">
        <v>38</v>
      </c>
      <c r="M26" s="119" t="s">
        <v>131</v>
      </c>
      <c r="N26" s="66">
        <v>1202019</v>
      </c>
      <c r="O26" s="119" t="s">
        <v>132</v>
      </c>
      <c r="P26" s="66" t="s">
        <v>38</v>
      </c>
      <c r="Q26" s="119" t="s">
        <v>133</v>
      </c>
      <c r="R26" s="106">
        <v>120201900</v>
      </c>
      <c r="S26" s="119" t="s">
        <v>134</v>
      </c>
      <c r="T26" s="72" t="s">
        <v>1451</v>
      </c>
      <c r="U26" s="34">
        <v>3</v>
      </c>
      <c r="V26" s="72" t="s">
        <v>135</v>
      </c>
      <c r="W26" s="67" t="s">
        <v>136</v>
      </c>
      <c r="X26" s="67" t="s">
        <v>137</v>
      </c>
      <c r="Y26" s="120"/>
      <c r="Z26" s="107"/>
      <c r="AA26" s="107"/>
      <c r="AB26" s="107"/>
      <c r="AC26" s="107"/>
      <c r="AD26" s="107"/>
      <c r="AE26" s="107"/>
      <c r="AF26" s="107"/>
      <c r="AG26" s="107"/>
      <c r="AH26" s="107"/>
      <c r="AI26" s="111">
        <v>24750000</v>
      </c>
      <c r="AJ26" s="107"/>
      <c r="AK26" s="107"/>
      <c r="AL26" s="121"/>
      <c r="AM26" s="91">
        <f t="shared" si="0"/>
        <v>24750000</v>
      </c>
      <c r="AN26" s="72" t="s">
        <v>1428</v>
      </c>
      <c r="AO26" s="6"/>
    </row>
    <row r="27" spans="1:41" s="1" customFormat="1" ht="156.75" hidden="1" customHeight="1" x14ac:dyDescent="0.2">
      <c r="A27" s="69">
        <v>308</v>
      </c>
      <c r="B27" s="68" t="s">
        <v>1400</v>
      </c>
      <c r="C27" s="66">
        <v>1</v>
      </c>
      <c r="D27" s="68" t="s">
        <v>1396</v>
      </c>
      <c r="E27" s="66">
        <v>19</v>
      </c>
      <c r="F27" s="68" t="s">
        <v>138</v>
      </c>
      <c r="G27" s="66">
        <v>1906</v>
      </c>
      <c r="H27" s="68" t="s">
        <v>1339</v>
      </c>
      <c r="I27" s="66">
        <v>1906</v>
      </c>
      <c r="J27" s="72" t="s">
        <v>1340</v>
      </c>
      <c r="K27" s="68" t="s">
        <v>139</v>
      </c>
      <c r="L27" s="66" t="s">
        <v>38</v>
      </c>
      <c r="M27" s="119" t="s">
        <v>140</v>
      </c>
      <c r="N27" s="66">
        <v>1906015</v>
      </c>
      <c r="O27" s="119" t="s">
        <v>141</v>
      </c>
      <c r="P27" s="66" t="s">
        <v>38</v>
      </c>
      <c r="Q27" s="124" t="s">
        <v>142</v>
      </c>
      <c r="R27" s="33">
        <v>190601500</v>
      </c>
      <c r="S27" s="124" t="s">
        <v>141</v>
      </c>
      <c r="T27" s="72" t="s">
        <v>1451</v>
      </c>
      <c r="U27" s="106">
        <v>1</v>
      </c>
      <c r="V27" s="72" t="s">
        <v>143</v>
      </c>
      <c r="W27" s="67" t="s">
        <v>144</v>
      </c>
      <c r="X27" s="67" t="s">
        <v>145</v>
      </c>
      <c r="Y27" s="120"/>
      <c r="Z27" s="107"/>
      <c r="AA27" s="107"/>
      <c r="AB27" s="107"/>
      <c r="AC27" s="107"/>
      <c r="AD27" s="107"/>
      <c r="AE27" s="107"/>
      <c r="AF27" s="107"/>
      <c r="AG27" s="107"/>
      <c r="AH27" s="107"/>
      <c r="AI27" s="111">
        <v>459746979</v>
      </c>
      <c r="AJ27" s="107"/>
      <c r="AK27" s="121"/>
      <c r="AL27" s="121"/>
      <c r="AM27" s="91">
        <f t="shared" si="0"/>
        <v>459746979</v>
      </c>
      <c r="AN27" s="72" t="s">
        <v>1428</v>
      </c>
      <c r="AO27" s="6"/>
    </row>
    <row r="28" spans="1:41" s="1" customFormat="1" ht="173.25" hidden="1" customHeight="1" x14ac:dyDescent="0.2">
      <c r="A28" s="69">
        <v>308</v>
      </c>
      <c r="B28" s="68" t="s">
        <v>1400</v>
      </c>
      <c r="C28" s="66">
        <v>1</v>
      </c>
      <c r="D28" s="68" t="s">
        <v>1396</v>
      </c>
      <c r="E28" s="66">
        <v>22</v>
      </c>
      <c r="F28" s="125" t="s">
        <v>146</v>
      </c>
      <c r="G28" s="66">
        <v>2201</v>
      </c>
      <c r="H28" s="68" t="s">
        <v>264</v>
      </c>
      <c r="I28" s="66">
        <v>2201</v>
      </c>
      <c r="J28" s="68" t="s">
        <v>1369</v>
      </c>
      <c r="K28" s="68" t="s">
        <v>147</v>
      </c>
      <c r="L28" s="66" t="s">
        <v>38</v>
      </c>
      <c r="M28" s="68" t="s">
        <v>148</v>
      </c>
      <c r="N28" s="66">
        <v>2201062</v>
      </c>
      <c r="O28" s="68" t="s">
        <v>149</v>
      </c>
      <c r="P28" s="66" t="s">
        <v>38</v>
      </c>
      <c r="Q28" s="68" t="s">
        <v>150</v>
      </c>
      <c r="R28" s="66">
        <v>220106200</v>
      </c>
      <c r="S28" s="67" t="s">
        <v>151</v>
      </c>
      <c r="T28" s="72" t="s">
        <v>1451</v>
      </c>
      <c r="U28" s="34">
        <v>15</v>
      </c>
      <c r="V28" s="72" t="s">
        <v>152</v>
      </c>
      <c r="W28" s="67" t="s">
        <v>153</v>
      </c>
      <c r="X28" s="67" t="s">
        <v>154</v>
      </c>
      <c r="Y28" s="120">
        <v>1765974462.4000001</v>
      </c>
      <c r="Z28" s="107"/>
      <c r="AA28" s="107"/>
      <c r="AB28" s="107"/>
      <c r="AC28" s="107"/>
      <c r="AD28" s="107"/>
      <c r="AE28" s="107"/>
      <c r="AF28" s="107"/>
      <c r="AG28" s="107"/>
      <c r="AH28" s="107"/>
      <c r="AI28" s="111"/>
      <c r="AJ28" s="107"/>
      <c r="AK28" s="121"/>
      <c r="AL28" s="121"/>
      <c r="AM28" s="91">
        <f t="shared" si="0"/>
        <v>1765974462.4000001</v>
      </c>
      <c r="AN28" s="72" t="s">
        <v>1428</v>
      </c>
      <c r="AO28" s="6"/>
    </row>
    <row r="29" spans="1:41" s="1" customFormat="1" ht="96" hidden="1" customHeight="1" x14ac:dyDescent="0.2">
      <c r="A29" s="69">
        <v>308</v>
      </c>
      <c r="B29" s="68" t="s">
        <v>1400</v>
      </c>
      <c r="C29" s="66">
        <v>1</v>
      </c>
      <c r="D29" s="68" t="s">
        <v>1396</v>
      </c>
      <c r="E29" s="66">
        <v>33</v>
      </c>
      <c r="F29" s="125" t="s">
        <v>155</v>
      </c>
      <c r="G29" s="66">
        <v>3301</v>
      </c>
      <c r="H29" s="68" t="s">
        <v>156</v>
      </c>
      <c r="I29" s="66">
        <v>3301</v>
      </c>
      <c r="J29" s="68" t="s">
        <v>1380</v>
      </c>
      <c r="K29" s="68" t="s">
        <v>157</v>
      </c>
      <c r="L29" s="66" t="s">
        <v>158</v>
      </c>
      <c r="M29" s="68" t="s">
        <v>159</v>
      </c>
      <c r="N29" s="66" t="s">
        <v>158</v>
      </c>
      <c r="O29" s="68" t="s">
        <v>159</v>
      </c>
      <c r="P29" s="106" t="s">
        <v>160</v>
      </c>
      <c r="Q29" s="119" t="s">
        <v>161</v>
      </c>
      <c r="R29" s="106" t="s">
        <v>160</v>
      </c>
      <c r="S29" s="119" t="s">
        <v>161</v>
      </c>
      <c r="T29" s="72" t="s">
        <v>1451</v>
      </c>
      <c r="U29" s="34">
        <v>2</v>
      </c>
      <c r="V29" s="72" t="s">
        <v>162</v>
      </c>
      <c r="W29" s="67" t="s">
        <v>163</v>
      </c>
      <c r="X29" s="67" t="s">
        <v>164</v>
      </c>
      <c r="Y29" s="107"/>
      <c r="Z29" s="107"/>
      <c r="AA29" s="107"/>
      <c r="AB29" s="107"/>
      <c r="AC29" s="107"/>
      <c r="AD29" s="107"/>
      <c r="AE29" s="107"/>
      <c r="AF29" s="107"/>
      <c r="AG29" s="107"/>
      <c r="AH29" s="107"/>
      <c r="AI29" s="71">
        <v>110104790</v>
      </c>
      <c r="AJ29" s="107"/>
      <c r="AK29" s="107"/>
      <c r="AL29" s="107"/>
      <c r="AM29" s="91">
        <f t="shared" si="0"/>
        <v>110104790</v>
      </c>
      <c r="AN29" s="72" t="s">
        <v>1428</v>
      </c>
      <c r="AO29" s="6"/>
    </row>
    <row r="30" spans="1:41" s="1" customFormat="1" ht="161.25" hidden="1" customHeight="1" x14ac:dyDescent="0.2">
      <c r="A30" s="69">
        <v>308</v>
      </c>
      <c r="B30" s="68" t="s">
        <v>1400</v>
      </c>
      <c r="C30" s="66">
        <v>1</v>
      </c>
      <c r="D30" s="68" t="s">
        <v>1396</v>
      </c>
      <c r="E30" s="66">
        <v>43</v>
      </c>
      <c r="F30" s="126" t="s">
        <v>165</v>
      </c>
      <c r="G30" s="66">
        <v>4301</v>
      </c>
      <c r="H30" s="126" t="s">
        <v>1346</v>
      </c>
      <c r="I30" s="66">
        <v>4301</v>
      </c>
      <c r="J30" s="126" t="s">
        <v>1347</v>
      </c>
      <c r="K30" s="68" t="s">
        <v>166</v>
      </c>
      <c r="L30" s="66" t="s">
        <v>38</v>
      </c>
      <c r="M30" s="119" t="s">
        <v>167</v>
      </c>
      <c r="N30" s="66">
        <v>4301004</v>
      </c>
      <c r="O30" s="119" t="s">
        <v>168</v>
      </c>
      <c r="P30" s="66" t="s">
        <v>38</v>
      </c>
      <c r="Q30" s="119" t="s">
        <v>169</v>
      </c>
      <c r="R30" s="66">
        <v>430100401</v>
      </c>
      <c r="S30" s="119" t="s">
        <v>170</v>
      </c>
      <c r="T30" s="72" t="s">
        <v>1451</v>
      </c>
      <c r="U30" s="34">
        <v>3</v>
      </c>
      <c r="V30" s="72" t="s">
        <v>171</v>
      </c>
      <c r="W30" s="67" t="s">
        <v>172</v>
      </c>
      <c r="X30" s="67" t="s">
        <v>173</v>
      </c>
      <c r="Y30" s="75">
        <v>2760904177.1000004</v>
      </c>
      <c r="Z30" s="107"/>
      <c r="AA30" s="107"/>
      <c r="AB30" s="107"/>
      <c r="AC30" s="107"/>
      <c r="AD30" s="107"/>
      <c r="AE30" s="107"/>
      <c r="AF30" s="107"/>
      <c r="AG30" s="107"/>
      <c r="AH30" s="107"/>
      <c r="AI30" s="111"/>
      <c r="AJ30" s="107"/>
      <c r="AK30" s="107"/>
      <c r="AL30" s="107"/>
      <c r="AM30" s="91">
        <f t="shared" si="0"/>
        <v>2760904177.1000004</v>
      </c>
      <c r="AN30" s="72" t="s">
        <v>1428</v>
      </c>
      <c r="AO30" s="6"/>
    </row>
    <row r="31" spans="1:41" s="1" customFormat="1" ht="161.25" hidden="1" customHeight="1" x14ac:dyDescent="0.2">
      <c r="A31" s="69">
        <v>308</v>
      </c>
      <c r="B31" s="68" t="s">
        <v>1400</v>
      </c>
      <c r="C31" s="66">
        <v>2</v>
      </c>
      <c r="D31" s="119" t="s">
        <v>1456</v>
      </c>
      <c r="E31" s="66">
        <v>35</v>
      </c>
      <c r="F31" s="105" t="s">
        <v>385</v>
      </c>
      <c r="G31" s="66">
        <v>3502</v>
      </c>
      <c r="H31" s="119" t="s">
        <v>1457</v>
      </c>
      <c r="I31" s="66">
        <v>3502</v>
      </c>
      <c r="J31" s="119" t="s">
        <v>1458</v>
      </c>
      <c r="K31" s="119" t="s">
        <v>1460</v>
      </c>
      <c r="L31" s="66">
        <v>3502039</v>
      </c>
      <c r="M31" s="119" t="s">
        <v>404</v>
      </c>
      <c r="N31" s="66">
        <v>3502039</v>
      </c>
      <c r="O31" s="119" t="s">
        <v>404</v>
      </c>
      <c r="P31" s="106">
        <v>350203910</v>
      </c>
      <c r="Q31" s="119" t="s">
        <v>409</v>
      </c>
      <c r="R31" s="106">
        <v>350203910</v>
      </c>
      <c r="S31" s="119" t="s">
        <v>409</v>
      </c>
      <c r="T31" s="106" t="s">
        <v>1451</v>
      </c>
      <c r="U31" s="34">
        <v>1</v>
      </c>
      <c r="V31" s="72" t="s">
        <v>1461</v>
      </c>
      <c r="W31" s="67" t="s">
        <v>1459</v>
      </c>
      <c r="X31" s="67" t="s">
        <v>1462</v>
      </c>
      <c r="Y31" s="75"/>
      <c r="Z31" s="107"/>
      <c r="AA31" s="107"/>
      <c r="AB31" s="107"/>
      <c r="AC31" s="107"/>
      <c r="AD31" s="107"/>
      <c r="AE31" s="107"/>
      <c r="AF31" s="107"/>
      <c r="AG31" s="107"/>
      <c r="AH31" s="107"/>
      <c r="AI31" s="111">
        <f>58370567-58370566</f>
        <v>1</v>
      </c>
      <c r="AJ31" s="107"/>
      <c r="AK31" s="107"/>
      <c r="AL31" s="107"/>
      <c r="AM31" s="91">
        <f t="shared" si="0"/>
        <v>1</v>
      </c>
      <c r="AN31" s="72"/>
      <c r="AO31" s="6"/>
    </row>
    <row r="32" spans="1:41" s="1" customFormat="1" ht="162" hidden="1" customHeight="1" x14ac:dyDescent="0.2">
      <c r="A32" s="69">
        <v>308</v>
      </c>
      <c r="B32" s="68" t="s">
        <v>1400</v>
      </c>
      <c r="C32" s="66">
        <v>3</v>
      </c>
      <c r="D32" s="119" t="s">
        <v>1398</v>
      </c>
      <c r="E32" s="66">
        <v>24</v>
      </c>
      <c r="F32" s="105" t="s">
        <v>175</v>
      </c>
      <c r="G32" s="66">
        <v>2402</v>
      </c>
      <c r="H32" s="119" t="s">
        <v>176</v>
      </c>
      <c r="I32" s="66">
        <v>2402</v>
      </c>
      <c r="J32" s="119" t="s">
        <v>1372</v>
      </c>
      <c r="K32" s="119" t="s">
        <v>1271</v>
      </c>
      <c r="L32" s="66" t="s">
        <v>38</v>
      </c>
      <c r="M32" s="119" t="s">
        <v>177</v>
      </c>
      <c r="N32" s="66">
        <v>2402022</v>
      </c>
      <c r="O32" s="119" t="s">
        <v>178</v>
      </c>
      <c r="P32" s="66" t="s">
        <v>38</v>
      </c>
      <c r="Q32" s="119" t="s">
        <v>179</v>
      </c>
      <c r="R32" s="66">
        <v>240202200</v>
      </c>
      <c r="S32" s="119" t="s">
        <v>180</v>
      </c>
      <c r="T32" s="72" t="s">
        <v>1449</v>
      </c>
      <c r="U32" s="33">
        <v>1</v>
      </c>
      <c r="V32" s="72" t="s">
        <v>181</v>
      </c>
      <c r="W32" s="68" t="s">
        <v>182</v>
      </c>
      <c r="X32" s="68" t="s">
        <v>183</v>
      </c>
      <c r="Y32" s="107"/>
      <c r="Z32" s="107"/>
      <c r="AA32" s="128"/>
      <c r="AB32" s="107"/>
      <c r="AC32" s="107"/>
      <c r="AD32" s="107"/>
      <c r="AE32" s="107"/>
      <c r="AF32" s="107"/>
      <c r="AG32" s="107"/>
      <c r="AH32" s="107"/>
      <c r="AI32" s="129">
        <v>77479710</v>
      </c>
      <c r="AJ32" s="107"/>
      <c r="AK32" s="107"/>
      <c r="AL32" s="107"/>
      <c r="AM32" s="91">
        <f t="shared" si="0"/>
        <v>77479710</v>
      </c>
      <c r="AN32" s="72" t="s">
        <v>1428</v>
      </c>
      <c r="AO32" s="6"/>
    </row>
    <row r="33" spans="1:41" s="1" customFormat="1" ht="144.75" hidden="1" customHeight="1" x14ac:dyDescent="0.2">
      <c r="A33" s="69">
        <v>308</v>
      </c>
      <c r="B33" s="68" t="s">
        <v>1400</v>
      </c>
      <c r="C33" s="66">
        <v>3</v>
      </c>
      <c r="D33" s="119" t="s">
        <v>1398</v>
      </c>
      <c r="E33" s="66">
        <v>24</v>
      </c>
      <c r="F33" s="105" t="s">
        <v>175</v>
      </c>
      <c r="G33" s="66">
        <v>2402</v>
      </c>
      <c r="H33" s="119" t="s">
        <v>176</v>
      </c>
      <c r="I33" s="66">
        <v>2402</v>
      </c>
      <c r="J33" s="119" t="s">
        <v>1372</v>
      </c>
      <c r="K33" s="119" t="s">
        <v>1271</v>
      </c>
      <c r="L33" s="66" t="s">
        <v>38</v>
      </c>
      <c r="M33" s="119" t="s">
        <v>184</v>
      </c>
      <c r="N33" s="130">
        <v>2402041</v>
      </c>
      <c r="O33" s="119" t="s">
        <v>185</v>
      </c>
      <c r="P33" s="66" t="s">
        <v>38</v>
      </c>
      <c r="Q33" s="119" t="s">
        <v>186</v>
      </c>
      <c r="R33" s="106">
        <v>240204100</v>
      </c>
      <c r="S33" s="119" t="s">
        <v>187</v>
      </c>
      <c r="T33" s="72" t="s">
        <v>1449</v>
      </c>
      <c r="U33" s="33">
        <v>130</v>
      </c>
      <c r="V33" s="72" t="s">
        <v>181</v>
      </c>
      <c r="W33" s="68" t="s">
        <v>182</v>
      </c>
      <c r="X33" s="68" t="s">
        <v>183</v>
      </c>
      <c r="Y33" s="107"/>
      <c r="Z33" s="107"/>
      <c r="AA33" s="120"/>
      <c r="AB33" s="107"/>
      <c r="AC33" s="107"/>
      <c r="AD33" s="107"/>
      <c r="AE33" s="107"/>
      <c r="AF33" s="107"/>
      <c r="AG33" s="107"/>
      <c r="AH33" s="107"/>
      <c r="AI33" s="129">
        <v>674804361</v>
      </c>
      <c r="AJ33" s="107"/>
      <c r="AK33" s="131">
        <v>7798323517</v>
      </c>
      <c r="AL33" s="107"/>
      <c r="AM33" s="91">
        <f t="shared" si="0"/>
        <v>8473127878</v>
      </c>
      <c r="AN33" s="72" t="s">
        <v>1428</v>
      </c>
      <c r="AO33" s="6"/>
    </row>
    <row r="34" spans="1:41" s="1" customFormat="1" ht="121.5" hidden="1" customHeight="1" x14ac:dyDescent="0.2">
      <c r="A34" s="69">
        <v>308</v>
      </c>
      <c r="B34" s="68" t="s">
        <v>1400</v>
      </c>
      <c r="C34" s="66">
        <v>3</v>
      </c>
      <c r="D34" s="119" t="s">
        <v>1398</v>
      </c>
      <c r="E34" s="66">
        <v>24</v>
      </c>
      <c r="F34" s="105" t="s">
        <v>175</v>
      </c>
      <c r="G34" s="66">
        <v>2402</v>
      </c>
      <c r="H34" s="119" t="s">
        <v>176</v>
      </c>
      <c r="I34" s="66">
        <v>2402</v>
      </c>
      <c r="J34" s="119" t="s">
        <v>1372</v>
      </c>
      <c r="K34" s="119" t="s">
        <v>1271</v>
      </c>
      <c r="L34" s="66" t="s">
        <v>38</v>
      </c>
      <c r="M34" s="68" t="s">
        <v>188</v>
      </c>
      <c r="N34" s="66">
        <v>2402118</v>
      </c>
      <c r="O34" s="68" t="s">
        <v>189</v>
      </c>
      <c r="P34" s="66" t="s">
        <v>38</v>
      </c>
      <c r="Q34" s="67" t="s">
        <v>190</v>
      </c>
      <c r="R34" s="66">
        <v>240211800</v>
      </c>
      <c r="S34" s="119" t="s">
        <v>191</v>
      </c>
      <c r="T34" s="72" t="s">
        <v>1451</v>
      </c>
      <c r="U34" s="34">
        <v>6</v>
      </c>
      <c r="V34" s="72" t="s">
        <v>192</v>
      </c>
      <c r="W34" s="68" t="s">
        <v>193</v>
      </c>
      <c r="X34" s="68" t="s">
        <v>194</v>
      </c>
      <c r="Y34" s="107"/>
      <c r="Z34" s="107"/>
      <c r="AA34" s="128"/>
      <c r="AB34" s="107"/>
      <c r="AC34" s="107"/>
      <c r="AD34" s="107"/>
      <c r="AE34" s="107"/>
      <c r="AF34" s="107"/>
      <c r="AG34" s="107"/>
      <c r="AH34" s="107"/>
      <c r="AI34" s="129">
        <v>40000000</v>
      </c>
      <c r="AJ34" s="107"/>
      <c r="AK34" s="107"/>
      <c r="AL34" s="107"/>
      <c r="AM34" s="91">
        <f t="shared" si="0"/>
        <v>40000000</v>
      </c>
      <c r="AN34" s="72" t="s">
        <v>1428</v>
      </c>
      <c r="AO34" s="6"/>
    </row>
    <row r="35" spans="1:41" s="1" customFormat="1" ht="135" hidden="1" customHeight="1" x14ac:dyDescent="0.2">
      <c r="A35" s="69">
        <v>308</v>
      </c>
      <c r="B35" s="68" t="s">
        <v>1400</v>
      </c>
      <c r="C35" s="66">
        <v>3</v>
      </c>
      <c r="D35" s="119" t="s">
        <v>1398</v>
      </c>
      <c r="E35" s="66">
        <v>32</v>
      </c>
      <c r="F35" s="119" t="s">
        <v>195</v>
      </c>
      <c r="G35" s="66">
        <v>3205</v>
      </c>
      <c r="H35" s="68" t="s">
        <v>196</v>
      </c>
      <c r="I35" s="66">
        <v>3205</v>
      </c>
      <c r="J35" s="68" t="s">
        <v>1378</v>
      </c>
      <c r="K35" s="68" t="s">
        <v>197</v>
      </c>
      <c r="L35" s="106">
        <v>3205010</v>
      </c>
      <c r="M35" s="68" t="s">
        <v>198</v>
      </c>
      <c r="N35" s="106">
        <v>3205010</v>
      </c>
      <c r="O35" s="68" t="s">
        <v>198</v>
      </c>
      <c r="P35" s="106" t="s">
        <v>199</v>
      </c>
      <c r="Q35" s="68" t="s">
        <v>200</v>
      </c>
      <c r="R35" s="106" t="s">
        <v>199</v>
      </c>
      <c r="S35" s="68" t="s">
        <v>200</v>
      </c>
      <c r="T35" s="72" t="s">
        <v>1451</v>
      </c>
      <c r="U35" s="34">
        <v>2</v>
      </c>
      <c r="V35" s="72" t="s">
        <v>201</v>
      </c>
      <c r="W35" s="67" t="s">
        <v>202</v>
      </c>
      <c r="X35" s="67" t="s">
        <v>203</v>
      </c>
      <c r="Y35" s="107">
        <v>0</v>
      </c>
      <c r="Z35" s="107">
        <v>0</v>
      </c>
      <c r="AA35" s="128">
        <v>0</v>
      </c>
      <c r="AB35" s="107">
        <v>0</v>
      </c>
      <c r="AC35" s="107">
        <v>0</v>
      </c>
      <c r="AD35" s="107">
        <v>0</v>
      </c>
      <c r="AE35" s="107">
        <v>0</v>
      </c>
      <c r="AF35" s="107">
        <v>0</v>
      </c>
      <c r="AG35" s="107">
        <v>0</v>
      </c>
      <c r="AH35" s="107">
        <v>0</v>
      </c>
      <c r="AI35" s="70">
        <v>1418800000</v>
      </c>
      <c r="AJ35" s="107">
        <v>0</v>
      </c>
      <c r="AK35" s="107">
        <v>0</v>
      </c>
      <c r="AL35" s="107"/>
      <c r="AM35" s="91">
        <f t="shared" si="0"/>
        <v>1418800000</v>
      </c>
      <c r="AN35" s="72" t="s">
        <v>1428</v>
      </c>
      <c r="AO35" s="6"/>
    </row>
    <row r="36" spans="1:41" s="1" customFormat="1" ht="157.5" hidden="1" customHeight="1" x14ac:dyDescent="0.2">
      <c r="A36" s="69">
        <v>308</v>
      </c>
      <c r="B36" s="68" t="s">
        <v>1400</v>
      </c>
      <c r="C36" s="66">
        <v>3</v>
      </c>
      <c r="D36" s="119" t="s">
        <v>1398</v>
      </c>
      <c r="E36" s="66">
        <v>32</v>
      </c>
      <c r="F36" s="119" t="s">
        <v>195</v>
      </c>
      <c r="G36" s="66">
        <v>3205</v>
      </c>
      <c r="H36" s="68" t="s">
        <v>196</v>
      </c>
      <c r="I36" s="66">
        <v>3205</v>
      </c>
      <c r="J36" s="68" t="s">
        <v>1378</v>
      </c>
      <c r="K36" s="68" t="s">
        <v>197</v>
      </c>
      <c r="L36" s="106">
        <v>3205021</v>
      </c>
      <c r="M36" s="68" t="s">
        <v>204</v>
      </c>
      <c r="N36" s="106">
        <v>3205021</v>
      </c>
      <c r="O36" s="68" t="s">
        <v>204</v>
      </c>
      <c r="P36" s="106">
        <v>320502100</v>
      </c>
      <c r="Q36" s="68" t="s">
        <v>205</v>
      </c>
      <c r="R36" s="106">
        <v>320502100</v>
      </c>
      <c r="S36" s="68" t="s">
        <v>205</v>
      </c>
      <c r="T36" s="72" t="s">
        <v>1451</v>
      </c>
      <c r="U36" s="34">
        <v>2</v>
      </c>
      <c r="V36" s="72" t="s">
        <v>206</v>
      </c>
      <c r="W36" s="67" t="s">
        <v>207</v>
      </c>
      <c r="X36" s="67" t="s">
        <v>208</v>
      </c>
      <c r="Y36" s="107"/>
      <c r="Z36" s="107"/>
      <c r="AA36" s="128">
        <v>56108067</v>
      </c>
      <c r="AB36" s="107"/>
      <c r="AC36" s="107"/>
      <c r="AD36" s="107"/>
      <c r="AE36" s="107"/>
      <c r="AF36" s="107"/>
      <c r="AG36" s="107"/>
      <c r="AH36" s="107"/>
      <c r="AI36" s="70">
        <v>788200000</v>
      </c>
      <c r="AJ36" s="107"/>
      <c r="AK36" s="107"/>
      <c r="AL36" s="107"/>
      <c r="AM36" s="91">
        <f t="shared" si="0"/>
        <v>844308067</v>
      </c>
      <c r="AN36" s="72" t="s">
        <v>1428</v>
      </c>
      <c r="AO36" s="6"/>
    </row>
    <row r="37" spans="1:41" s="1" customFormat="1" ht="126.75" hidden="1" customHeight="1" x14ac:dyDescent="0.2">
      <c r="A37" s="69">
        <v>308</v>
      </c>
      <c r="B37" s="68" t="s">
        <v>1400</v>
      </c>
      <c r="C37" s="66">
        <v>3</v>
      </c>
      <c r="D37" s="119" t="s">
        <v>1398</v>
      </c>
      <c r="E37" s="66">
        <v>40</v>
      </c>
      <c r="F37" s="68" t="s">
        <v>209</v>
      </c>
      <c r="G37" s="88">
        <v>4001</v>
      </c>
      <c r="H37" s="68" t="s">
        <v>210</v>
      </c>
      <c r="I37" s="88">
        <v>4001</v>
      </c>
      <c r="J37" s="68" t="s">
        <v>1385</v>
      </c>
      <c r="K37" s="68" t="s">
        <v>211</v>
      </c>
      <c r="L37" s="130">
        <v>4001015</v>
      </c>
      <c r="M37" s="68" t="s">
        <v>212</v>
      </c>
      <c r="N37" s="130">
        <v>4001015</v>
      </c>
      <c r="O37" s="68" t="s">
        <v>212</v>
      </c>
      <c r="P37" s="34" t="s">
        <v>213</v>
      </c>
      <c r="Q37" s="126" t="s">
        <v>214</v>
      </c>
      <c r="R37" s="34" t="s">
        <v>213</v>
      </c>
      <c r="S37" s="126" t="s">
        <v>214</v>
      </c>
      <c r="T37" s="72" t="s">
        <v>1451</v>
      </c>
      <c r="U37" s="34">
        <v>50</v>
      </c>
      <c r="V37" s="72" t="s">
        <v>215</v>
      </c>
      <c r="W37" s="67" t="s">
        <v>216</v>
      </c>
      <c r="X37" s="67" t="s">
        <v>217</v>
      </c>
      <c r="Y37" s="107">
        <v>100000000.09999999</v>
      </c>
      <c r="Z37" s="107"/>
      <c r="AA37" s="128"/>
      <c r="AB37" s="107"/>
      <c r="AC37" s="107"/>
      <c r="AD37" s="107"/>
      <c r="AE37" s="107"/>
      <c r="AF37" s="107"/>
      <c r="AG37" s="107"/>
      <c r="AH37" s="107"/>
      <c r="AI37" s="111">
        <v>20000000</v>
      </c>
      <c r="AJ37" s="107"/>
      <c r="AK37" s="107"/>
      <c r="AL37" s="107"/>
      <c r="AM37" s="91">
        <f t="shared" si="0"/>
        <v>120000000.09999999</v>
      </c>
      <c r="AN37" s="72" t="s">
        <v>1428</v>
      </c>
      <c r="AO37" s="6"/>
    </row>
    <row r="38" spans="1:41" s="1" customFormat="1" ht="117" hidden="1" customHeight="1" x14ac:dyDescent="0.2">
      <c r="A38" s="69">
        <v>308</v>
      </c>
      <c r="B38" s="68" t="s">
        <v>1400</v>
      </c>
      <c r="C38" s="66">
        <v>3</v>
      </c>
      <c r="D38" s="119" t="s">
        <v>1398</v>
      </c>
      <c r="E38" s="66">
        <v>40</v>
      </c>
      <c r="F38" s="68" t="s">
        <v>209</v>
      </c>
      <c r="G38" s="66">
        <v>4003</v>
      </c>
      <c r="H38" s="112" t="s">
        <v>218</v>
      </c>
      <c r="I38" s="66">
        <v>4003</v>
      </c>
      <c r="J38" s="68" t="s">
        <v>1386</v>
      </c>
      <c r="K38" s="119" t="s">
        <v>219</v>
      </c>
      <c r="L38" s="106" t="s">
        <v>38</v>
      </c>
      <c r="M38" s="68" t="s">
        <v>220</v>
      </c>
      <c r="N38" s="66">
        <v>4003006</v>
      </c>
      <c r="O38" s="68" t="s">
        <v>221</v>
      </c>
      <c r="P38" s="106" t="s">
        <v>38</v>
      </c>
      <c r="Q38" s="68" t="s">
        <v>222</v>
      </c>
      <c r="R38" s="66">
        <v>400300600</v>
      </c>
      <c r="S38" s="68" t="s">
        <v>223</v>
      </c>
      <c r="T38" s="72" t="s">
        <v>1449</v>
      </c>
      <c r="U38" s="33">
        <v>1</v>
      </c>
      <c r="V38" s="72" t="s">
        <v>224</v>
      </c>
      <c r="W38" s="67" t="s">
        <v>225</v>
      </c>
      <c r="X38" s="132" t="s">
        <v>226</v>
      </c>
      <c r="Y38" s="107"/>
      <c r="Z38" s="107"/>
      <c r="AA38" s="128"/>
      <c r="AB38" s="107"/>
      <c r="AC38" s="107"/>
      <c r="AD38" s="107"/>
      <c r="AE38" s="107"/>
      <c r="AF38" s="107"/>
      <c r="AG38" s="107"/>
      <c r="AH38" s="107">
        <v>100000000</v>
      </c>
      <c r="AI38" s="111"/>
      <c r="AJ38" s="107"/>
      <c r="AK38" s="107"/>
      <c r="AL38" s="107"/>
      <c r="AM38" s="91">
        <f t="shared" si="0"/>
        <v>100000000</v>
      </c>
      <c r="AN38" s="72" t="s">
        <v>1428</v>
      </c>
      <c r="AO38" s="6"/>
    </row>
    <row r="39" spans="1:41" s="1" customFormat="1" ht="105.75" hidden="1" customHeight="1" x14ac:dyDescent="0.2">
      <c r="A39" s="69">
        <v>308</v>
      </c>
      <c r="B39" s="68" t="s">
        <v>1400</v>
      </c>
      <c r="C39" s="66">
        <v>3</v>
      </c>
      <c r="D39" s="119" t="s">
        <v>1398</v>
      </c>
      <c r="E39" s="66">
        <v>40</v>
      </c>
      <c r="F39" s="68" t="s">
        <v>209</v>
      </c>
      <c r="G39" s="66">
        <v>4003</v>
      </c>
      <c r="H39" s="112" t="s">
        <v>218</v>
      </c>
      <c r="I39" s="66">
        <v>4003</v>
      </c>
      <c r="J39" s="68" t="s">
        <v>1386</v>
      </c>
      <c r="K39" s="119" t="s">
        <v>227</v>
      </c>
      <c r="L39" s="106">
        <v>4003018</v>
      </c>
      <c r="M39" s="119" t="s">
        <v>228</v>
      </c>
      <c r="N39" s="106">
        <v>4003018</v>
      </c>
      <c r="O39" s="119" t="s">
        <v>228</v>
      </c>
      <c r="P39" s="106">
        <v>400301802</v>
      </c>
      <c r="Q39" s="68" t="s">
        <v>229</v>
      </c>
      <c r="R39" s="106">
        <v>400301802</v>
      </c>
      <c r="S39" s="68" t="s">
        <v>229</v>
      </c>
      <c r="T39" s="72" t="s">
        <v>1451</v>
      </c>
      <c r="U39" s="33">
        <v>1</v>
      </c>
      <c r="V39" s="72" t="s">
        <v>224</v>
      </c>
      <c r="W39" s="67" t="s">
        <v>225</v>
      </c>
      <c r="X39" s="132" t="s">
        <v>226</v>
      </c>
      <c r="Y39" s="107"/>
      <c r="Z39" s="107"/>
      <c r="AA39" s="128"/>
      <c r="AB39" s="107"/>
      <c r="AC39" s="107"/>
      <c r="AD39" s="107"/>
      <c r="AE39" s="107"/>
      <c r="AF39" s="107"/>
      <c r="AG39" s="107"/>
      <c r="AH39" s="107">
        <v>852718865</v>
      </c>
      <c r="AI39" s="111"/>
      <c r="AJ39" s="107"/>
      <c r="AK39" s="107"/>
      <c r="AL39" s="107"/>
      <c r="AM39" s="91">
        <f t="shared" si="0"/>
        <v>852718865</v>
      </c>
      <c r="AN39" s="72" t="s">
        <v>1428</v>
      </c>
      <c r="AO39" s="6"/>
    </row>
    <row r="40" spans="1:41" s="1" customFormat="1" ht="105.75" hidden="1" customHeight="1" x14ac:dyDescent="0.2">
      <c r="A40" s="69">
        <v>308</v>
      </c>
      <c r="B40" s="68" t="s">
        <v>1400</v>
      </c>
      <c r="C40" s="66">
        <v>3</v>
      </c>
      <c r="D40" s="119" t="s">
        <v>1398</v>
      </c>
      <c r="E40" s="66">
        <v>40</v>
      </c>
      <c r="F40" s="68" t="s">
        <v>209</v>
      </c>
      <c r="G40" s="66">
        <v>4003</v>
      </c>
      <c r="H40" s="112" t="s">
        <v>218</v>
      </c>
      <c r="I40" s="66">
        <v>4003</v>
      </c>
      <c r="J40" s="68" t="s">
        <v>1386</v>
      </c>
      <c r="K40" s="119" t="s">
        <v>219</v>
      </c>
      <c r="L40" s="106">
        <v>4003025</v>
      </c>
      <c r="M40" s="119" t="s">
        <v>230</v>
      </c>
      <c r="N40" s="106">
        <v>4003025</v>
      </c>
      <c r="O40" s="119" t="s">
        <v>230</v>
      </c>
      <c r="P40" s="33">
        <v>400302500</v>
      </c>
      <c r="Q40" s="124" t="s">
        <v>231</v>
      </c>
      <c r="R40" s="33">
        <v>400302500</v>
      </c>
      <c r="S40" s="124" t="s">
        <v>231</v>
      </c>
      <c r="T40" s="72" t="s">
        <v>1451</v>
      </c>
      <c r="U40" s="33">
        <v>4</v>
      </c>
      <c r="V40" s="72" t="s">
        <v>224</v>
      </c>
      <c r="W40" s="67" t="s">
        <v>225</v>
      </c>
      <c r="X40" s="132" t="s">
        <v>226</v>
      </c>
      <c r="Y40" s="107">
        <v>605000000</v>
      </c>
      <c r="Z40" s="107"/>
      <c r="AA40" s="128"/>
      <c r="AB40" s="107"/>
      <c r="AC40" s="107"/>
      <c r="AD40" s="107"/>
      <c r="AE40" s="107"/>
      <c r="AF40" s="107"/>
      <c r="AG40" s="107"/>
      <c r="AH40" s="107">
        <v>249204317.68000001</v>
      </c>
      <c r="AI40" s="111"/>
      <c r="AJ40" s="107"/>
      <c r="AK40" s="107"/>
      <c r="AL40" s="107"/>
      <c r="AM40" s="91">
        <f t="shared" ref="AM40:AM71" si="1">+Y40+Z40+AA40+AB40+AC40+AD40+AE40+AF40+AG40+AH40+AI40+AJ40+AK40</f>
        <v>854204317.68000007</v>
      </c>
      <c r="AN40" s="72" t="s">
        <v>1428</v>
      </c>
      <c r="AO40" s="6"/>
    </row>
    <row r="41" spans="1:41" s="1" customFormat="1" ht="105.75" hidden="1" customHeight="1" x14ac:dyDescent="0.2">
      <c r="A41" s="69">
        <v>308</v>
      </c>
      <c r="B41" s="68" t="s">
        <v>1400</v>
      </c>
      <c r="C41" s="66">
        <v>3</v>
      </c>
      <c r="D41" s="119" t="s">
        <v>1398</v>
      </c>
      <c r="E41" s="66">
        <v>40</v>
      </c>
      <c r="F41" s="68" t="s">
        <v>209</v>
      </c>
      <c r="G41" s="66">
        <v>4003</v>
      </c>
      <c r="H41" s="112" t="s">
        <v>218</v>
      </c>
      <c r="I41" s="66">
        <v>4003</v>
      </c>
      <c r="J41" s="68" t="s">
        <v>1386</v>
      </c>
      <c r="K41" s="119" t="s">
        <v>219</v>
      </c>
      <c r="L41" s="106">
        <v>4003028</v>
      </c>
      <c r="M41" s="119" t="s">
        <v>232</v>
      </c>
      <c r="N41" s="106">
        <v>4003028</v>
      </c>
      <c r="O41" s="119" t="s">
        <v>232</v>
      </c>
      <c r="P41" s="106">
        <v>400302801</v>
      </c>
      <c r="Q41" s="68" t="s">
        <v>233</v>
      </c>
      <c r="R41" s="106">
        <v>400302801</v>
      </c>
      <c r="S41" s="68" t="s">
        <v>233</v>
      </c>
      <c r="T41" s="72" t="s">
        <v>1449</v>
      </c>
      <c r="U41" s="33">
        <v>4</v>
      </c>
      <c r="V41" s="72" t="s">
        <v>224</v>
      </c>
      <c r="W41" s="67" t="s">
        <v>225</v>
      </c>
      <c r="X41" s="132" t="s">
        <v>226</v>
      </c>
      <c r="Y41" s="107"/>
      <c r="Z41" s="107"/>
      <c r="AA41" s="128"/>
      <c r="AB41" s="107"/>
      <c r="AC41" s="107"/>
      <c r="AD41" s="107"/>
      <c r="AE41" s="107"/>
      <c r="AF41" s="107"/>
      <c r="AG41" s="107"/>
      <c r="AH41" s="107">
        <v>279000000</v>
      </c>
      <c r="AI41" s="111"/>
      <c r="AJ41" s="107"/>
      <c r="AK41" s="107"/>
      <c r="AL41" s="107"/>
      <c r="AM41" s="91">
        <f t="shared" si="1"/>
        <v>279000000</v>
      </c>
      <c r="AN41" s="72" t="s">
        <v>1428</v>
      </c>
      <c r="AO41" s="6"/>
    </row>
    <row r="42" spans="1:41" s="1" customFormat="1" ht="105.75" hidden="1" customHeight="1" x14ac:dyDescent="0.2">
      <c r="A42" s="69">
        <v>308</v>
      </c>
      <c r="B42" s="68" t="s">
        <v>1400</v>
      </c>
      <c r="C42" s="66">
        <v>3</v>
      </c>
      <c r="D42" s="119" t="s">
        <v>1398</v>
      </c>
      <c r="E42" s="66">
        <v>40</v>
      </c>
      <c r="F42" s="68" t="s">
        <v>209</v>
      </c>
      <c r="G42" s="66">
        <v>4003</v>
      </c>
      <c r="H42" s="112" t="s">
        <v>218</v>
      </c>
      <c r="I42" s="66">
        <v>4003</v>
      </c>
      <c r="J42" s="68" t="s">
        <v>1386</v>
      </c>
      <c r="K42" s="119" t="s">
        <v>219</v>
      </c>
      <c r="L42" s="106">
        <v>4003042</v>
      </c>
      <c r="M42" s="119" t="s">
        <v>234</v>
      </c>
      <c r="N42" s="106">
        <v>4003042</v>
      </c>
      <c r="O42" s="119" t="s">
        <v>234</v>
      </c>
      <c r="P42" s="106">
        <v>400304200</v>
      </c>
      <c r="Q42" s="68" t="s">
        <v>235</v>
      </c>
      <c r="R42" s="106">
        <v>400304200</v>
      </c>
      <c r="S42" s="68" t="s">
        <v>235</v>
      </c>
      <c r="T42" s="72" t="s">
        <v>1451</v>
      </c>
      <c r="U42" s="33">
        <v>3</v>
      </c>
      <c r="V42" s="72" t="s">
        <v>224</v>
      </c>
      <c r="W42" s="67" t="s">
        <v>225</v>
      </c>
      <c r="X42" s="132" t="s">
        <v>226</v>
      </c>
      <c r="Y42" s="107"/>
      <c r="Z42" s="107"/>
      <c r="AA42" s="128"/>
      <c r="AB42" s="107"/>
      <c r="AC42" s="107"/>
      <c r="AD42" s="107"/>
      <c r="AE42" s="107"/>
      <c r="AF42" s="107"/>
      <c r="AG42" s="107"/>
      <c r="AH42" s="107">
        <v>629000000</v>
      </c>
      <c r="AI42" s="111"/>
      <c r="AJ42" s="107"/>
      <c r="AK42" s="107"/>
      <c r="AL42" s="107"/>
      <c r="AM42" s="91">
        <f t="shared" si="1"/>
        <v>629000000</v>
      </c>
      <c r="AN42" s="72" t="s">
        <v>1428</v>
      </c>
      <c r="AO42" s="6"/>
    </row>
    <row r="43" spans="1:41" s="1" customFormat="1" ht="105.75" hidden="1" customHeight="1" x14ac:dyDescent="0.2">
      <c r="A43" s="69">
        <v>308</v>
      </c>
      <c r="B43" s="68" t="s">
        <v>1400</v>
      </c>
      <c r="C43" s="66">
        <v>3</v>
      </c>
      <c r="D43" s="119" t="s">
        <v>1398</v>
      </c>
      <c r="E43" s="66">
        <v>40</v>
      </c>
      <c r="F43" s="68" t="s">
        <v>209</v>
      </c>
      <c r="G43" s="66">
        <v>4003</v>
      </c>
      <c r="H43" s="112" t="s">
        <v>218</v>
      </c>
      <c r="I43" s="66">
        <v>4003</v>
      </c>
      <c r="J43" s="68" t="s">
        <v>1386</v>
      </c>
      <c r="K43" s="119" t="s">
        <v>219</v>
      </c>
      <c r="L43" s="106" t="s">
        <v>236</v>
      </c>
      <c r="M43" s="119" t="s">
        <v>237</v>
      </c>
      <c r="N43" s="106" t="s">
        <v>236</v>
      </c>
      <c r="O43" s="119" t="s">
        <v>237</v>
      </c>
      <c r="P43" s="33">
        <v>400302600</v>
      </c>
      <c r="Q43" s="124" t="s">
        <v>238</v>
      </c>
      <c r="R43" s="33">
        <v>400302600</v>
      </c>
      <c r="S43" s="124" t="s">
        <v>238</v>
      </c>
      <c r="T43" s="72" t="s">
        <v>1451</v>
      </c>
      <c r="U43" s="33">
        <v>1</v>
      </c>
      <c r="V43" s="72" t="s">
        <v>224</v>
      </c>
      <c r="W43" s="67" t="s">
        <v>225</v>
      </c>
      <c r="X43" s="132" t="s">
        <v>226</v>
      </c>
      <c r="Y43" s="107"/>
      <c r="Z43" s="107"/>
      <c r="AA43" s="128"/>
      <c r="AB43" s="107"/>
      <c r="AC43" s="107"/>
      <c r="AD43" s="107"/>
      <c r="AE43" s="107"/>
      <c r="AF43" s="107"/>
      <c r="AG43" s="107"/>
      <c r="AH43" s="107">
        <v>785236459</v>
      </c>
      <c r="AI43" s="111"/>
      <c r="AJ43" s="107"/>
      <c r="AK43" s="107"/>
      <c r="AL43" s="107"/>
      <c r="AM43" s="91">
        <f t="shared" si="1"/>
        <v>785236459</v>
      </c>
      <c r="AN43" s="72" t="s">
        <v>1428</v>
      </c>
      <c r="AO43" s="6"/>
    </row>
    <row r="44" spans="1:41" s="1" customFormat="1" ht="130.5" hidden="1" customHeight="1" x14ac:dyDescent="0.2">
      <c r="A44" s="69">
        <v>308</v>
      </c>
      <c r="B44" s="68" t="s">
        <v>1400</v>
      </c>
      <c r="C44" s="66">
        <v>4</v>
      </c>
      <c r="D44" s="105" t="s">
        <v>1394</v>
      </c>
      <c r="E44" s="66">
        <v>45</v>
      </c>
      <c r="F44" s="68" t="s">
        <v>36</v>
      </c>
      <c r="G44" s="66" t="s">
        <v>38</v>
      </c>
      <c r="H44" s="68" t="s">
        <v>1352</v>
      </c>
      <c r="I44" s="66">
        <v>4599</v>
      </c>
      <c r="J44" s="68" t="s">
        <v>1353</v>
      </c>
      <c r="K44" s="68" t="s">
        <v>37</v>
      </c>
      <c r="L44" s="66" t="s">
        <v>38</v>
      </c>
      <c r="M44" s="68" t="s">
        <v>239</v>
      </c>
      <c r="N44" s="106" t="s">
        <v>240</v>
      </c>
      <c r="O44" s="68" t="s">
        <v>151</v>
      </c>
      <c r="P44" s="66" t="s">
        <v>38</v>
      </c>
      <c r="Q44" s="68" t="s">
        <v>241</v>
      </c>
      <c r="R44" s="106">
        <v>459901600</v>
      </c>
      <c r="S44" s="67" t="s">
        <v>151</v>
      </c>
      <c r="T44" s="72" t="s">
        <v>1449</v>
      </c>
      <c r="U44" s="34">
        <v>4</v>
      </c>
      <c r="V44" s="72" t="s">
        <v>242</v>
      </c>
      <c r="W44" s="67" t="s">
        <v>1320</v>
      </c>
      <c r="X44" s="67" t="s">
        <v>243</v>
      </c>
      <c r="Y44" s="127"/>
      <c r="Z44" s="107"/>
      <c r="AA44" s="107"/>
      <c r="AB44" s="107"/>
      <c r="AC44" s="107"/>
      <c r="AD44" s="107"/>
      <c r="AE44" s="107"/>
      <c r="AF44" s="107"/>
      <c r="AG44" s="107"/>
      <c r="AH44" s="107"/>
      <c r="AI44" s="111">
        <v>218394939</v>
      </c>
      <c r="AJ44" s="133"/>
      <c r="AK44" s="107"/>
      <c r="AL44" s="107"/>
      <c r="AM44" s="91">
        <f t="shared" si="1"/>
        <v>218394939</v>
      </c>
      <c r="AN44" s="72" t="s">
        <v>1428</v>
      </c>
      <c r="AO44" s="6"/>
    </row>
    <row r="45" spans="1:41" s="1" customFormat="1" ht="147.75" hidden="1" customHeight="1" x14ac:dyDescent="0.2">
      <c r="A45" s="69">
        <v>308</v>
      </c>
      <c r="B45" s="68" t="s">
        <v>1400</v>
      </c>
      <c r="C45" s="66">
        <v>4</v>
      </c>
      <c r="D45" s="105" t="s">
        <v>1394</v>
      </c>
      <c r="E45" s="66">
        <v>45</v>
      </c>
      <c r="F45" s="68" t="s">
        <v>36</v>
      </c>
      <c r="G45" s="66">
        <v>4502</v>
      </c>
      <c r="H45" s="68" t="s">
        <v>1348</v>
      </c>
      <c r="I45" s="66">
        <v>4502</v>
      </c>
      <c r="J45" s="68" t="s">
        <v>1349</v>
      </c>
      <c r="K45" s="68" t="s">
        <v>65</v>
      </c>
      <c r="L45" s="106">
        <v>4502003</v>
      </c>
      <c r="M45" s="119" t="s">
        <v>244</v>
      </c>
      <c r="N45" s="106">
        <v>4502003</v>
      </c>
      <c r="O45" s="119" t="s">
        <v>245</v>
      </c>
      <c r="P45" s="106">
        <v>450200300</v>
      </c>
      <c r="Q45" s="119" t="s">
        <v>244</v>
      </c>
      <c r="R45" s="106">
        <v>450200300</v>
      </c>
      <c r="S45" s="119" t="s">
        <v>244</v>
      </c>
      <c r="T45" s="72" t="s">
        <v>1451</v>
      </c>
      <c r="U45" s="34">
        <v>2</v>
      </c>
      <c r="V45" s="72" t="s">
        <v>246</v>
      </c>
      <c r="W45" s="67" t="s">
        <v>247</v>
      </c>
      <c r="X45" s="67" t="s">
        <v>248</v>
      </c>
      <c r="Y45" s="127"/>
      <c r="Z45" s="107"/>
      <c r="AA45" s="107"/>
      <c r="AB45" s="107"/>
      <c r="AC45" s="107"/>
      <c r="AD45" s="107"/>
      <c r="AE45" s="107"/>
      <c r="AF45" s="107"/>
      <c r="AG45" s="107"/>
      <c r="AH45" s="107"/>
      <c r="AI45" s="111">
        <v>31601460</v>
      </c>
      <c r="AJ45" s="113"/>
      <c r="AK45" s="107"/>
      <c r="AL45" s="107"/>
      <c r="AM45" s="91">
        <f t="shared" si="1"/>
        <v>31601460</v>
      </c>
      <c r="AN45" s="72" t="s">
        <v>1428</v>
      </c>
      <c r="AO45" s="6"/>
    </row>
    <row r="46" spans="1:41" s="1" customFormat="1" ht="186" hidden="1" customHeight="1" x14ac:dyDescent="0.2">
      <c r="A46" s="69">
        <v>309</v>
      </c>
      <c r="B46" s="68" t="s">
        <v>1399</v>
      </c>
      <c r="C46" s="66">
        <v>1</v>
      </c>
      <c r="D46" s="105" t="s">
        <v>1396</v>
      </c>
      <c r="E46" s="66">
        <v>12</v>
      </c>
      <c r="F46" s="68" t="s">
        <v>129</v>
      </c>
      <c r="G46" s="66">
        <v>1202</v>
      </c>
      <c r="H46" s="68" t="s">
        <v>1355</v>
      </c>
      <c r="I46" s="66">
        <v>1202</v>
      </c>
      <c r="J46" s="68" t="s">
        <v>1354</v>
      </c>
      <c r="K46" s="68" t="s">
        <v>130</v>
      </c>
      <c r="L46" s="66">
        <v>1202004</v>
      </c>
      <c r="M46" s="68" t="s">
        <v>249</v>
      </c>
      <c r="N46" s="66">
        <v>1202004</v>
      </c>
      <c r="O46" s="68" t="s">
        <v>249</v>
      </c>
      <c r="P46" s="106">
        <v>120200400</v>
      </c>
      <c r="Q46" s="126" t="s">
        <v>100</v>
      </c>
      <c r="R46" s="106">
        <v>120200400</v>
      </c>
      <c r="S46" s="126" t="s">
        <v>100</v>
      </c>
      <c r="T46" s="72" t="s">
        <v>1449</v>
      </c>
      <c r="U46" s="34">
        <v>12</v>
      </c>
      <c r="V46" s="72" t="s">
        <v>250</v>
      </c>
      <c r="W46" s="67" t="s">
        <v>1321</v>
      </c>
      <c r="X46" s="67" t="s">
        <v>251</v>
      </c>
      <c r="Y46" s="107"/>
      <c r="Z46" s="134"/>
      <c r="AA46" s="107"/>
      <c r="AB46" s="107"/>
      <c r="AC46" s="107"/>
      <c r="AD46" s="107"/>
      <c r="AE46" s="107"/>
      <c r="AF46" s="107"/>
      <c r="AG46" s="107"/>
      <c r="AH46" s="107"/>
      <c r="AI46" s="176">
        <v>135355000</v>
      </c>
      <c r="AJ46" s="107"/>
      <c r="AK46" s="107"/>
      <c r="AL46" s="107"/>
      <c r="AM46" s="91">
        <f t="shared" si="1"/>
        <v>135355000</v>
      </c>
      <c r="AN46" s="72" t="s">
        <v>1429</v>
      </c>
      <c r="AO46" s="6"/>
    </row>
    <row r="47" spans="1:41" s="1" customFormat="1" ht="186" hidden="1" customHeight="1" x14ac:dyDescent="0.2">
      <c r="A47" s="69">
        <v>309</v>
      </c>
      <c r="B47" s="68" t="s">
        <v>1399</v>
      </c>
      <c r="C47" s="66">
        <v>1</v>
      </c>
      <c r="D47" s="105" t="s">
        <v>1396</v>
      </c>
      <c r="E47" s="66">
        <v>12</v>
      </c>
      <c r="F47" s="68" t="s">
        <v>129</v>
      </c>
      <c r="G47" s="66">
        <v>1203</v>
      </c>
      <c r="H47" s="68" t="s">
        <v>252</v>
      </c>
      <c r="I47" s="66">
        <v>1203</v>
      </c>
      <c r="J47" s="68" t="s">
        <v>1392</v>
      </c>
      <c r="K47" s="68" t="s">
        <v>130</v>
      </c>
      <c r="L47" s="66">
        <v>1203002</v>
      </c>
      <c r="M47" s="68" t="s">
        <v>253</v>
      </c>
      <c r="N47" s="66">
        <v>1203002</v>
      </c>
      <c r="O47" s="68" t="s">
        <v>253</v>
      </c>
      <c r="P47" s="66">
        <v>120300200</v>
      </c>
      <c r="Q47" s="126" t="s">
        <v>254</v>
      </c>
      <c r="R47" s="66">
        <v>120300200</v>
      </c>
      <c r="S47" s="126" t="s">
        <v>254</v>
      </c>
      <c r="T47" s="72" t="s">
        <v>1451</v>
      </c>
      <c r="U47" s="34">
        <v>40</v>
      </c>
      <c r="V47" s="72" t="s">
        <v>255</v>
      </c>
      <c r="W47" s="67" t="s">
        <v>256</v>
      </c>
      <c r="X47" s="67" t="s">
        <v>257</v>
      </c>
      <c r="Y47" s="107"/>
      <c r="Z47" s="91"/>
      <c r="AA47" s="107"/>
      <c r="AB47" s="107"/>
      <c r="AC47" s="107"/>
      <c r="AD47" s="107"/>
      <c r="AE47" s="107"/>
      <c r="AF47" s="107"/>
      <c r="AG47" s="107"/>
      <c r="AH47" s="107"/>
      <c r="AI47" s="176">
        <v>67223401</v>
      </c>
      <c r="AJ47" s="107"/>
      <c r="AK47" s="135"/>
      <c r="AL47" s="135"/>
      <c r="AM47" s="91">
        <f t="shared" si="1"/>
        <v>67223401</v>
      </c>
      <c r="AN47" s="72" t="s">
        <v>1429</v>
      </c>
      <c r="AO47" s="6"/>
    </row>
    <row r="48" spans="1:41" s="1" customFormat="1" ht="180" hidden="1" customHeight="1" x14ac:dyDescent="0.2">
      <c r="A48" s="69">
        <v>309</v>
      </c>
      <c r="B48" s="68" t="s">
        <v>1399</v>
      </c>
      <c r="C48" s="66">
        <v>1</v>
      </c>
      <c r="D48" s="105" t="s">
        <v>1396</v>
      </c>
      <c r="E48" s="66">
        <v>12</v>
      </c>
      <c r="F48" s="68" t="s">
        <v>129</v>
      </c>
      <c r="G48" s="66">
        <v>1206</v>
      </c>
      <c r="H48" s="68" t="s">
        <v>258</v>
      </c>
      <c r="I48" s="66">
        <v>1206</v>
      </c>
      <c r="J48" s="68" t="s">
        <v>1356</v>
      </c>
      <c r="K48" s="68" t="s">
        <v>130</v>
      </c>
      <c r="L48" s="66">
        <v>1206005</v>
      </c>
      <c r="M48" s="68" t="s">
        <v>259</v>
      </c>
      <c r="N48" s="66">
        <v>1206005</v>
      </c>
      <c r="O48" s="68" t="s">
        <v>259</v>
      </c>
      <c r="P48" s="106">
        <v>120600500</v>
      </c>
      <c r="Q48" s="68" t="s">
        <v>260</v>
      </c>
      <c r="R48" s="106">
        <v>120600500</v>
      </c>
      <c r="S48" s="68" t="s">
        <v>260</v>
      </c>
      <c r="T48" s="72" t="s">
        <v>1451</v>
      </c>
      <c r="U48" s="34">
        <v>20</v>
      </c>
      <c r="V48" s="72" t="s">
        <v>261</v>
      </c>
      <c r="W48" s="137" t="s">
        <v>262</v>
      </c>
      <c r="X48" s="137" t="s">
        <v>263</v>
      </c>
      <c r="Y48" s="107"/>
      <c r="Z48" s="138"/>
      <c r="AA48" s="107"/>
      <c r="AB48" s="107"/>
      <c r="AC48" s="107"/>
      <c r="AD48" s="107"/>
      <c r="AE48" s="107"/>
      <c r="AF48" s="107"/>
      <c r="AG48" s="107"/>
      <c r="AH48" s="107"/>
      <c r="AI48" s="176">
        <v>30000000</v>
      </c>
      <c r="AJ48" s="107"/>
      <c r="AK48" s="107"/>
      <c r="AL48" s="107"/>
      <c r="AM48" s="91">
        <f t="shared" si="1"/>
        <v>30000000</v>
      </c>
      <c r="AN48" s="72" t="s">
        <v>1429</v>
      </c>
      <c r="AO48" s="6"/>
    </row>
    <row r="49" spans="1:41" s="1" customFormat="1" ht="129.75" hidden="1" customHeight="1" x14ac:dyDescent="0.2">
      <c r="A49" s="69">
        <v>309</v>
      </c>
      <c r="B49" s="68" t="s">
        <v>1399</v>
      </c>
      <c r="C49" s="66">
        <v>1</v>
      </c>
      <c r="D49" s="105" t="s">
        <v>1396</v>
      </c>
      <c r="E49" s="66">
        <v>22</v>
      </c>
      <c r="F49" s="68" t="s">
        <v>146</v>
      </c>
      <c r="G49" s="66">
        <v>2201</v>
      </c>
      <c r="H49" s="68" t="s">
        <v>264</v>
      </c>
      <c r="I49" s="66">
        <v>2201</v>
      </c>
      <c r="J49" s="68" t="s">
        <v>1369</v>
      </c>
      <c r="K49" s="68" t="s">
        <v>265</v>
      </c>
      <c r="L49" s="130">
        <v>2201068</v>
      </c>
      <c r="M49" s="68" t="s">
        <v>266</v>
      </c>
      <c r="N49" s="130">
        <v>2201068</v>
      </c>
      <c r="O49" s="68" t="s">
        <v>266</v>
      </c>
      <c r="P49" s="106">
        <v>220106800</v>
      </c>
      <c r="Q49" s="68" t="s">
        <v>267</v>
      </c>
      <c r="R49" s="106">
        <v>220106800</v>
      </c>
      <c r="S49" s="68" t="s">
        <v>267</v>
      </c>
      <c r="T49" s="72" t="s">
        <v>1451</v>
      </c>
      <c r="U49" s="34">
        <v>70</v>
      </c>
      <c r="V49" s="72" t="s">
        <v>268</v>
      </c>
      <c r="W49" s="67" t="s">
        <v>269</v>
      </c>
      <c r="X49" s="67" t="s">
        <v>270</v>
      </c>
      <c r="Y49" s="107"/>
      <c r="Z49" s="107"/>
      <c r="AA49" s="107"/>
      <c r="AB49" s="107"/>
      <c r="AC49" s="107"/>
      <c r="AD49" s="107"/>
      <c r="AE49" s="107"/>
      <c r="AF49" s="107"/>
      <c r="AG49" s="107"/>
      <c r="AH49" s="107"/>
      <c r="AI49" s="176">
        <v>74287500</v>
      </c>
      <c r="AJ49" s="107"/>
      <c r="AK49" s="107"/>
      <c r="AL49" s="107"/>
      <c r="AM49" s="91">
        <f t="shared" si="1"/>
        <v>74287500</v>
      </c>
      <c r="AN49" s="72" t="s">
        <v>1429</v>
      </c>
      <c r="AO49" s="6"/>
    </row>
    <row r="50" spans="1:41" s="1" customFormat="1" ht="140.25" hidden="1" customHeight="1" x14ac:dyDescent="0.2">
      <c r="A50" s="69">
        <v>309</v>
      </c>
      <c r="B50" s="68" t="s">
        <v>1399</v>
      </c>
      <c r="C50" s="66">
        <v>1</v>
      </c>
      <c r="D50" s="105" t="s">
        <v>1396</v>
      </c>
      <c r="E50" s="66">
        <v>41</v>
      </c>
      <c r="F50" s="68" t="s">
        <v>271</v>
      </c>
      <c r="G50" s="66">
        <v>4101</v>
      </c>
      <c r="H50" s="68" t="s">
        <v>272</v>
      </c>
      <c r="I50" s="66">
        <v>4101</v>
      </c>
      <c r="J50" s="68" t="s">
        <v>1387</v>
      </c>
      <c r="K50" s="68" t="s">
        <v>273</v>
      </c>
      <c r="L50" s="106">
        <v>4101023</v>
      </c>
      <c r="M50" s="68" t="s">
        <v>274</v>
      </c>
      <c r="N50" s="106">
        <v>4101023</v>
      </c>
      <c r="O50" s="68" t="s">
        <v>274</v>
      </c>
      <c r="P50" s="106">
        <v>410102300</v>
      </c>
      <c r="Q50" s="126" t="s">
        <v>275</v>
      </c>
      <c r="R50" s="106">
        <v>410102300</v>
      </c>
      <c r="S50" s="126" t="s">
        <v>275</v>
      </c>
      <c r="T50" s="72" t="s">
        <v>1451</v>
      </c>
      <c r="U50" s="34">
        <v>500</v>
      </c>
      <c r="V50" s="72" t="s">
        <v>276</v>
      </c>
      <c r="W50" s="67" t="s">
        <v>277</v>
      </c>
      <c r="X50" s="132" t="s">
        <v>278</v>
      </c>
      <c r="Y50" s="107"/>
      <c r="Z50" s="107"/>
      <c r="AA50" s="107"/>
      <c r="AB50" s="107"/>
      <c r="AC50" s="107"/>
      <c r="AD50" s="107"/>
      <c r="AE50" s="107"/>
      <c r="AF50" s="107"/>
      <c r="AG50" s="107"/>
      <c r="AH50" s="107"/>
      <c r="AI50" s="176">
        <v>222950000</v>
      </c>
      <c r="AJ50" s="107"/>
      <c r="AK50" s="107"/>
      <c r="AL50" s="107"/>
      <c r="AM50" s="91">
        <f t="shared" si="1"/>
        <v>222950000</v>
      </c>
      <c r="AN50" s="72" t="s">
        <v>1429</v>
      </c>
      <c r="AO50" s="6"/>
    </row>
    <row r="51" spans="1:41" s="1" customFormat="1" ht="115.5" hidden="1" customHeight="1" x14ac:dyDescent="0.2">
      <c r="A51" s="69">
        <v>309</v>
      </c>
      <c r="B51" s="68" t="s">
        <v>1399</v>
      </c>
      <c r="C51" s="66">
        <v>1</v>
      </c>
      <c r="D51" s="105" t="s">
        <v>1396</v>
      </c>
      <c r="E51" s="66">
        <v>41</v>
      </c>
      <c r="F51" s="68" t="s">
        <v>271</v>
      </c>
      <c r="G51" s="66">
        <v>4101</v>
      </c>
      <c r="H51" s="68" t="s">
        <v>272</v>
      </c>
      <c r="I51" s="66">
        <v>4101</v>
      </c>
      <c r="J51" s="68" t="s">
        <v>1387</v>
      </c>
      <c r="K51" s="68" t="s">
        <v>273</v>
      </c>
      <c r="L51" s="33">
        <v>4101025</v>
      </c>
      <c r="M51" s="68" t="s">
        <v>279</v>
      </c>
      <c r="N51" s="106">
        <v>4101025</v>
      </c>
      <c r="O51" s="68" t="s">
        <v>279</v>
      </c>
      <c r="P51" s="106">
        <v>410102511</v>
      </c>
      <c r="Q51" s="68" t="s">
        <v>280</v>
      </c>
      <c r="R51" s="106">
        <v>410102511</v>
      </c>
      <c r="S51" s="68" t="s">
        <v>280</v>
      </c>
      <c r="T51" s="72" t="s">
        <v>1451</v>
      </c>
      <c r="U51" s="34">
        <v>100</v>
      </c>
      <c r="V51" s="72" t="s">
        <v>276</v>
      </c>
      <c r="W51" s="67" t="s">
        <v>277</v>
      </c>
      <c r="X51" s="132" t="s">
        <v>278</v>
      </c>
      <c r="Y51" s="107"/>
      <c r="Z51" s="107"/>
      <c r="AA51" s="107"/>
      <c r="AB51" s="107"/>
      <c r="AC51" s="107"/>
      <c r="AD51" s="107"/>
      <c r="AE51" s="107"/>
      <c r="AF51" s="107"/>
      <c r="AG51" s="107"/>
      <c r="AH51" s="107"/>
      <c r="AI51" s="111">
        <v>52000000</v>
      </c>
      <c r="AJ51" s="107"/>
      <c r="AK51" s="107"/>
      <c r="AL51" s="107"/>
      <c r="AM51" s="91">
        <f t="shared" si="1"/>
        <v>52000000</v>
      </c>
      <c r="AN51" s="72" t="s">
        <v>1429</v>
      </c>
      <c r="AO51" s="6"/>
    </row>
    <row r="52" spans="1:41" s="1" customFormat="1" ht="117.75" hidden="1" customHeight="1" x14ac:dyDescent="0.2">
      <c r="A52" s="69">
        <v>309</v>
      </c>
      <c r="B52" s="68" t="s">
        <v>1399</v>
      </c>
      <c r="C52" s="66">
        <v>1</v>
      </c>
      <c r="D52" s="105" t="s">
        <v>1396</v>
      </c>
      <c r="E52" s="66">
        <v>41</v>
      </c>
      <c r="F52" s="68" t="s">
        <v>271</v>
      </c>
      <c r="G52" s="66">
        <v>4101</v>
      </c>
      <c r="H52" s="68" t="s">
        <v>272</v>
      </c>
      <c r="I52" s="66">
        <v>4101</v>
      </c>
      <c r="J52" s="68" t="s">
        <v>1387</v>
      </c>
      <c r="K52" s="68" t="s">
        <v>273</v>
      </c>
      <c r="L52" s="106">
        <v>4101038</v>
      </c>
      <c r="M52" s="68" t="s">
        <v>281</v>
      </c>
      <c r="N52" s="106">
        <v>4101038</v>
      </c>
      <c r="O52" s="68" t="s">
        <v>281</v>
      </c>
      <c r="P52" s="106">
        <v>410103800</v>
      </c>
      <c r="Q52" s="68" t="s">
        <v>282</v>
      </c>
      <c r="R52" s="106">
        <v>410103800</v>
      </c>
      <c r="S52" s="68" t="s">
        <v>282</v>
      </c>
      <c r="T52" s="72" t="s">
        <v>1451</v>
      </c>
      <c r="U52" s="34">
        <v>12</v>
      </c>
      <c r="V52" s="72" t="s">
        <v>276</v>
      </c>
      <c r="W52" s="67" t="s">
        <v>277</v>
      </c>
      <c r="X52" s="132" t="s">
        <v>278</v>
      </c>
      <c r="Y52" s="107"/>
      <c r="Z52" s="107"/>
      <c r="AA52" s="107"/>
      <c r="AB52" s="107"/>
      <c r="AC52" s="107"/>
      <c r="AD52" s="107"/>
      <c r="AE52" s="107"/>
      <c r="AF52" s="107"/>
      <c r="AG52" s="107"/>
      <c r="AH52" s="107"/>
      <c r="AI52" s="176">
        <v>44000000</v>
      </c>
      <c r="AJ52" s="107"/>
      <c r="AK52" s="107"/>
      <c r="AL52" s="107"/>
      <c r="AM52" s="91">
        <f t="shared" si="1"/>
        <v>44000000</v>
      </c>
      <c r="AN52" s="72" t="s">
        <v>1429</v>
      </c>
      <c r="AO52" s="6"/>
    </row>
    <row r="53" spans="1:41" s="1" customFormat="1" ht="109.5" hidden="1" customHeight="1" x14ac:dyDescent="0.2">
      <c r="A53" s="69">
        <v>309</v>
      </c>
      <c r="B53" s="68" t="s">
        <v>1399</v>
      </c>
      <c r="C53" s="66">
        <v>1</v>
      </c>
      <c r="D53" s="105" t="s">
        <v>1396</v>
      </c>
      <c r="E53" s="66">
        <v>41</v>
      </c>
      <c r="F53" s="68" t="s">
        <v>271</v>
      </c>
      <c r="G53" s="66">
        <v>4101</v>
      </c>
      <c r="H53" s="68" t="s">
        <v>272</v>
      </c>
      <c r="I53" s="66">
        <v>4101</v>
      </c>
      <c r="J53" s="68" t="s">
        <v>1387</v>
      </c>
      <c r="K53" s="68" t="s">
        <v>283</v>
      </c>
      <c r="L53" s="106">
        <v>4101073</v>
      </c>
      <c r="M53" s="68" t="s">
        <v>284</v>
      </c>
      <c r="N53" s="106">
        <v>4101073</v>
      </c>
      <c r="O53" s="68" t="s">
        <v>284</v>
      </c>
      <c r="P53" s="106">
        <v>410107300</v>
      </c>
      <c r="Q53" s="68" t="s">
        <v>285</v>
      </c>
      <c r="R53" s="106">
        <v>410107300</v>
      </c>
      <c r="S53" s="68" t="s">
        <v>285</v>
      </c>
      <c r="T53" s="72" t="s">
        <v>1451</v>
      </c>
      <c r="U53" s="34">
        <v>30</v>
      </c>
      <c r="V53" s="72" t="s">
        <v>276</v>
      </c>
      <c r="W53" s="67" t="s">
        <v>277</v>
      </c>
      <c r="X53" s="132" t="s">
        <v>278</v>
      </c>
      <c r="Y53" s="107"/>
      <c r="Z53" s="107"/>
      <c r="AA53" s="107"/>
      <c r="AB53" s="107"/>
      <c r="AC53" s="107"/>
      <c r="AD53" s="107"/>
      <c r="AE53" s="107"/>
      <c r="AF53" s="107"/>
      <c r="AG53" s="107"/>
      <c r="AH53" s="107"/>
      <c r="AI53" s="111">
        <v>136707113</v>
      </c>
      <c r="AJ53" s="107"/>
      <c r="AK53" s="107"/>
      <c r="AL53" s="107"/>
      <c r="AM53" s="91">
        <f t="shared" si="1"/>
        <v>136707113</v>
      </c>
      <c r="AN53" s="72" t="s">
        <v>1429</v>
      </c>
      <c r="AO53" s="6"/>
    </row>
    <row r="54" spans="1:41" s="1" customFormat="1" ht="90" hidden="1" x14ac:dyDescent="0.2">
      <c r="A54" s="69">
        <v>309</v>
      </c>
      <c r="B54" s="68" t="s">
        <v>1399</v>
      </c>
      <c r="C54" s="66">
        <v>1</v>
      </c>
      <c r="D54" s="105" t="s">
        <v>1396</v>
      </c>
      <c r="E54" s="66">
        <v>41</v>
      </c>
      <c r="F54" s="68" t="s">
        <v>271</v>
      </c>
      <c r="G54" s="66">
        <v>4101</v>
      </c>
      <c r="H54" s="68" t="s">
        <v>272</v>
      </c>
      <c r="I54" s="66">
        <v>4101</v>
      </c>
      <c r="J54" s="68" t="s">
        <v>1387</v>
      </c>
      <c r="K54" s="68" t="s">
        <v>286</v>
      </c>
      <c r="L54" s="106">
        <v>4101011</v>
      </c>
      <c r="M54" s="68" t="s">
        <v>287</v>
      </c>
      <c r="N54" s="106">
        <v>4101011</v>
      </c>
      <c r="O54" s="68" t="s">
        <v>287</v>
      </c>
      <c r="P54" s="106">
        <v>410101100</v>
      </c>
      <c r="Q54" s="68" t="s">
        <v>288</v>
      </c>
      <c r="R54" s="106">
        <v>410101100</v>
      </c>
      <c r="S54" s="68" t="s">
        <v>288</v>
      </c>
      <c r="T54" s="72" t="s">
        <v>1451</v>
      </c>
      <c r="U54" s="34">
        <v>2</v>
      </c>
      <c r="V54" s="72" t="s">
        <v>276</v>
      </c>
      <c r="W54" s="67" t="s">
        <v>277</v>
      </c>
      <c r="X54" s="132" t="s">
        <v>278</v>
      </c>
      <c r="Y54" s="107"/>
      <c r="Z54" s="107"/>
      <c r="AA54" s="107"/>
      <c r="AB54" s="107"/>
      <c r="AC54" s="107"/>
      <c r="AD54" s="107"/>
      <c r="AE54" s="107"/>
      <c r="AF54" s="107"/>
      <c r="AG54" s="107"/>
      <c r="AH54" s="107"/>
      <c r="AI54" s="111">
        <v>47000000</v>
      </c>
      <c r="AJ54" s="107"/>
      <c r="AK54" s="107"/>
      <c r="AL54" s="107"/>
      <c r="AM54" s="91">
        <f t="shared" si="1"/>
        <v>47000000</v>
      </c>
      <c r="AN54" s="72" t="s">
        <v>1429</v>
      </c>
      <c r="AO54" s="6"/>
    </row>
    <row r="55" spans="1:41" s="1" customFormat="1" ht="129.75" hidden="1" customHeight="1" x14ac:dyDescent="0.2">
      <c r="A55" s="69">
        <v>309</v>
      </c>
      <c r="B55" s="68" t="s">
        <v>1399</v>
      </c>
      <c r="C55" s="66">
        <v>1</v>
      </c>
      <c r="D55" s="105" t="s">
        <v>1396</v>
      </c>
      <c r="E55" s="66">
        <v>41</v>
      </c>
      <c r="F55" s="68" t="s">
        <v>271</v>
      </c>
      <c r="G55" s="66">
        <v>4103</v>
      </c>
      <c r="H55" s="68" t="s">
        <v>289</v>
      </c>
      <c r="I55" s="66">
        <v>4103</v>
      </c>
      <c r="J55" s="68" t="s">
        <v>1388</v>
      </c>
      <c r="K55" s="68" t="s">
        <v>290</v>
      </c>
      <c r="L55" s="66" t="s">
        <v>38</v>
      </c>
      <c r="M55" s="68" t="s">
        <v>291</v>
      </c>
      <c r="N55" s="106">
        <v>4103052</v>
      </c>
      <c r="O55" s="68" t="s">
        <v>292</v>
      </c>
      <c r="P55" s="66" t="s">
        <v>38</v>
      </c>
      <c r="Q55" s="68" t="s">
        <v>293</v>
      </c>
      <c r="R55" s="106">
        <v>410305201</v>
      </c>
      <c r="S55" s="68" t="s">
        <v>294</v>
      </c>
      <c r="T55" s="72" t="s">
        <v>1451</v>
      </c>
      <c r="U55" s="34">
        <v>25</v>
      </c>
      <c r="V55" s="72" t="s">
        <v>295</v>
      </c>
      <c r="W55" s="68" t="s">
        <v>296</v>
      </c>
      <c r="X55" s="68" t="s">
        <v>297</v>
      </c>
      <c r="Y55" s="107"/>
      <c r="Z55" s="107"/>
      <c r="AA55" s="107"/>
      <c r="AB55" s="107"/>
      <c r="AC55" s="107"/>
      <c r="AD55" s="107"/>
      <c r="AE55" s="107"/>
      <c r="AF55" s="107"/>
      <c r="AG55" s="107"/>
      <c r="AH55" s="107"/>
      <c r="AI55" s="111">
        <v>34027629</v>
      </c>
      <c r="AJ55" s="107"/>
      <c r="AK55" s="107"/>
      <c r="AL55" s="107"/>
      <c r="AM55" s="91">
        <f t="shared" si="1"/>
        <v>34027629</v>
      </c>
      <c r="AN55" s="72" t="s">
        <v>1429</v>
      </c>
      <c r="AO55" s="6"/>
    </row>
    <row r="56" spans="1:41" s="1" customFormat="1" ht="188.25" hidden="1" customHeight="1" x14ac:dyDescent="0.2">
      <c r="A56" s="69">
        <v>309</v>
      </c>
      <c r="B56" s="68" t="s">
        <v>1399</v>
      </c>
      <c r="C56" s="66">
        <v>1</v>
      </c>
      <c r="D56" s="105" t="s">
        <v>1396</v>
      </c>
      <c r="E56" s="66">
        <v>45</v>
      </c>
      <c r="F56" s="68" t="s">
        <v>36</v>
      </c>
      <c r="G56" s="66">
        <v>4501</v>
      </c>
      <c r="H56" s="68" t="s">
        <v>298</v>
      </c>
      <c r="I56" s="66">
        <v>4501</v>
      </c>
      <c r="J56" s="68" t="s">
        <v>1391</v>
      </c>
      <c r="K56" s="68" t="s">
        <v>130</v>
      </c>
      <c r="L56" s="66" t="s">
        <v>38</v>
      </c>
      <c r="M56" s="68" t="s">
        <v>299</v>
      </c>
      <c r="N56" s="106">
        <v>4501029</v>
      </c>
      <c r="O56" s="68" t="s">
        <v>300</v>
      </c>
      <c r="P56" s="66" t="s">
        <v>38</v>
      </c>
      <c r="Q56" s="68" t="s">
        <v>301</v>
      </c>
      <c r="R56" s="106">
        <v>450102900</v>
      </c>
      <c r="S56" s="68" t="s">
        <v>302</v>
      </c>
      <c r="T56" s="72" t="s">
        <v>1451</v>
      </c>
      <c r="U56" s="34">
        <v>5</v>
      </c>
      <c r="V56" s="72" t="s">
        <v>303</v>
      </c>
      <c r="W56" s="68" t="s">
        <v>304</v>
      </c>
      <c r="X56" s="68" t="s">
        <v>305</v>
      </c>
      <c r="Y56" s="107"/>
      <c r="Z56" s="138">
        <v>4387879528.3299999</v>
      </c>
      <c r="AA56" s="107"/>
      <c r="AB56" s="107"/>
      <c r="AC56" s="107"/>
      <c r="AD56" s="107"/>
      <c r="AE56" s="107"/>
      <c r="AF56" s="107"/>
      <c r="AG56" s="107"/>
      <c r="AH56" s="107"/>
      <c r="AI56" s="111"/>
      <c r="AJ56" s="107"/>
      <c r="AK56" s="107"/>
      <c r="AL56" s="107"/>
      <c r="AM56" s="91">
        <f t="shared" si="1"/>
        <v>4387879528.3299999</v>
      </c>
      <c r="AN56" s="72" t="s">
        <v>1429</v>
      </c>
      <c r="AO56" s="6"/>
    </row>
    <row r="57" spans="1:41" s="1" customFormat="1" ht="188.25" hidden="1" customHeight="1" x14ac:dyDescent="0.2">
      <c r="A57" s="69">
        <v>309</v>
      </c>
      <c r="B57" s="68" t="s">
        <v>1399</v>
      </c>
      <c r="C57" s="66">
        <v>1</v>
      </c>
      <c r="D57" s="105" t="s">
        <v>1396</v>
      </c>
      <c r="E57" s="66">
        <v>45</v>
      </c>
      <c r="F57" s="68" t="s">
        <v>36</v>
      </c>
      <c r="G57" s="66">
        <v>4501</v>
      </c>
      <c r="H57" s="68" t="s">
        <v>298</v>
      </c>
      <c r="I57" s="66">
        <v>4501</v>
      </c>
      <c r="J57" s="68" t="s">
        <v>1391</v>
      </c>
      <c r="K57" s="68" t="s">
        <v>130</v>
      </c>
      <c r="L57" s="66">
        <v>4501001</v>
      </c>
      <c r="M57" s="139" t="s">
        <v>98</v>
      </c>
      <c r="N57" s="66">
        <v>4501001</v>
      </c>
      <c r="O57" s="139" t="s">
        <v>98</v>
      </c>
      <c r="P57" s="66">
        <v>450100100</v>
      </c>
      <c r="Q57" s="68" t="s">
        <v>1452</v>
      </c>
      <c r="R57" s="66">
        <v>450100100</v>
      </c>
      <c r="S57" s="68" t="s">
        <v>306</v>
      </c>
      <c r="T57" s="72" t="s">
        <v>1451</v>
      </c>
      <c r="U57" s="34">
        <v>12</v>
      </c>
      <c r="V57" s="72" t="s">
        <v>307</v>
      </c>
      <c r="W57" s="68" t="s">
        <v>1322</v>
      </c>
      <c r="X57" s="139" t="s">
        <v>308</v>
      </c>
      <c r="Y57" s="140">
        <v>0</v>
      </c>
      <c r="Z57" s="107">
        <v>0</v>
      </c>
      <c r="AA57" s="107">
        <v>0</v>
      </c>
      <c r="AB57" s="107">
        <v>0</v>
      </c>
      <c r="AC57" s="107">
        <v>0</v>
      </c>
      <c r="AD57" s="107">
        <v>0</v>
      </c>
      <c r="AE57" s="107">
        <v>0</v>
      </c>
      <c r="AF57" s="107">
        <v>0</v>
      </c>
      <c r="AG57" s="107">
        <v>0</v>
      </c>
      <c r="AH57" s="107">
        <v>0</v>
      </c>
      <c r="AI57" s="177">
        <v>49500000</v>
      </c>
      <c r="AJ57" s="107">
        <v>0</v>
      </c>
      <c r="AK57" s="107">
        <v>0</v>
      </c>
      <c r="AL57" s="107"/>
      <c r="AM57" s="91">
        <f t="shared" si="1"/>
        <v>49500000</v>
      </c>
      <c r="AN57" s="72" t="s">
        <v>1429</v>
      </c>
      <c r="AO57" s="6"/>
    </row>
    <row r="58" spans="1:41" s="1" customFormat="1" ht="155.25" hidden="1" customHeight="1" x14ac:dyDescent="0.2">
      <c r="A58" s="69">
        <v>309</v>
      </c>
      <c r="B58" s="68" t="s">
        <v>1399</v>
      </c>
      <c r="C58" s="122">
        <v>3</v>
      </c>
      <c r="D58" s="68" t="s">
        <v>1401</v>
      </c>
      <c r="E58" s="66">
        <v>32</v>
      </c>
      <c r="F58" s="68" t="s">
        <v>195</v>
      </c>
      <c r="G58" s="66">
        <v>3205</v>
      </c>
      <c r="H58" s="68" t="s">
        <v>196</v>
      </c>
      <c r="I58" s="66">
        <v>3205</v>
      </c>
      <c r="J58" s="68" t="s">
        <v>1378</v>
      </c>
      <c r="K58" s="68" t="s">
        <v>309</v>
      </c>
      <c r="L58" s="66">
        <v>3205002</v>
      </c>
      <c r="M58" s="68" t="s">
        <v>310</v>
      </c>
      <c r="N58" s="66">
        <v>3205002</v>
      </c>
      <c r="O58" s="68" t="s">
        <v>310</v>
      </c>
      <c r="P58" s="66">
        <v>320500200</v>
      </c>
      <c r="Q58" s="68" t="s">
        <v>311</v>
      </c>
      <c r="R58" s="66">
        <v>320500200</v>
      </c>
      <c r="S58" s="68" t="s">
        <v>311</v>
      </c>
      <c r="T58" s="72" t="s">
        <v>1451</v>
      </c>
      <c r="U58" s="34">
        <v>3</v>
      </c>
      <c r="V58" s="72" t="s">
        <v>312</v>
      </c>
      <c r="W58" s="67" t="s">
        <v>313</v>
      </c>
      <c r="X58" s="67" t="s">
        <v>314</v>
      </c>
      <c r="Y58" s="107"/>
      <c r="Z58" s="107"/>
      <c r="AA58" s="107"/>
      <c r="AB58" s="107"/>
      <c r="AC58" s="107"/>
      <c r="AD58" s="107"/>
      <c r="AE58" s="107"/>
      <c r="AF58" s="107"/>
      <c r="AG58" s="107"/>
      <c r="AH58" s="107"/>
      <c r="AI58" s="141">
        <v>243850000</v>
      </c>
      <c r="AJ58" s="107"/>
      <c r="AK58" s="107"/>
      <c r="AL58" s="107"/>
      <c r="AM58" s="91">
        <f t="shared" si="1"/>
        <v>243850000</v>
      </c>
      <c r="AN58" s="72" t="s">
        <v>1429</v>
      </c>
      <c r="AO58" s="6"/>
    </row>
    <row r="59" spans="1:41" s="1" customFormat="1" ht="100.5" hidden="1" customHeight="1" x14ac:dyDescent="0.2">
      <c r="A59" s="69">
        <v>309</v>
      </c>
      <c r="B59" s="68" t="s">
        <v>1399</v>
      </c>
      <c r="C59" s="122">
        <v>3</v>
      </c>
      <c r="D59" s="68" t="s">
        <v>1401</v>
      </c>
      <c r="E59" s="66">
        <v>45</v>
      </c>
      <c r="F59" s="68" t="s">
        <v>36</v>
      </c>
      <c r="G59" s="66">
        <v>4503</v>
      </c>
      <c r="H59" s="68" t="s">
        <v>1350</v>
      </c>
      <c r="I59" s="66">
        <v>4503</v>
      </c>
      <c r="J59" s="68" t="s">
        <v>1351</v>
      </c>
      <c r="K59" s="68" t="s">
        <v>315</v>
      </c>
      <c r="L59" s="66">
        <v>4503002</v>
      </c>
      <c r="M59" s="68" t="s">
        <v>316</v>
      </c>
      <c r="N59" s="66">
        <v>4503002</v>
      </c>
      <c r="O59" s="68" t="s">
        <v>316</v>
      </c>
      <c r="P59" s="66">
        <v>450300200</v>
      </c>
      <c r="Q59" s="68" t="s">
        <v>317</v>
      </c>
      <c r="R59" s="66">
        <v>450300200</v>
      </c>
      <c r="S59" s="68" t="s">
        <v>317</v>
      </c>
      <c r="T59" s="72" t="s">
        <v>1451</v>
      </c>
      <c r="U59" s="34">
        <v>4000</v>
      </c>
      <c r="V59" s="72" t="s">
        <v>318</v>
      </c>
      <c r="W59" s="67" t="s">
        <v>319</v>
      </c>
      <c r="X59" s="132" t="s">
        <v>320</v>
      </c>
      <c r="Y59" s="107"/>
      <c r="Z59" s="107"/>
      <c r="AA59" s="107"/>
      <c r="AB59" s="107"/>
      <c r="AC59" s="107"/>
      <c r="AD59" s="107"/>
      <c r="AE59" s="107"/>
      <c r="AF59" s="107"/>
      <c r="AG59" s="107"/>
      <c r="AH59" s="107"/>
      <c r="AI59" s="176">
        <v>35000000</v>
      </c>
      <c r="AJ59" s="107"/>
      <c r="AK59" s="107"/>
      <c r="AL59" s="107"/>
      <c r="AM59" s="91">
        <f t="shared" si="1"/>
        <v>35000000</v>
      </c>
      <c r="AN59" s="72" t="s">
        <v>1429</v>
      </c>
      <c r="AO59" s="6"/>
    </row>
    <row r="60" spans="1:41" s="1" customFormat="1" ht="100.5" hidden="1" customHeight="1" x14ac:dyDescent="0.2">
      <c r="A60" s="69">
        <v>309</v>
      </c>
      <c r="B60" s="68" t="s">
        <v>1399</v>
      </c>
      <c r="C60" s="122">
        <v>3</v>
      </c>
      <c r="D60" s="68" t="s">
        <v>1401</v>
      </c>
      <c r="E60" s="66">
        <v>45</v>
      </c>
      <c r="F60" s="68" t="s">
        <v>36</v>
      </c>
      <c r="G60" s="66">
        <v>4503</v>
      </c>
      <c r="H60" s="68" t="s">
        <v>1350</v>
      </c>
      <c r="I60" s="66">
        <v>4503</v>
      </c>
      <c r="J60" s="68" t="s">
        <v>1351</v>
      </c>
      <c r="K60" s="68" t="s">
        <v>321</v>
      </c>
      <c r="L60" s="66">
        <v>4503003</v>
      </c>
      <c r="M60" s="68" t="s">
        <v>98</v>
      </c>
      <c r="N60" s="66">
        <v>4503003</v>
      </c>
      <c r="O60" s="68" t="s">
        <v>98</v>
      </c>
      <c r="P60" s="66">
        <v>450300300</v>
      </c>
      <c r="Q60" s="68" t="s">
        <v>322</v>
      </c>
      <c r="R60" s="66">
        <v>450300300</v>
      </c>
      <c r="S60" s="68" t="s">
        <v>322</v>
      </c>
      <c r="T60" s="72" t="s">
        <v>1449</v>
      </c>
      <c r="U60" s="34">
        <v>12</v>
      </c>
      <c r="V60" s="72" t="s">
        <v>318</v>
      </c>
      <c r="W60" s="67" t="s">
        <v>319</v>
      </c>
      <c r="X60" s="132" t="s">
        <v>320</v>
      </c>
      <c r="Y60" s="107"/>
      <c r="Z60" s="107"/>
      <c r="AA60" s="107"/>
      <c r="AB60" s="107"/>
      <c r="AC60" s="107"/>
      <c r="AD60" s="107"/>
      <c r="AE60" s="107"/>
      <c r="AF60" s="107"/>
      <c r="AG60" s="107"/>
      <c r="AH60" s="107"/>
      <c r="AI60" s="176">
        <v>400809656</v>
      </c>
      <c r="AJ60" s="107"/>
      <c r="AK60" s="107"/>
      <c r="AL60" s="107"/>
      <c r="AM60" s="91">
        <f t="shared" si="1"/>
        <v>400809656</v>
      </c>
      <c r="AN60" s="72" t="s">
        <v>1429</v>
      </c>
      <c r="AO60" s="6"/>
    </row>
    <row r="61" spans="1:41" s="1" customFormat="1" ht="113.25" hidden="1" customHeight="1" x14ac:dyDescent="0.2">
      <c r="A61" s="69">
        <v>309</v>
      </c>
      <c r="B61" s="68" t="s">
        <v>1399</v>
      </c>
      <c r="C61" s="122">
        <v>3</v>
      </c>
      <c r="D61" s="68" t="s">
        <v>1401</v>
      </c>
      <c r="E61" s="66">
        <v>45</v>
      </c>
      <c r="F61" s="68" t="s">
        <v>36</v>
      </c>
      <c r="G61" s="66">
        <v>4503</v>
      </c>
      <c r="H61" s="68" t="s">
        <v>1350</v>
      </c>
      <c r="I61" s="66">
        <v>4503</v>
      </c>
      <c r="J61" s="68" t="s">
        <v>1351</v>
      </c>
      <c r="K61" s="68" t="s">
        <v>321</v>
      </c>
      <c r="L61" s="66">
        <v>4503004</v>
      </c>
      <c r="M61" s="68" t="s">
        <v>323</v>
      </c>
      <c r="N61" s="66">
        <v>4503016</v>
      </c>
      <c r="O61" s="68" t="s">
        <v>324</v>
      </c>
      <c r="P61" s="66" t="s">
        <v>38</v>
      </c>
      <c r="Q61" s="68" t="s">
        <v>325</v>
      </c>
      <c r="R61" s="66">
        <v>450301600</v>
      </c>
      <c r="S61" s="68" t="s">
        <v>326</v>
      </c>
      <c r="T61" s="72" t="s">
        <v>1449</v>
      </c>
      <c r="U61" s="34">
        <v>1</v>
      </c>
      <c r="V61" s="72" t="s">
        <v>318</v>
      </c>
      <c r="W61" s="67" t="s">
        <v>319</v>
      </c>
      <c r="X61" s="132" t="s">
        <v>320</v>
      </c>
      <c r="Y61" s="107"/>
      <c r="Z61" s="107"/>
      <c r="AA61" s="107"/>
      <c r="AB61" s="107"/>
      <c r="AC61" s="107"/>
      <c r="AD61" s="107"/>
      <c r="AE61" s="107"/>
      <c r="AF61" s="107"/>
      <c r="AG61" s="107"/>
      <c r="AH61" s="107"/>
      <c r="AI61" s="111">
        <v>92505448</v>
      </c>
      <c r="AJ61" s="107"/>
      <c r="AK61" s="107"/>
      <c r="AL61" s="107"/>
      <c r="AM61" s="91">
        <f t="shared" si="1"/>
        <v>92505448</v>
      </c>
      <c r="AN61" s="72" t="s">
        <v>1429</v>
      </c>
      <c r="AO61" s="6"/>
    </row>
    <row r="62" spans="1:41" s="1" customFormat="1" ht="156" hidden="1" customHeight="1" x14ac:dyDescent="0.2">
      <c r="A62" s="69">
        <v>309</v>
      </c>
      <c r="B62" s="68" t="s">
        <v>1399</v>
      </c>
      <c r="C62" s="66">
        <v>4</v>
      </c>
      <c r="D62" s="105" t="s">
        <v>1394</v>
      </c>
      <c r="E62" s="66">
        <v>45</v>
      </c>
      <c r="F62" s="68" t="s">
        <v>36</v>
      </c>
      <c r="G62" s="66">
        <v>4502</v>
      </c>
      <c r="H62" s="68" t="s">
        <v>1348</v>
      </c>
      <c r="I62" s="66">
        <v>4502</v>
      </c>
      <c r="J62" s="68" t="s">
        <v>1349</v>
      </c>
      <c r="K62" s="68" t="s">
        <v>327</v>
      </c>
      <c r="L62" s="66">
        <v>4502024</v>
      </c>
      <c r="M62" s="68" t="s">
        <v>328</v>
      </c>
      <c r="N62" s="66">
        <v>4502024</v>
      </c>
      <c r="O62" s="68" t="s">
        <v>328</v>
      </c>
      <c r="P62" s="34">
        <v>450202400</v>
      </c>
      <c r="Q62" s="68" t="s">
        <v>329</v>
      </c>
      <c r="R62" s="34">
        <v>450202400</v>
      </c>
      <c r="S62" s="126" t="s">
        <v>329</v>
      </c>
      <c r="T62" s="72" t="s">
        <v>1449</v>
      </c>
      <c r="U62" s="34">
        <v>10</v>
      </c>
      <c r="V62" s="72" t="s">
        <v>330</v>
      </c>
      <c r="W62" s="68" t="s">
        <v>331</v>
      </c>
      <c r="X62" s="68" t="s">
        <v>332</v>
      </c>
      <c r="Y62" s="107"/>
      <c r="Z62" s="107"/>
      <c r="AA62" s="107"/>
      <c r="AB62" s="107"/>
      <c r="AC62" s="107"/>
      <c r="AD62" s="107"/>
      <c r="AE62" s="107"/>
      <c r="AF62" s="107"/>
      <c r="AG62" s="107"/>
      <c r="AH62" s="107"/>
      <c r="AI62" s="111">
        <v>89000000</v>
      </c>
      <c r="AJ62" s="107"/>
      <c r="AK62" s="107"/>
      <c r="AL62" s="107"/>
      <c r="AM62" s="91">
        <f t="shared" si="1"/>
        <v>89000000</v>
      </c>
      <c r="AN62" s="72" t="s">
        <v>1429</v>
      </c>
      <c r="AO62" s="6"/>
    </row>
    <row r="63" spans="1:41" s="1" customFormat="1" ht="100.5" hidden="1" customHeight="1" x14ac:dyDescent="0.2">
      <c r="A63" s="69">
        <v>309</v>
      </c>
      <c r="B63" s="68" t="s">
        <v>1399</v>
      </c>
      <c r="C63" s="66">
        <v>4</v>
      </c>
      <c r="D63" s="105" t="s">
        <v>1394</v>
      </c>
      <c r="E63" s="66">
        <v>45</v>
      </c>
      <c r="F63" s="68" t="s">
        <v>36</v>
      </c>
      <c r="G63" s="66">
        <v>4502</v>
      </c>
      <c r="H63" s="68" t="s">
        <v>1348</v>
      </c>
      <c r="I63" s="66">
        <v>4502</v>
      </c>
      <c r="J63" s="68" t="s">
        <v>1349</v>
      </c>
      <c r="K63" s="68" t="s">
        <v>57</v>
      </c>
      <c r="L63" s="69">
        <v>4502001</v>
      </c>
      <c r="M63" s="68" t="s">
        <v>67</v>
      </c>
      <c r="N63" s="69">
        <v>4502001</v>
      </c>
      <c r="O63" s="68" t="s">
        <v>67</v>
      </c>
      <c r="P63" s="66">
        <v>450200100</v>
      </c>
      <c r="Q63" s="68" t="s">
        <v>333</v>
      </c>
      <c r="R63" s="66">
        <v>450200100</v>
      </c>
      <c r="S63" s="68" t="s">
        <v>69</v>
      </c>
      <c r="T63" s="72" t="s">
        <v>1449</v>
      </c>
      <c r="U63" s="34">
        <v>3</v>
      </c>
      <c r="V63" s="72" t="s">
        <v>334</v>
      </c>
      <c r="W63" s="68" t="s">
        <v>335</v>
      </c>
      <c r="X63" s="68" t="s">
        <v>336</v>
      </c>
      <c r="Y63" s="107"/>
      <c r="Z63" s="107"/>
      <c r="AA63" s="107"/>
      <c r="AB63" s="107"/>
      <c r="AC63" s="107"/>
      <c r="AD63" s="107"/>
      <c r="AE63" s="107"/>
      <c r="AF63" s="107"/>
      <c r="AG63" s="107"/>
      <c r="AH63" s="107"/>
      <c r="AI63" s="176">
        <v>132073332</v>
      </c>
      <c r="AJ63" s="107"/>
      <c r="AK63" s="107"/>
      <c r="AL63" s="107"/>
      <c r="AM63" s="91">
        <f t="shared" si="1"/>
        <v>132073332</v>
      </c>
      <c r="AN63" s="72" t="s">
        <v>1429</v>
      </c>
      <c r="AO63" s="6"/>
    </row>
    <row r="64" spans="1:41" s="1" customFormat="1" ht="87" hidden="1" customHeight="1" x14ac:dyDescent="0.2">
      <c r="A64" s="69">
        <v>309</v>
      </c>
      <c r="B64" s="68" t="s">
        <v>1399</v>
      </c>
      <c r="C64" s="66">
        <v>4</v>
      </c>
      <c r="D64" s="105" t="s">
        <v>1394</v>
      </c>
      <c r="E64" s="66">
        <v>45</v>
      </c>
      <c r="F64" s="68" t="s">
        <v>36</v>
      </c>
      <c r="G64" s="66">
        <v>4502</v>
      </c>
      <c r="H64" s="68" t="s">
        <v>1348</v>
      </c>
      <c r="I64" s="66">
        <v>4502</v>
      </c>
      <c r="J64" s="68" t="s">
        <v>1349</v>
      </c>
      <c r="K64" s="68" t="s">
        <v>57</v>
      </c>
      <c r="L64" s="66" t="s">
        <v>38</v>
      </c>
      <c r="M64" s="68" t="s">
        <v>337</v>
      </c>
      <c r="N64" s="69">
        <v>4502001</v>
      </c>
      <c r="O64" s="68" t="s">
        <v>67</v>
      </c>
      <c r="P64" s="66" t="s">
        <v>38</v>
      </c>
      <c r="Q64" s="68" t="s">
        <v>338</v>
      </c>
      <c r="R64" s="69">
        <v>450200111</v>
      </c>
      <c r="S64" s="68" t="s">
        <v>339</v>
      </c>
      <c r="T64" s="72" t="s">
        <v>1449</v>
      </c>
      <c r="U64" s="142">
        <v>1</v>
      </c>
      <c r="V64" s="72" t="s">
        <v>334</v>
      </c>
      <c r="W64" s="68" t="s">
        <v>335</v>
      </c>
      <c r="X64" s="68" t="s">
        <v>336</v>
      </c>
      <c r="Y64" s="107"/>
      <c r="Z64" s="107"/>
      <c r="AA64" s="107"/>
      <c r="AB64" s="107"/>
      <c r="AC64" s="107"/>
      <c r="AD64" s="107"/>
      <c r="AE64" s="107"/>
      <c r="AF64" s="107"/>
      <c r="AG64" s="107"/>
      <c r="AH64" s="107"/>
      <c r="AI64" s="176">
        <v>59000000</v>
      </c>
      <c r="AJ64" s="107"/>
      <c r="AK64" s="107"/>
      <c r="AL64" s="107"/>
      <c r="AM64" s="91">
        <f t="shared" si="1"/>
        <v>59000000</v>
      </c>
      <c r="AN64" s="72" t="s">
        <v>1429</v>
      </c>
      <c r="AO64" s="6"/>
    </row>
    <row r="65" spans="1:43" s="1" customFormat="1" ht="108.75" hidden="1" customHeight="1" x14ac:dyDescent="0.2">
      <c r="A65" s="69">
        <v>309</v>
      </c>
      <c r="B65" s="68" t="s">
        <v>1399</v>
      </c>
      <c r="C65" s="66">
        <v>4</v>
      </c>
      <c r="D65" s="105" t="s">
        <v>1394</v>
      </c>
      <c r="E65" s="66">
        <v>45</v>
      </c>
      <c r="F65" s="68" t="s">
        <v>36</v>
      </c>
      <c r="G65" s="66">
        <v>4502</v>
      </c>
      <c r="H65" s="68" t="s">
        <v>1348</v>
      </c>
      <c r="I65" s="66">
        <v>4502</v>
      </c>
      <c r="J65" s="68" t="s">
        <v>1349</v>
      </c>
      <c r="K65" s="68" t="s">
        <v>57</v>
      </c>
      <c r="L65" s="66" t="s">
        <v>38</v>
      </c>
      <c r="M65" s="68" t="s">
        <v>340</v>
      </c>
      <c r="N65" s="66">
        <v>4502001</v>
      </c>
      <c r="O65" s="68" t="s">
        <v>67</v>
      </c>
      <c r="P65" s="66" t="s">
        <v>38</v>
      </c>
      <c r="Q65" s="68" t="s">
        <v>1323</v>
      </c>
      <c r="R65" s="66">
        <v>450200109</v>
      </c>
      <c r="S65" s="68" t="s">
        <v>341</v>
      </c>
      <c r="T65" s="72" t="s">
        <v>1449</v>
      </c>
      <c r="U65" s="34">
        <v>12</v>
      </c>
      <c r="V65" s="72" t="s">
        <v>334</v>
      </c>
      <c r="W65" s="68" t="s">
        <v>335</v>
      </c>
      <c r="X65" s="68" t="s">
        <v>336</v>
      </c>
      <c r="Y65" s="107"/>
      <c r="Z65" s="107"/>
      <c r="AA65" s="107"/>
      <c r="AB65" s="107"/>
      <c r="AC65" s="107"/>
      <c r="AD65" s="107"/>
      <c r="AE65" s="107"/>
      <c r="AF65" s="107"/>
      <c r="AG65" s="107"/>
      <c r="AH65" s="107"/>
      <c r="AI65" s="176">
        <v>65953401</v>
      </c>
      <c r="AJ65" s="107"/>
      <c r="AK65" s="107"/>
      <c r="AL65" s="107"/>
      <c r="AM65" s="91">
        <f t="shared" si="1"/>
        <v>65953401</v>
      </c>
      <c r="AN65" s="72" t="s">
        <v>1429</v>
      </c>
      <c r="AO65" s="6"/>
    </row>
    <row r="66" spans="1:43" s="1" customFormat="1" ht="96.75" hidden="1" customHeight="1" x14ac:dyDescent="0.2">
      <c r="A66" s="69">
        <v>309</v>
      </c>
      <c r="B66" s="68" t="s">
        <v>1399</v>
      </c>
      <c r="C66" s="66">
        <v>4</v>
      </c>
      <c r="D66" s="105" t="s">
        <v>1394</v>
      </c>
      <c r="E66" s="66">
        <v>45</v>
      </c>
      <c r="F66" s="68" t="s">
        <v>36</v>
      </c>
      <c r="G66" s="66">
        <v>4502</v>
      </c>
      <c r="H66" s="68" t="s">
        <v>1348</v>
      </c>
      <c r="I66" s="66">
        <v>4502</v>
      </c>
      <c r="J66" s="68" t="s">
        <v>1349</v>
      </c>
      <c r="K66" s="68" t="s">
        <v>57</v>
      </c>
      <c r="L66" s="66" t="s">
        <v>38</v>
      </c>
      <c r="M66" s="68" t="s">
        <v>342</v>
      </c>
      <c r="N66" s="69">
        <v>4502035</v>
      </c>
      <c r="O66" s="68" t="s">
        <v>343</v>
      </c>
      <c r="P66" s="66" t="s">
        <v>38</v>
      </c>
      <c r="Q66" s="68" t="s">
        <v>344</v>
      </c>
      <c r="R66" s="69">
        <v>450203501</v>
      </c>
      <c r="S66" s="68" t="s">
        <v>345</v>
      </c>
      <c r="T66" s="72" t="s">
        <v>1451</v>
      </c>
      <c r="U66" s="34">
        <v>0.4</v>
      </c>
      <c r="V66" s="72" t="s">
        <v>334</v>
      </c>
      <c r="W66" s="68" t="s">
        <v>335</v>
      </c>
      <c r="X66" s="68" t="s">
        <v>336</v>
      </c>
      <c r="Y66" s="107"/>
      <c r="Z66" s="107"/>
      <c r="AA66" s="107"/>
      <c r="AB66" s="107"/>
      <c r="AC66" s="107"/>
      <c r="AD66" s="107"/>
      <c r="AE66" s="107"/>
      <c r="AF66" s="107"/>
      <c r="AG66" s="107"/>
      <c r="AH66" s="107"/>
      <c r="AI66" s="111">
        <v>44600000</v>
      </c>
      <c r="AJ66" s="107"/>
      <c r="AK66" s="107"/>
      <c r="AL66" s="107"/>
      <c r="AM66" s="91">
        <f t="shared" si="1"/>
        <v>44600000</v>
      </c>
      <c r="AN66" s="72" t="s">
        <v>1429</v>
      </c>
      <c r="AO66" s="6"/>
    </row>
    <row r="67" spans="1:43" s="1" customFormat="1" ht="144" hidden="1" customHeight="1" x14ac:dyDescent="0.2">
      <c r="A67" s="69">
        <v>310</v>
      </c>
      <c r="B67" s="68" t="s">
        <v>1402</v>
      </c>
      <c r="C67" s="66">
        <v>1</v>
      </c>
      <c r="D67" s="68" t="s">
        <v>1396</v>
      </c>
      <c r="E67" s="66">
        <v>33</v>
      </c>
      <c r="F67" s="105" t="s">
        <v>155</v>
      </c>
      <c r="G67" s="66">
        <v>3301</v>
      </c>
      <c r="H67" s="68" t="s">
        <v>156</v>
      </c>
      <c r="I67" s="66">
        <v>3301</v>
      </c>
      <c r="J67" s="68" t="s">
        <v>1380</v>
      </c>
      <c r="K67" s="68" t="s">
        <v>346</v>
      </c>
      <c r="L67" s="66">
        <v>3301087</v>
      </c>
      <c r="M67" s="68" t="s">
        <v>347</v>
      </c>
      <c r="N67" s="66">
        <v>3301087</v>
      </c>
      <c r="O67" s="68" t="s">
        <v>347</v>
      </c>
      <c r="P67" s="66">
        <v>330108701</v>
      </c>
      <c r="Q67" s="68" t="s">
        <v>317</v>
      </c>
      <c r="R67" s="66">
        <v>330108701</v>
      </c>
      <c r="S67" s="68" t="s">
        <v>317</v>
      </c>
      <c r="T67" s="72" t="s">
        <v>1451</v>
      </c>
      <c r="U67" s="34">
        <f>5700+1428</f>
        <v>7128</v>
      </c>
      <c r="V67" s="72" t="s">
        <v>348</v>
      </c>
      <c r="W67" s="68" t="s">
        <v>349</v>
      </c>
      <c r="X67" s="68" t="s">
        <v>350</v>
      </c>
      <c r="Y67" s="143"/>
      <c r="Z67" s="107"/>
      <c r="AA67" s="107"/>
      <c r="AB67" s="107"/>
      <c r="AC67" s="107"/>
      <c r="AD67" s="107"/>
      <c r="AE67" s="107"/>
      <c r="AF67" s="107"/>
      <c r="AG67" s="107"/>
      <c r="AH67" s="107"/>
      <c r="AI67" s="71">
        <v>322900000</v>
      </c>
      <c r="AJ67" s="108"/>
      <c r="AK67" s="107"/>
      <c r="AL67" s="107"/>
      <c r="AM67" s="91">
        <f t="shared" si="1"/>
        <v>322900000</v>
      </c>
      <c r="AN67" s="72" t="s">
        <v>1430</v>
      </c>
      <c r="AO67" s="6"/>
    </row>
    <row r="68" spans="1:43" s="1" customFormat="1" ht="135" hidden="1" customHeight="1" x14ac:dyDescent="0.2">
      <c r="A68" s="69">
        <v>310</v>
      </c>
      <c r="B68" s="68" t="s">
        <v>1402</v>
      </c>
      <c r="C68" s="66">
        <v>1</v>
      </c>
      <c r="D68" s="68" t="s">
        <v>1396</v>
      </c>
      <c r="E68" s="66">
        <v>33</v>
      </c>
      <c r="F68" s="105" t="s">
        <v>155</v>
      </c>
      <c r="G68" s="66">
        <v>3301</v>
      </c>
      <c r="H68" s="68" t="s">
        <v>156</v>
      </c>
      <c r="I68" s="66">
        <v>3301</v>
      </c>
      <c r="J68" s="68" t="s">
        <v>1380</v>
      </c>
      <c r="K68" s="68" t="s">
        <v>157</v>
      </c>
      <c r="L68" s="66">
        <v>3301073</v>
      </c>
      <c r="M68" s="68" t="s">
        <v>351</v>
      </c>
      <c r="N68" s="66">
        <v>3301073</v>
      </c>
      <c r="O68" s="68" t="s">
        <v>351</v>
      </c>
      <c r="P68" s="66">
        <v>330107301</v>
      </c>
      <c r="Q68" s="68" t="s">
        <v>352</v>
      </c>
      <c r="R68" s="66">
        <v>330107301</v>
      </c>
      <c r="S68" s="68" t="s">
        <v>352</v>
      </c>
      <c r="T68" s="72" t="s">
        <v>1451</v>
      </c>
      <c r="U68" s="34">
        <v>500</v>
      </c>
      <c r="V68" s="72" t="s">
        <v>348</v>
      </c>
      <c r="W68" s="68" t="s">
        <v>349</v>
      </c>
      <c r="X68" s="68" t="s">
        <v>350</v>
      </c>
      <c r="Y68" s="71">
        <v>1280078703.8999999</v>
      </c>
      <c r="Z68" s="107"/>
      <c r="AA68" s="107"/>
      <c r="AB68" s="107"/>
      <c r="AC68" s="107"/>
      <c r="AD68" s="107"/>
      <c r="AE68" s="107"/>
      <c r="AF68" s="107"/>
      <c r="AG68" s="107"/>
      <c r="AH68" s="107"/>
      <c r="AI68" s="71">
        <v>333700000</v>
      </c>
      <c r="AJ68" s="108"/>
      <c r="AK68" s="107"/>
      <c r="AL68" s="107"/>
      <c r="AM68" s="91">
        <f t="shared" si="1"/>
        <v>1613778703.8999999</v>
      </c>
      <c r="AN68" s="72" t="s">
        <v>1430</v>
      </c>
      <c r="AO68" s="6"/>
    </row>
    <row r="69" spans="1:43" s="1" customFormat="1" ht="151.5" hidden="1" customHeight="1" x14ac:dyDescent="0.2">
      <c r="A69" s="69">
        <v>310</v>
      </c>
      <c r="B69" s="68" t="s">
        <v>1402</v>
      </c>
      <c r="C69" s="66">
        <v>1</v>
      </c>
      <c r="D69" s="68" t="s">
        <v>1396</v>
      </c>
      <c r="E69" s="66">
        <v>33</v>
      </c>
      <c r="F69" s="105" t="s">
        <v>155</v>
      </c>
      <c r="G69" s="66">
        <v>3301</v>
      </c>
      <c r="H69" s="68" t="s">
        <v>156</v>
      </c>
      <c r="I69" s="66">
        <v>3301</v>
      </c>
      <c r="J69" s="68" t="s">
        <v>1380</v>
      </c>
      <c r="K69" s="68" t="s">
        <v>353</v>
      </c>
      <c r="L69" s="66" t="s">
        <v>38</v>
      </c>
      <c r="M69" s="68" t="s">
        <v>354</v>
      </c>
      <c r="N69" s="66">
        <v>3301070</v>
      </c>
      <c r="O69" s="68" t="s">
        <v>355</v>
      </c>
      <c r="P69" s="66" t="s">
        <v>38</v>
      </c>
      <c r="Q69" s="68" t="s">
        <v>356</v>
      </c>
      <c r="R69" s="66">
        <v>330107000</v>
      </c>
      <c r="S69" s="68" t="s">
        <v>81</v>
      </c>
      <c r="T69" s="72" t="s">
        <v>1451</v>
      </c>
      <c r="U69" s="34">
        <v>0.3</v>
      </c>
      <c r="V69" s="72" t="s">
        <v>348</v>
      </c>
      <c r="W69" s="68" t="s">
        <v>349</v>
      </c>
      <c r="X69" s="68" t="s">
        <v>350</v>
      </c>
      <c r="Y69" s="144"/>
      <c r="Z69" s="107"/>
      <c r="AA69" s="107"/>
      <c r="AB69" s="107"/>
      <c r="AC69" s="107"/>
      <c r="AD69" s="107"/>
      <c r="AE69" s="107"/>
      <c r="AF69" s="107"/>
      <c r="AG69" s="107"/>
      <c r="AH69" s="107"/>
      <c r="AI69" s="71">
        <v>20000000</v>
      </c>
      <c r="AJ69" s="108"/>
      <c r="AK69" s="107"/>
      <c r="AL69" s="107"/>
      <c r="AM69" s="91">
        <f t="shared" si="1"/>
        <v>20000000</v>
      </c>
      <c r="AN69" s="72" t="s">
        <v>1430</v>
      </c>
      <c r="AO69" s="6"/>
    </row>
    <row r="70" spans="1:43" s="1" customFormat="1" ht="96" hidden="1" customHeight="1" x14ac:dyDescent="0.2">
      <c r="A70" s="69">
        <v>310</v>
      </c>
      <c r="B70" s="68" t="s">
        <v>1402</v>
      </c>
      <c r="C70" s="66">
        <v>1</v>
      </c>
      <c r="D70" s="68" t="s">
        <v>1396</v>
      </c>
      <c r="E70" s="66">
        <v>33</v>
      </c>
      <c r="F70" s="105" t="s">
        <v>155</v>
      </c>
      <c r="G70" s="66">
        <v>3301</v>
      </c>
      <c r="H70" s="68" t="s">
        <v>156</v>
      </c>
      <c r="I70" s="66">
        <v>3301</v>
      </c>
      <c r="J70" s="68" t="s">
        <v>1380</v>
      </c>
      <c r="K70" s="68" t="s">
        <v>157</v>
      </c>
      <c r="L70" s="66">
        <v>3301099</v>
      </c>
      <c r="M70" s="68" t="s">
        <v>1324</v>
      </c>
      <c r="N70" s="66">
        <v>3301099</v>
      </c>
      <c r="O70" s="68" t="s">
        <v>1324</v>
      </c>
      <c r="P70" s="66">
        <v>330109900</v>
      </c>
      <c r="Q70" s="68" t="s">
        <v>1325</v>
      </c>
      <c r="R70" s="66">
        <v>330109900</v>
      </c>
      <c r="S70" s="68" t="s">
        <v>1325</v>
      </c>
      <c r="T70" s="72" t="s">
        <v>1449</v>
      </c>
      <c r="U70" s="34">
        <v>1</v>
      </c>
      <c r="V70" s="72" t="s">
        <v>348</v>
      </c>
      <c r="W70" s="68" t="s">
        <v>349</v>
      </c>
      <c r="X70" s="68" t="s">
        <v>350</v>
      </c>
      <c r="Y70" s="144"/>
      <c r="Z70" s="107"/>
      <c r="AA70" s="107"/>
      <c r="AB70" s="107"/>
      <c r="AC70" s="107"/>
      <c r="AD70" s="107"/>
      <c r="AE70" s="107"/>
      <c r="AF70" s="107"/>
      <c r="AG70" s="107"/>
      <c r="AH70" s="107"/>
      <c r="AI70" s="71">
        <v>5400000</v>
      </c>
      <c r="AJ70" s="108"/>
      <c r="AK70" s="107"/>
      <c r="AL70" s="107"/>
      <c r="AM70" s="91">
        <f t="shared" si="1"/>
        <v>5400000</v>
      </c>
      <c r="AN70" s="72" t="s">
        <v>1430</v>
      </c>
      <c r="AO70" s="6"/>
    </row>
    <row r="71" spans="1:43" s="1" customFormat="1" ht="139.5" hidden="1" customHeight="1" x14ac:dyDescent="0.2">
      <c r="A71" s="69">
        <v>310</v>
      </c>
      <c r="B71" s="68" t="s">
        <v>1402</v>
      </c>
      <c r="C71" s="66">
        <v>1</v>
      </c>
      <c r="D71" s="68" t="s">
        <v>1396</v>
      </c>
      <c r="E71" s="66">
        <v>33</v>
      </c>
      <c r="F71" s="105" t="s">
        <v>155</v>
      </c>
      <c r="G71" s="66">
        <v>3301</v>
      </c>
      <c r="H71" s="68" t="s">
        <v>156</v>
      </c>
      <c r="I71" s="66">
        <v>3301</v>
      </c>
      <c r="J71" s="68" t="s">
        <v>1380</v>
      </c>
      <c r="K71" s="68" t="s">
        <v>346</v>
      </c>
      <c r="L71" s="66">
        <v>3301052</v>
      </c>
      <c r="M71" s="68" t="s">
        <v>357</v>
      </c>
      <c r="N71" s="66">
        <v>3301052</v>
      </c>
      <c r="O71" s="68" t="s">
        <v>357</v>
      </c>
      <c r="P71" s="145">
        <v>330105203</v>
      </c>
      <c r="Q71" s="68" t="s">
        <v>358</v>
      </c>
      <c r="R71" s="145">
        <v>330105203</v>
      </c>
      <c r="S71" s="68" t="s">
        <v>358</v>
      </c>
      <c r="T71" s="72" t="s">
        <v>1449</v>
      </c>
      <c r="U71" s="34">
        <v>135</v>
      </c>
      <c r="V71" s="72" t="s">
        <v>348</v>
      </c>
      <c r="W71" s="68" t="s">
        <v>349</v>
      </c>
      <c r="X71" s="68" t="s">
        <v>350</v>
      </c>
      <c r="Y71" s="144"/>
      <c r="Z71" s="107"/>
      <c r="AA71" s="107"/>
      <c r="AB71" s="107"/>
      <c r="AC71" s="107"/>
      <c r="AD71" s="107"/>
      <c r="AE71" s="107"/>
      <c r="AF71" s="107"/>
      <c r="AG71" s="107"/>
      <c r="AH71" s="107"/>
      <c r="AI71" s="71">
        <v>18000000</v>
      </c>
      <c r="AJ71" s="108"/>
      <c r="AK71" s="107"/>
      <c r="AL71" s="107"/>
      <c r="AM71" s="91">
        <f t="shared" si="1"/>
        <v>18000000</v>
      </c>
      <c r="AN71" s="72" t="s">
        <v>1430</v>
      </c>
      <c r="AO71" s="6"/>
    </row>
    <row r="72" spans="1:43" s="1" customFormat="1" ht="103.5" hidden="1" customHeight="1" x14ac:dyDescent="0.2">
      <c r="A72" s="69">
        <v>310</v>
      </c>
      <c r="B72" s="68" t="s">
        <v>1402</v>
      </c>
      <c r="C72" s="66">
        <v>1</v>
      </c>
      <c r="D72" s="68" t="s">
        <v>1396</v>
      </c>
      <c r="E72" s="66">
        <v>33</v>
      </c>
      <c r="F72" s="105" t="s">
        <v>155</v>
      </c>
      <c r="G72" s="66">
        <v>3301</v>
      </c>
      <c r="H72" s="68" t="s">
        <v>156</v>
      </c>
      <c r="I72" s="66">
        <v>3301</v>
      </c>
      <c r="J72" s="68" t="s">
        <v>1380</v>
      </c>
      <c r="K72" s="68" t="s">
        <v>359</v>
      </c>
      <c r="L72" s="66">
        <v>3301085</v>
      </c>
      <c r="M72" s="68" t="s">
        <v>360</v>
      </c>
      <c r="N72" s="66">
        <v>3301085</v>
      </c>
      <c r="O72" s="68" t="s">
        <v>360</v>
      </c>
      <c r="P72" s="66" t="s">
        <v>361</v>
      </c>
      <c r="Q72" s="68" t="s">
        <v>362</v>
      </c>
      <c r="R72" s="66">
        <v>330108500</v>
      </c>
      <c r="S72" s="68" t="s">
        <v>362</v>
      </c>
      <c r="T72" s="72" t="s">
        <v>1451</v>
      </c>
      <c r="U72" s="34">
        <v>40000</v>
      </c>
      <c r="V72" s="72" t="s">
        <v>363</v>
      </c>
      <c r="W72" s="68" t="s">
        <v>364</v>
      </c>
      <c r="X72" s="68" t="s">
        <v>365</v>
      </c>
      <c r="Y72" s="144">
        <v>235000000</v>
      </c>
      <c r="Z72" s="107"/>
      <c r="AA72" s="107"/>
      <c r="AB72" s="107"/>
      <c r="AC72" s="107"/>
      <c r="AD72" s="107"/>
      <c r="AE72" s="107"/>
      <c r="AF72" s="107"/>
      <c r="AG72" s="107"/>
      <c r="AH72" s="107"/>
      <c r="AI72" s="89">
        <v>14000000</v>
      </c>
      <c r="AJ72" s="108"/>
      <c r="AK72" s="107">
        <v>12090000</v>
      </c>
      <c r="AL72" s="107"/>
      <c r="AM72" s="91">
        <f t="shared" ref="AM72:AM90" si="2">+Y72+Z72+AA72+AB72+AC72+AD72+AE72+AF72+AG72+AH72+AI72+AJ72+AK72</f>
        <v>261090000</v>
      </c>
      <c r="AN72" s="72" t="s">
        <v>1430</v>
      </c>
      <c r="AO72" s="6"/>
      <c r="AP72" s="6"/>
      <c r="AQ72" s="6"/>
    </row>
    <row r="73" spans="1:43" s="1" customFormat="1" ht="100.5" hidden="1" customHeight="1" x14ac:dyDescent="0.2">
      <c r="A73" s="69">
        <v>310</v>
      </c>
      <c r="B73" s="68" t="s">
        <v>1402</v>
      </c>
      <c r="C73" s="66">
        <v>1</v>
      </c>
      <c r="D73" s="68" t="s">
        <v>1396</v>
      </c>
      <c r="E73" s="66">
        <v>33</v>
      </c>
      <c r="F73" s="105" t="s">
        <v>155</v>
      </c>
      <c r="G73" s="66">
        <v>3301</v>
      </c>
      <c r="H73" s="68" t="s">
        <v>156</v>
      </c>
      <c r="I73" s="66">
        <v>3301</v>
      </c>
      <c r="J73" s="68" t="s">
        <v>1380</v>
      </c>
      <c r="K73" s="68" t="s">
        <v>359</v>
      </c>
      <c r="L73" s="66">
        <v>3301100</v>
      </c>
      <c r="M73" s="68" t="s">
        <v>366</v>
      </c>
      <c r="N73" s="66">
        <v>3301100</v>
      </c>
      <c r="O73" s="68" t="s">
        <v>366</v>
      </c>
      <c r="P73" s="145" t="s">
        <v>367</v>
      </c>
      <c r="Q73" s="68" t="s">
        <v>368</v>
      </c>
      <c r="R73" s="145">
        <v>330110000</v>
      </c>
      <c r="S73" s="68" t="s">
        <v>368</v>
      </c>
      <c r="T73" s="72" t="s">
        <v>1451</v>
      </c>
      <c r="U73" s="34">
        <f>10+5</f>
        <v>15</v>
      </c>
      <c r="V73" s="72" t="s">
        <v>363</v>
      </c>
      <c r="W73" s="68" t="s">
        <v>364</v>
      </c>
      <c r="X73" s="68" t="s">
        <v>365</v>
      </c>
      <c r="Y73" s="144">
        <v>64013297.600000001</v>
      </c>
      <c r="Z73" s="107"/>
      <c r="AA73" s="107"/>
      <c r="AB73" s="107"/>
      <c r="AC73" s="107"/>
      <c r="AD73" s="107"/>
      <c r="AE73" s="107"/>
      <c r="AF73" s="107"/>
      <c r="AG73" s="107"/>
      <c r="AH73" s="107"/>
      <c r="AI73" s="89">
        <v>8000000</v>
      </c>
      <c r="AJ73" s="108"/>
      <c r="AK73" s="107"/>
      <c r="AL73" s="107"/>
      <c r="AM73" s="91">
        <f t="shared" si="2"/>
        <v>72013297.599999994</v>
      </c>
      <c r="AN73" s="72" t="s">
        <v>1430</v>
      </c>
      <c r="AO73" s="6"/>
    </row>
    <row r="74" spans="1:43" s="1" customFormat="1" ht="111.75" hidden="1" customHeight="1" x14ac:dyDescent="0.2">
      <c r="A74" s="69">
        <v>310</v>
      </c>
      <c r="B74" s="68" t="s">
        <v>1402</v>
      </c>
      <c r="C74" s="66">
        <v>1</v>
      </c>
      <c r="D74" s="68" t="s">
        <v>1396</v>
      </c>
      <c r="E74" s="66">
        <v>33</v>
      </c>
      <c r="F74" s="105" t="s">
        <v>155</v>
      </c>
      <c r="G74" s="66">
        <v>3301</v>
      </c>
      <c r="H74" s="68" t="s">
        <v>156</v>
      </c>
      <c r="I74" s="66">
        <v>3301</v>
      </c>
      <c r="J74" s="68" t="s">
        <v>1380</v>
      </c>
      <c r="K74" s="68" t="s">
        <v>157</v>
      </c>
      <c r="L74" s="66">
        <v>3301095</v>
      </c>
      <c r="M74" s="68" t="s">
        <v>369</v>
      </c>
      <c r="N74" s="66">
        <v>3301095</v>
      </c>
      <c r="O74" s="68" t="s">
        <v>369</v>
      </c>
      <c r="P74" s="66" t="s">
        <v>370</v>
      </c>
      <c r="Q74" s="68" t="s">
        <v>371</v>
      </c>
      <c r="R74" s="66" t="s">
        <v>370</v>
      </c>
      <c r="S74" s="68" t="s">
        <v>371</v>
      </c>
      <c r="T74" s="72" t="s">
        <v>1451</v>
      </c>
      <c r="U74" s="34">
        <v>150</v>
      </c>
      <c r="V74" s="72" t="s">
        <v>372</v>
      </c>
      <c r="W74" s="67" t="s">
        <v>373</v>
      </c>
      <c r="X74" s="67" t="s">
        <v>374</v>
      </c>
      <c r="Y74" s="144">
        <v>1401227081.52</v>
      </c>
      <c r="Z74" s="107"/>
      <c r="AA74" s="107"/>
      <c r="AB74" s="107"/>
      <c r="AC74" s="107"/>
      <c r="AD74" s="107"/>
      <c r="AE74" s="107"/>
      <c r="AF74" s="107"/>
      <c r="AG74" s="107"/>
      <c r="AH74" s="107"/>
      <c r="AI74" s="71"/>
      <c r="AJ74" s="108"/>
      <c r="AK74" s="107"/>
      <c r="AL74" s="107"/>
      <c r="AM74" s="91">
        <f t="shared" si="2"/>
        <v>1401227081.52</v>
      </c>
      <c r="AN74" s="72" t="s">
        <v>1430</v>
      </c>
      <c r="AO74" s="6"/>
    </row>
    <row r="75" spans="1:43" s="1" customFormat="1" ht="123" hidden="1" customHeight="1" x14ac:dyDescent="0.2">
      <c r="A75" s="69">
        <v>310</v>
      </c>
      <c r="B75" s="68" t="s">
        <v>1402</v>
      </c>
      <c r="C75" s="66">
        <v>1</v>
      </c>
      <c r="D75" s="68" t="s">
        <v>1396</v>
      </c>
      <c r="E75" s="66">
        <v>33</v>
      </c>
      <c r="F75" s="105" t="s">
        <v>155</v>
      </c>
      <c r="G75" s="66">
        <v>3302</v>
      </c>
      <c r="H75" s="137" t="s">
        <v>375</v>
      </c>
      <c r="I75" s="66">
        <v>3302</v>
      </c>
      <c r="J75" s="137" t="s">
        <v>1381</v>
      </c>
      <c r="K75" s="68" t="s">
        <v>376</v>
      </c>
      <c r="L75" s="130">
        <v>3302042</v>
      </c>
      <c r="M75" s="68" t="s">
        <v>377</v>
      </c>
      <c r="N75" s="130">
        <v>3302042</v>
      </c>
      <c r="O75" s="68" t="s">
        <v>377</v>
      </c>
      <c r="P75" s="66" t="s">
        <v>378</v>
      </c>
      <c r="Q75" s="68" t="s">
        <v>379</v>
      </c>
      <c r="R75" s="66" t="s">
        <v>378</v>
      </c>
      <c r="S75" s="68" t="s">
        <v>379</v>
      </c>
      <c r="T75" s="72" t="s">
        <v>1451</v>
      </c>
      <c r="U75" s="34">
        <v>12</v>
      </c>
      <c r="V75" s="72" t="s">
        <v>380</v>
      </c>
      <c r="W75" s="67" t="s">
        <v>381</v>
      </c>
      <c r="X75" s="132" t="s">
        <v>382</v>
      </c>
      <c r="Y75" s="107"/>
      <c r="Z75" s="107"/>
      <c r="AA75" s="107"/>
      <c r="AB75" s="107"/>
      <c r="AC75" s="107"/>
      <c r="AD75" s="107"/>
      <c r="AE75" s="107"/>
      <c r="AF75" s="107"/>
      <c r="AG75" s="107"/>
      <c r="AH75" s="107"/>
      <c r="AI75" s="71">
        <v>66500000</v>
      </c>
      <c r="AJ75" s="108"/>
      <c r="AK75" s="135"/>
      <c r="AL75" s="135"/>
      <c r="AM75" s="91">
        <f t="shared" si="2"/>
        <v>66500000</v>
      </c>
      <c r="AN75" s="72" t="s">
        <v>1430</v>
      </c>
      <c r="AO75" s="6"/>
    </row>
    <row r="76" spans="1:43" s="1" customFormat="1" ht="130.5" hidden="1" customHeight="1" x14ac:dyDescent="0.2">
      <c r="A76" s="69">
        <v>310</v>
      </c>
      <c r="B76" s="68" t="s">
        <v>1402</v>
      </c>
      <c r="C76" s="66">
        <v>1</v>
      </c>
      <c r="D76" s="68" t="s">
        <v>1396</v>
      </c>
      <c r="E76" s="66">
        <v>33</v>
      </c>
      <c r="F76" s="105" t="s">
        <v>155</v>
      </c>
      <c r="G76" s="66">
        <v>3302</v>
      </c>
      <c r="H76" s="137" t="s">
        <v>375</v>
      </c>
      <c r="I76" s="66">
        <v>3302</v>
      </c>
      <c r="J76" s="137" t="s">
        <v>1381</v>
      </c>
      <c r="K76" s="68" t="s">
        <v>376</v>
      </c>
      <c r="L76" s="130">
        <v>3302070</v>
      </c>
      <c r="M76" s="68" t="s">
        <v>383</v>
      </c>
      <c r="N76" s="130">
        <v>3302070</v>
      </c>
      <c r="O76" s="68" t="s">
        <v>383</v>
      </c>
      <c r="P76" s="145" t="s">
        <v>384</v>
      </c>
      <c r="Q76" s="68" t="s">
        <v>368</v>
      </c>
      <c r="R76" s="145" t="s">
        <v>384</v>
      </c>
      <c r="S76" s="68" t="s">
        <v>368</v>
      </c>
      <c r="T76" s="72" t="s">
        <v>1449</v>
      </c>
      <c r="U76" s="34">
        <v>4</v>
      </c>
      <c r="V76" s="72" t="s">
        <v>380</v>
      </c>
      <c r="W76" s="67" t="s">
        <v>381</v>
      </c>
      <c r="X76" s="132" t="s">
        <v>382</v>
      </c>
      <c r="Y76" s="113"/>
      <c r="Z76" s="107"/>
      <c r="AA76" s="107"/>
      <c r="AB76" s="107"/>
      <c r="AC76" s="107"/>
      <c r="AD76" s="107"/>
      <c r="AE76" s="107"/>
      <c r="AF76" s="107"/>
      <c r="AG76" s="107"/>
      <c r="AH76" s="107"/>
      <c r="AI76" s="71">
        <v>66500000</v>
      </c>
      <c r="AJ76" s="146">
        <v>141198236.30000001</v>
      </c>
      <c r="AK76" s="135"/>
      <c r="AL76" s="135"/>
      <c r="AM76" s="91">
        <f t="shared" si="2"/>
        <v>207698236.30000001</v>
      </c>
      <c r="AN76" s="72" t="s">
        <v>1430</v>
      </c>
      <c r="AO76" s="6"/>
    </row>
    <row r="77" spans="1:43" s="1" customFormat="1" ht="72.75" hidden="1" customHeight="1" x14ac:dyDescent="0.2">
      <c r="A77" s="69">
        <v>311</v>
      </c>
      <c r="B77" s="68" t="s">
        <v>1405</v>
      </c>
      <c r="C77" s="66">
        <v>2</v>
      </c>
      <c r="D77" s="68" t="s">
        <v>1403</v>
      </c>
      <c r="E77" s="66">
        <v>35</v>
      </c>
      <c r="F77" s="68" t="s">
        <v>385</v>
      </c>
      <c r="G77" s="66">
        <v>3502</v>
      </c>
      <c r="H77" s="68" t="s">
        <v>1365</v>
      </c>
      <c r="I77" s="66">
        <v>3502</v>
      </c>
      <c r="J77" s="68" t="s">
        <v>1364</v>
      </c>
      <c r="K77" s="68" t="s">
        <v>386</v>
      </c>
      <c r="L77" s="69">
        <v>3502006</v>
      </c>
      <c r="M77" s="68" t="s">
        <v>387</v>
      </c>
      <c r="N77" s="69">
        <v>3502006</v>
      </c>
      <c r="O77" s="68" t="s">
        <v>387</v>
      </c>
      <c r="P77" s="66" t="s">
        <v>388</v>
      </c>
      <c r="Q77" s="68" t="s">
        <v>389</v>
      </c>
      <c r="R77" s="66" t="s">
        <v>388</v>
      </c>
      <c r="S77" s="68" t="s">
        <v>389</v>
      </c>
      <c r="T77" s="72" t="s">
        <v>1451</v>
      </c>
      <c r="U77" s="34">
        <v>1</v>
      </c>
      <c r="V77" s="72" t="s">
        <v>390</v>
      </c>
      <c r="W77" s="67" t="s">
        <v>391</v>
      </c>
      <c r="X77" s="132" t="s">
        <v>392</v>
      </c>
      <c r="Y77" s="107"/>
      <c r="Z77" s="107"/>
      <c r="AA77" s="107"/>
      <c r="AB77" s="107"/>
      <c r="AC77" s="107"/>
      <c r="AD77" s="107"/>
      <c r="AE77" s="107"/>
      <c r="AF77" s="107"/>
      <c r="AG77" s="107"/>
      <c r="AH77" s="107"/>
      <c r="AI77" s="111">
        <v>27000000</v>
      </c>
      <c r="AJ77" s="107"/>
      <c r="AK77" s="107"/>
      <c r="AL77" s="107"/>
      <c r="AM77" s="91">
        <f t="shared" si="2"/>
        <v>27000000</v>
      </c>
      <c r="AN77" s="86" t="s">
        <v>1431</v>
      </c>
      <c r="AO77" s="6"/>
    </row>
    <row r="78" spans="1:43" s="1" customFormat="1" ht="87" hidden="1" customHeight="1" x14ac:dyDescent="0.2">
      <c r="A78" s="69">
        <v>311</v>
      </c>
      <c r="B78" s="68" t="s">
        <v>1405</v>
      </c>
      <c r="C78" s="66">
        <v>2</v>
      </c>
      <c r="D78" s="68" t="s">
        <v>1403</v>
      </c>
      <c r="E78" s="66">
        <v>35</v>
      </c>
      <c r="F78" s="68" t="s">
        <v>385</v>
      </c>
      <c r="G78" s="66">
        <v>3502</v>
      </c>
      <c r="H78" s="68" t="s">
        <v>1365</v>
      </c>
      <c r="I78" s="66">
        <v>3502</v>
      </c>
      <c r="J78" s="68" t="s">
        <v>1364</v>
      </c>
      <c r="K78" s="68" t="s">
        <v>386</v>
      </c>
      <c r="L78" s="69">
        <v>3502007</v>
      </c>
      <c r="M78" s="68" t="s">
        <v>393</v>
      </c>
      <c r="N78" s="69">
        <v>3502007</v>
      </c>
      <c r="O78" s="68" t="s">
        <v>393</v>
      </c>
      <c r="P78" s="66" t="s">
        <v>394</v>
      </c>
      <c r="Q78" s="68" t="s">
        <v>395</v>
      </c>
      <c r="R78" s="66" t="s">
        <v>394</v>
      </c>
      <c r="S78" s="68" t="s">
        <v>395</v>
      </c>
      <c r="T78" s="72" t="s">
        <v>1449</v>
      </c>
      <c r="U78" s="34">
        <v>7</v>
      </c>
      <c r="V78" s="72" t="s">
        <v>390</v>
      </c>
      <c r="W78" s="67" t="s">
        <v>391</v>
      </c>
      <c r="X78" s="132" t="s">
        <v>392</v>
      </c>
      <c r="Y78" s="107"/>
      <c r="Z78" s="107"/>
      <c r="AA78" s="107"/>
      <c r="AB78" s="107"/>
      <c r="AC78" s="107"/>
      <c r="AD78" s="107"/>
      <c r="AE78" s="107"/>
      <c r="AF78" s="107"/>
      <c r="AG78" s="107"/>
      <c r="AH78" s="107"/>
      <c r="AI78" s="176">
        <f>50000000+66000000</f>
        <v>116000000</v>
      </c>
      <c r="AJ78" s="107"/>
      <c r="AK78" s="107"/>
      <c r="AL78" s="107"/>
      <c r="AM78" s="91">
        <f t="shared" si="2"/>
        <v>116000000</v>
      </c>
      <c r="AN78" s="86" t="s">
        <v>1431</v>
      </c>
      <c r="AO78" s="6"/>
    </row>
    <row r="79" spans="1:43" s="1" customFormat="1" ht="68.25" hidden="1" customHeight="1" x14ac:dyDescent="0.2">
      <c r="A79" s="69">
        <v>311</v>
      </c>
      <c r="B79" s="68" t="s">
        <v>1405</v>
      </c>
      <c r="C79" s="66">
        <v>2</v>
      </c>
      <c r="D79" s="68" t="s">
        <v>1403</v>
      </c>
      <c r="E79" s="66">
        <v>35</v>
      </c>
      <c r="F79" s="68" t="s">
        <v>385</v>
      </c>
      <c r="G79" s="66">
        <v>3502</v>
      </c>
      <c r="H79" s="68" t="s">
        <v>1365</v>
      </c>
      <c r="I79" s="66">
        <v>3502</v>
      </c>
      <c r="J79" s="68" t="s">
        <v>1364</v>
      </c>
      <c r="K79" s="68" t="s">
        <v>386</v>
      </c>
      <c r="L79" s="106">
        <v>3502022</v>
      </c>
      <c r="M79" s="68" t="s">
        <v>1326</v>
      </c>
      <c r="N79" s="106">
        <v>3502022</v>
      </c>
      <c r="O79" s="68" t="s">
        <v>1326</v>
      </c>
      <c r="P79" s="33" t="s">
        <v>396</v>
      </c>
      <c r="Q79" s="68" t="s">
        <v>397</v>
      </c>
      <c r="R79" s="33" t="s">
        <v>396</v>
      </c>
      <c r="S79" s="68" t="s">
        <v>397</v>
      </c>
      <c r="T79" s="72" t="s">
        <v>1449</v>
      </c>
      <c r="U79" s="34">
        <v>14</v>
      </c>
      <c r="V79" s="72" t="s">
        <v>398</v>
      </c>
      <c r="W79" s="67" t="s">
        <v>399</v>
      </c>
      <c r="X79" s="132" t="s">
        <v>400</v>
      </c>
      <c r="Y79" s="107"/>
      <c r="Z79" s="107"/>
      <c r="AA79" s="107"/>
      <c r="AB79" s="107"/>
      <c r="AC79" s="107"/>
      <c r="AD79" s="107"/>
      <c r="AE79" s="107"/>
      <c r="AF79" s="107"/>
      <c r="AG79" s="107"/>
      <c r="AH79" s="107"/>
      <c r="AI79" s="176">
        <f>90000000-60000000</f>
        <v>30000000</v>
      </c>
      <c r="AJ79" s="107"/>
      <c r="AK79" s="107"/>
      <c r="AL79" s="107"/>
      <c r="AM79" s="91">
        <f t="shared" si="2"/>
        <v>30000000</v>
      </c>
      <c r="AN79" s="86" t="s">
        <v>1431</v>
      </c>
      <c r="AO79" s="6"/>
    </row>
    <row r="80" spans="1:43" s="1" customFormat="1" ht="84.75" hidden="1" customHeight="1" x14ac:dyDescent="0.2">
      <c r="A80" s="69">
        <v>311</v>
      </c>
      <c r="B80" s="68" t="s">
        <v>1405</v>
      </c>
      <c r="C80" s="66">
        <v>2</v>
      </c>
      <c r="D80" s="68" t="s">
        <v>1403</v>
      </c>
      <c r="E80" s="66">
        <v>35</v>
      </c>
      <c r="F80" s="68" t="s">
        <v>385</v>
      </c>
      <c r="G80" s="66">
        <v>3502</v>
      </c>
      <c r="H80" s="68" t="s">
        <v>1365</v>
      </c>
      <c r="I80" s="66">
        <v>3502</v>
      </c>
      <c r="J80" s="68" t="s">
        <v>1364</v>
      </c>
      <c r="K80" s="68" t="s">
        <v>386</v>
      </c>
      <c r="L80" s="106">
        <v>3502047</v>
      </c>
      <c r="M80" s="68" t="s">
        <v>221</v>
      </c>
      <c r="N80" s="106">
        <v>3502047</v>
      </c>
      <c r="O80" s="68" t="s">
        <v>221</v>
      </c>
      <c r="P80" s="33" t="s">
        <v>401</v>
      </c>
      <c r="Q80" s="126" t="s">
        <v>223</v>
      </c>
      <c r="R80" s="33" t="s">
        <v>401</v>
      </c>
      <c r="S80" s="126" t="s">
        <v>223</v>
      </c>
      <c r="T80" s="72" t="s">
        <v>1451</v>
      </c>
      <c r="U80" s="34">
        <v>0.7</v>
      </c>
      <c r="V80" s="72" t="s">
        <v>398</v>
      </c>
      <c r="W80" s="67" t="s">
        <v>399</v>
      </c>
      <c r="X80" s="132" t="s">
        <v>400</v>
      </c>
      <c r="Y80" s="107"/>
      <c r="Z80" s="107"/>
      <c r="AA80" s="107"/>
      <c r="AB80" s="107"/>
      <c r="AC80" s="107"/>
      <c r="AD80" s="107"/>
      <c r="AE80" s="107"/>
      <c r="AF80" s="107"/>
      <c r="AG80" s="107"/>
      <c r="AH80" s="107"/>
      <c r="AI80" s="176">
        <f>130000000+30000000-66000000</f>
        <v>94000000</v>
      </c>
      <c r="AJ80" s="107"/>
      <c r="AK80" s="107"/>
      <c r="AL80" s="107"/>
      <c r="AM80" s="91">
        <f t="shared" si="2"/>
        <v>94000000</v>
      </c>
      <c r="AN80" s="86" t="s">
        <v>1431</v>
      </c>
      <c r="AO80" s="6"/>
    </row>
    <row r="81" spans="1:41" s="1" customFormat="1" ht="126" hidden="1" customHeight="1" x14ac:dyDescent="0.2">
      <c r="A81" s="69">
        <v>311</v>
      </c>
      <c r="B81" s="68" t="s">
        <v>1405</v>
      </c>
      <c r="C81" s="66">
        <v>2</v>
      </c>
      <c r="D81" s="68" t="s">
        <v>1403</v>
      </c>
      <c r="E81" s="66">
        <v>35</v>
      </c>
      <c r="F81" s="68" t="s">
        <v>385</v>
      </c>
      <c r="G81" s="66">
        <v>3502</v>
      </c>
      <c r="H81" s="68" t="s">
        <v>1365</v>
      </c>
      <c r="I81" s="66">
        <v>3502</v>
      </c>
      <c r="J81" s="68" t="s">
        <v>1364</v>
      </c>
      <c r="K81" s="68" t="s">
        <v>403</v>
      </c>
      <c r="L81" s="106">
        <v>3502039</v>
      </c>
      <c r="M81" s="68" t="s">
        <v>404</v>
      </c>
      <c r="N81" s="106">
        <v>3502039</v>
      </c>
      <c r="O81" s="68" t="s">
        <v>404</v>
      </c>
      <c r="P81" s="66" t="s">
        <v>405</v>
      </c>
      <c r="Q81" s="68" t="s">
        <v>100</v>
      </c>
      <c r="R81" s="66" t="s">
        <v>405</v>
      </c>
      <c r="S81" s="68" t="s">
        <v>100</v>
      </c>
      <c r="T81" s="72" t="s">
        <v>1449</v>
      </c>
      <c r="U81" s="34">
        <v>12</v>
      </c>
      <c r="V81" s="72" t="s">
        <v>406</v>
      </c>
      <c r="W81" s="67" t="s">
        <v>407</v>
      </c>
      <c r="X81" s="132" t="s">
        <v>408</v>
      </c>
      <c r="Y81" s="107"/>
      <c r="Z81" s="107"/>
      <c r="AA81" s="107"/>
      <c r="AB81" s="107"/>
      <c r="AC81" s="107"/>
      <c r="AD81" s="107"/>
      <c r="AE81" s="107"/>
      <c r="AF81" s="107"/>
      <c r="AG81" s="107"/>
      <c r="AH81" s="107"/>
      <c r="AI81" s="176">
        <v>175000000</v>
      </c>
      <c r="AJ81" s="107"/>
      <c r="AK81" s="107"/>
      <c r="AL81" s="107"/>
      <c r="AM81" s="91">
        <f t="shared" si="2"/>
        <v>175000000</v>
      </c>
      <c r="AN81" s="86" t="s">
        <v>1431</v>
      </c>
      <c r="AO81" s="6"/>
    </row>
    <row r="82" spans="1:41" s="1" customFormat="1" ht="116.25" hidden="1" customHeight="1" x14ac:dyDescent="0.2">
      <c r="A82" s="69">
        <v>311</v>
      </c>
      <c r="B82" s="68" t="s">
        <v>1405</v>
      </c>
      <c r="C82" s="66">
        <v>2</v>
      </c>
      <c r="D82" s="68" t="s">
        <v>1403</v>
      </c>
      <c r="E82" s="66">
        <v>35</v>
      </c>
      <c r="F82" s="68" t="s">
        <v>385</v>
      </c>
      <c r="G82" s="66">
        <v>3502</v>
      </c>
      <c r="H82" s="68" t="s">
        <v>1365</v>
      </c>
      <c r="I82" s="66">
        <v>3502</v>
      </c>
      <c r="J82" s="68" t="s">
        <v>1364</v>
      </c>
      <c r="K82" s="68" t="s">
        <v>386</v>
      </c>
      <c r="L82" s="106">
        <v>3502047</v>
      </c>
      <c r="M82" s="68" t="s">
        <v>221</v>
      </c>
      <c r="N82" s="106">
        <v>3502047</v>
      </c>
      <c r="O82" s="68" t="s">
        <v>221</v>
      </c>
      <c r="P82" s="66" t="s">
        <v>401</v>
      </c>
      <c r="Q82" s="68" t="s">
        <v>223</v>
      </c>
      <c r="R82" s="66" t="s">
        <v>401</v>
      </c>
      <c r="S82" s="68" t="s">
        <v>223</v>
      </c>
      <c r="T82" s="72" t="s">
        <v>1451</v>
      </c>
      <c r="U82" s="34" t="s">
        <v>402</v>
      </c>
      <c r="V82" s="72" t="s">
        <v>406</v>
      </c>
      <c r="W82" s="67" t="s">
        <v>407</v>
      </c>
      <c r="X82" s="132" t="s">
        <v>408</v>
      </c>
      <c r="Y82" s="107"/>
      <c r="Z82" s="107"/>
      <c r="AA82" s="107"/>
      <c r="AB82" s="107"/>
      <c r="AC82" s="107"/>
      <c r="AD82" s="107"/>
      <c r="AE82" s="107"/>
      <c r="AF82" s="107"/>
      <c r="AG82" s="107"/>
      <c r="AH82" s="107"/>
      <c r="AI82" s="111">
        <v>18000000</v>
      </c>
      <c r="AJ82" s="107"/>
      <c r="AK82" s="107"/>
      <c r="AL82" s="107"/>
      <c r="AM82" s="91">
        <f t="shared" si="2"/>
        <v>18000000</v>
      </c>
      <c r="AN82" s="86" t="s">
        <v>1431</v>
      </c>
      <c r="AO82" s="6"/>
    </row>
    <row r="83" spans="1:41" s="1" customFormat="1" ht="111" hidden="1" customHeight="1" x14ac:dyDescent="0.2">
      <c r="A83" s="69">
        <v>311</v>
      </c>
      <c r="B83" s="68" t="s">
        <v>1405</v>
      </c>
      <c r="C83" s="66">
        <v>2</v>
      </c>
      <c r="D83" s="68" t="s">
        <v>1403</v>
      </c>
      <c r="E83" s="66">
        <v>35</v>
      </c>
      <c r="F83" s="68" t="s">
        <v>385</v>
      </c>
      <c r="G83" s="66">
        <v>3502</v>
      </c>
      <c r="H83" s="68" t="s">
        <v>1365</v>
      </c>
      <c r="I83" s="66">
        <v>3502</v>
      </c>
      <c r="J83" s="68" t="s">
        <v>1364</v>
      </c>
      <c r="K83" s="68" t="s">
        <v>403</v>
      </c>
      <c r="L83" s="106">
        <v>3502039</v>
      </c>
      <c r="M83" s="68" t="s">
        <v>404</v>
      </c>
      <c r="N83" s="106">
        <v>3502039</v>
      </c>
      <c r="O83" s="68" t="s">
        <v>404</v>
      </c>
      <c r="P83" s="33">
        <v>350203910</v>
      </c>
      <c r="Q83" s="68" t="s">
        <v>409</v>
      </c>
      <c r="R83" s="33">
        <v>350203910</v>
      </c>
      <c r="S83" s="68" t="s">
        <v>409</v>
      </c>
      <c r="T83" s="72" t="s">
        <v>1451</v>
      </c>
      <c r="U83" s="34">
        <v>1</v>
      </c>
      <c r="V83" s="72" t="s">
        <v>406</v>
      </c>
      <c r="W83" s="67" t="s">
        <v>407</v>
      </c>
      <c r="X83" s="132" t="s">
        <v>408</v>
      </c>
      <c r="Y83" s="107"/>
      <c r="Z83" s="107"/>
      <c r="AA83" s="107"/>
      <c r="AB83" s="107"/>
      <c r="AC83" s="107"/>
      <c r="AD83" s="107"/>
      <c r="AE83" s="107"/>
      <c r="AF83" s="107"/>
      <c r="AG83" s="107"/>
      <c r="AH83" s="107"/>
      <c r="AI83" s="111">
        <f>100000000+1498856036</f>
        <v>1598856036</v>
      </c>
      <c r="AJ83" s="107"/>
      <c r="AK83" s="107"/>
      <c r="AL83" s="107"/>
      <c r="AM83" s="91">
        <f t="shared" si="2"/>
        <v>1598856036</v>
      </c>
      <c r="AN83" s="86" t="s">
        <v>1431</v>
      </c>
      <c r="AO83" s="6"/>
    </row>
    <row r="84" spans="1:41" s="65" customFormat="1" ht="98.25" hidden="1" customHeight="1" x14ac:dyDescent="0.25">
      <c r="A84" s="69">
        <v>311</v>
      </c>
      <c r="B84" s="68" t="s">
        <v>1405</v>
      </c>
      <c r="C84" s="66">
        <v>2</v>
      </c>
      <c r="D84" s="68" t="s">
        <v>1403</v>
      </c>
      <c r="E84" s="66">
        <v>35</v>
      </c>
      <c r="F84" s="68" t="s">
        <v>385</v>
      </c>
      <c r="G84" s="66">
        <v>3502</v>
      </c>
      <c r="H84" s="68" t="s">
        <v>1365</v>
      </c>
      <c r="I84" s="66">
        <v>3502</v>
      </c>
      <c r="J84" s="68" t="s">
        <v>1364</v>
      </c>
      <c r="K84" s="68" t="s">
        <v>403</v>
      </c>
      <c r="L84" s="106">
        <v>3502046</v>
      </c>
      <c r="M84" s="68" t="s">
        <v>410</v>
      </c>
      <c r="N84" s="106">
        <v>3502046</v>
      </c>
      <c r="O84" s="68" t="s">
        <v>410</v>
      </c>
      <c r="P84" s="66" t="s">
        <v>411</v>
      </c>
      <c r="Q84" s="68" t="s">
        <v>412</v>
      </c>
      <c r="R84" s="66" t="s">
        <v>411</v>
      </c>
      <c r="S84" s="68" t="s">
        <v>412</v>
      </c>
      <c r="T84" s="72" t="s">
        <v>1451</v>
      </c>
      <c r="U84" s="34">
        <v>1</v>
      </c>
      <c r="V84" s="72" t="s">
        <v>413</v>
      </c>
      <c r="W84" s="68" t="s">
        <v>414</v>
      </c>
      <c r="X84" s="68" t="s">
        <v>415</v>
      </c>
      <c r="Y84" s="107"/>
      <c r="Z84" s="107"/>
      <c r="AA84" s="107"/>
      <c r="AB84" s="107"/>
      <c r="AC84" s="107"/>
      <c r="AD84" s="107"/>
      <c r="AE84" s="107"/>
      <c r="AF84" s="107"/>
      <c r="AG84" s="107"/>
      <c r="AH84" s="107"/>
      <c r="AI84" s="176">
        <f>100000000+20000000+150000000-15000000</f>
        <v>255000000</v>
      </c>
      <c r="AJ84" s="134">
        <f>664872303.76+340359369.85</f>
        <v>1005231673.61</v>
      </c>
      <c r="AK84" s="134"/>
      <c r="AL84" s="134"/>
      <c r="AM84" s="91">
        <f t="shared" si="2"/>
        <v>1260231673.6100001</v>
      </c>
      <c r="AN84" s="86" t="s">
        <v>1431</v>
      </c>
      <c r="AO84" s="6"/>
    </row>
    <row r="85" spans="1:41" s="1" customFormat="1" ht="84" hidden="1" customHeight="1" x14ac:dyDescent="0.2">
      <c r="A85" s="69">
        <v>311</v>
      </c>
      <c r="B85" s="68" t="s">
        <v>1405</v>
      </c>
      <c r="C85" s="66">
        <v>2</v>
      </c>
      <c r="D85" s="68" t="s">
        <v>1403</v>
      </c>
      <c r="E85" s="66">
        <v>36</v>
      </c>
      <c r="F85" s="66" t="s">
        <v>416</v>
      </c>
      <c r="G85" s="66">
        <v>3602</v>
      </c>
      <c r="H85" s="68" t="s">
        <v>417</v>
      </c>
      <c r="I85" s="66">
        <v>3602</v>
      </c>
      <c r="J85" s="68" t="s">
        <v>1382</v>
      </c>
      <c r="K85" s="68" t="s">
        <v>386</v>
      </c>
      <c r="L85" s="66">
        <v>3602018</v>
      </c>
      <c r="M85" s="68" t="s">
        <v>418</v>
      </c>
      <c r="N85" s="66">
        <v>3602018</v>
      </c>
      <c r="O85" s="68" t="s">
        <v>418</v>
      </c>
      <c r="P85" s="33" t="s">
        <v>419</v>
      </c>
      <c r="Q85" s="126" t="s">
        <v>420</v>
      </c>
      <c r="R85" s="33">
        <v>360201800</v>
      </c>
      <c r="S85" s="126" t="s">
        <v>420</v>
      </c>
      <c r="T85" s="72" t="s">
        <v>1451</v>
      </c>
      <c r="U85" s="34">
        <v>3</v>
      </c>
      <c r="V85" s="72" t="s">
        <v>421</v>
      </c>
      <c r="W85" s="68" t="s">
        <v>422</v>
      </c>
      <c r="X85" s="68" t="s">
        <v>423</v>
      </c>
      <c r="Y85" s="107"/>
      <c r="Z85" s="107"/>
      <c r="AA85" s="107"/>
      <c r="AB85" s="107"/>
      <c r="AC85" s="107"/>
      <c r="AD85" s="107"/>
      <c r="AE85" s="107"/>
      <c r="AF85" s="107"/>
      <c r="AG85" s="107"/>
      <c r="AH85" s="107"/>
      <c r="AI85" s="176">
        <f>120000000-24000000-27345000</f>
        <v>68655000</v>
      </c>
      <c r="AJ85" s="107"/>
      <c r="AK85" s="107"/>
      <c r="AL85" s="107"/>
      <c r="AM85" s="91">
        <f t="shared" si="2"/>
        <v>68655000</v>
      </c>
      <c r="AN85" s="86" t="s">
        <v>1431</v>
      </c>
      <c r="AO85" s="6"/>
    </row>
    <row r="86" spans="1:41" s="1" customFormat="1" ht="75.75" hidden="1" customHeight="1" x14ac:dyDescent="0.2">
      <c r="A86" s="69">
        <v>311</v>
      </c>
      <c r="B86" s="68" t="s">
        <v>1405</v>
      </c>
      <c r="C86" s="66">
        <v>2</v>
      </c>
      <c r="D86" s="68" t="s">
        <v>1403</v>
      </c>
      <c r="E86" s="66">
        <v>36</v>
      </c>
      <c r="F86" s="66" t="s">
        <v>416</v>
      </c>
      <c r="G86" s="66">
        <v>3602</v>
      </c>
      <c r="H86" s="68" t="s">
        <v>417</v>
      </c>
      <c r="I86" s="66">
        <v>3602</v>
      </c>
      <c r="J86" s="68" t="s">
        <v>1382</v>
      </c>
      <c r="K86" s="68" t="s">
        <v>386</v>
      </c>
      <c r="L86" s="69">
        <v>3602032</v>
      </c>
      <c r="M86" s="68" t="s">
        <v>424</v>
      </c>
      <c r="N86" s="69">
        <v>3602032</v>
      </c>
      <c r="O86" s="68" t="s">
        <v>424</v>
      </c>
      <c r="P86" s="33" t="s">
        <v>425</v>
      </c>
      <c r="Q86" s="126" t="s">
        <v>426</v>
      </c>
      <c r="R86" s="33">
        <v>360203201</v>
      </c>
      <c r="S86" s="126" t="s">
        <v>426</v>
      </c>
      <c r="T86" s="72" t="s">
        <v>1449</v>
      </c>
      <c r="U86" s="34">
        <v>14</v>
      </c>
      <c r="V86" s="72" t="s">
        <v>421</v>
      </c>
      <c r="W86" s="68" t="s">
        <v>422</v>
      </c>
      <c r="X86" s="68" t="s">
        <v>423</v>
      </c>
      <c r="Y86" s="107"/>
      <c r="Z86" s="107"/>
      <c r="AA86" s="107"/>
      <c r="AB86" s="107"/>
      <c r="AC86" s="107"/>
      <c r="AD86" s="107"/>
      <c r="AE86" s="107"/>
      <c r="AF86" s="107"/>
      <c r="AG86" s="107"/>
      <c r="AH86" s="107"/>
      <c r="AI86" s="176">
        <f>60000000+31150000+27345000</f>
        <v>118495000</v>
      </c>
      <c r="AJ86" s="107"/>
      <c r="AK86" s="107"/>
      <c r="AL86" s="107"/>
      <c r="AM86" s="91">
        <f t="shared" si="2"/>
        <v>118495000</v>
      </c>
      <c r="AN86" s="86" t="s">
        <v>1431</v>
      </c>
      <c r="AO86" s="6"/>
    </row>
    <row r="87" spans="1:41" s="1" customFormat="1" ht="81" hidden="1" customHeight="1" x14ac:dyDescent="0.2">
      <c r="A87" s="69">
        <v>311</v>
      </c>
      <c r="B87" s="68" t="s">
        <v>1405</v>
      </c>
      <c r="C87" s="66">
        <v>2</v>
      </c>
      <c r="D87" s="68" t="s">
        <v>1403</v>
      </c>
      <c r="E87" s="66">
        <v>36</v>
      </c>
      <c r="F87" s="66" t="s">
        <v>416</v>
      </c>
      <c r="G87" s="66">
        <v>3602</v>
      </c>
      <c r="H87" s="68" t="s">
        <v>417</v>
      </c>
      <c r="I87" s="66">
        <v>3602</v>
      </c>
      <c r="J87" s="68" t="s">
        <v>1382</v>
      </c>
      <c r="K87" s="68" t="s">
        <v>386</v>
      </c>
      <c r="L87" s="69">
        <v>3602029</v>
      </c>
      <c r="M87" s="68" t="s">
        <v>427</v>
      </c>
      <c r="N87" s="69">
        <v>3602029</v>
      </c>
      <c r="O87" s="68" t="s">
        <v>427</v>
      </c>
      <c r="P87" s="33" t="s">
        <v>428</v>
      </c>
      <c r="Q87" s="126" t="s">
        <v>429</v>
      </c>
      <c r="R87" s="33">
        <v>360202904</v>
      </c>
      <c r="S87" s="126" t="s">
        <v>429</v>
      </c>
      <c r="T87" s="72" t="s">
        <v>1451</v>
      </c>
      <c r="U87" s="34">
        <v>12</v>
      </c>
      <c r="V87" s="72" t="s">
        <v>421</v>
      </c>
      <c r="W87" s="68" t="s">
        <v>422</v>
      </c>
      <c r="X87" s="68" t="s">
        <v>423</v>
      </c>
      <c r="Y87" s="107"/>
      <c r="Z87" s="107"/>
      <c r="AA87" s="107"/>
      <c r="AB87" s="107"/>
      <c r="AC87" s="107"/>
      <c r="AD87" s="107"/>
      <c r="AE87" s="107"/>
      <c r="AF87" s="107"/>
      <c r="AG87" s="107"/>
      <c r="AH87" s="107"/>
      <c r="AI87" s="70">
        <v>22500000</v>
      </c>
      <c r="AJ87" s="107"/>
      <c r="AK87" s="107"/>
      <c r="AL87" s="107"/>
      <c r="AM87" s="91">
        <f t="shared" si="2"/>
        <v>22500000</v>
      </c>
      <c r="AN87" s="86" t="s">
        <v>1431</v>
      </c>
      <c r="AO87" s="6"/>
    </row>
    <row r="88" spans="1:41" s="1" customFormat="1" ht="78" hidden="1" customHeight="1" x14ac:dyDescent="0.2">
      <c r="A88" s="69">
        <v>311</v>
      </c>
      <c r="B88" s="68" t="s">
        <v>1405</v>
      </c>
      <c r="C88" s="66">
        <v>2</v>
      </c>
      <c r="D88" s="68" t="s">
        <v>1403</v>
      </c>
      <c r="E88" s="66">
        <v>36</v>
      </c>
      <c r="F88" s="66" t="s">
        <v>416</v>
      </c>
      <c r="G88" s="66">
        <v>3602</v>
      </c>
      <c r="H88" s="68" t="s">
        <v>417</v>
      </c>
      <c r="I88" s="66">
        <v>3602</v>
      </c>
      <c r="J88" s="68" t="s">
        <v>1382</v>
      </c>
      <c r="K88" s="68" t="s">
        <v>386</v>
      </c>
      <c r="L88" s="69">
        <v>3602030</v>
      </c>
      <c r="M88" s="68" t="s">
        <v>430</v>
      </c>
      <c r="N88" s="69">
        <v>3602030</v>
      </c>
      <c r="O88" s="68" t="s">
        <v>430</v>
      </c>
      <c r="P88" s="33" t="s">
        <v>431</v>
      </c>
      <c r="Q88" s="126" t="s">
        <v>432</v>
      </c>
      <c r="R88" s="33">
        <v>360203000</v>
      </c>
      <c r="S88" s="126" t="s">
        <v>432</v>
      </c>
      <c r="T88" s="72" t="s">
        <v>1451</v>
      </c>
      <c r="U88" s="34">
        <v>3</v>
      </c>
      <c r="V88" s="72" t="s">
        <v>421</v>
      </c>
      <c r="W88" s="68" t="s">
        <v>422</v>
      </c>
      <c r="X88" s="68" t="s">
        <v>423</v>
      </c>
      <c r="Y88" s="107"/>
      <c r="Z88" s="107"/>
      <c r="AA88" s="107"/>
      <c r="AB88" s="107"/>
      <c r="AC88" s="107"/>
      <c r="AD88" s="107"/>
      <c r="AE88" s="107"/>
      <c r="AF88" s="107"/>
      <c r="AG88" s="107"/>
      <c r="AH88" s="107"/>
      <c r="AI88" s="70">
        <f>35000000-7150000</f>
        <v>27850000</v>
      </c>
      <c r="AJ88" s="107"/>
      <c r="AK88" s="107"/>
      <c r="AL88" s="107"/>
      <c r="AM88" s="91">
        <f t="shared" si="2"/>
        <v>27850000</v>
      </c>
      <c r="AN88" s="86" t="s">
        <v>1431</v>
      </c>
      <c r="AO88" s="6"/>
    </row>
    <row r="89" spans="1:41" s="1" customFormat="1" ht="88.5" hidden="1" customHeight="1" x14ac:dyDescent="0.2">
      <c r="A89" s="69">
        <v>312</v>
      </c>
      <c r="B89" s="68" t="s">
        <v>1404</v>
      </c>
      <c r="C89" s="66">
        <v>2</v>
      </c>
      <c r="D89" s="68" t="s">
        <v>1403</v>
      </c>
      <c r="E89" s="66">
        <v>17</v>
      </c>
      <c r="F89" s="68" t="s">
        <v>433</v>
      </c>
      <c r="G89" s="66">
        <v>1702</v>
      </c>
      <c r="H89" s="68" t="s">
        <v>434</v>
      </c>
      <c r="I89" s="66">
        <v>1702</v>
      </c>
      <c r="J89" s="68" t="s">
        <v>1357</v>
      </c>
      <c r="K89" s="68" t="s">
        <v>435</v>
      </c>
      <c r="L89" s="106">
        <v>1702011</v>
      </c>
      <c r="M89" s="68" t="s">
        <v>436</v>
      </c>
      <c r="N89" s="106">
        <v>1702011</v>
      </c>
      <c r="O89" s="68" t="s">
        <v>436</v>
      </c>
      <c r="P89" s="66" t="s">
        <v>437</v>
      </c>
      <c r="Q89" s="68" t="s">
        <v>438</v>
      </c>
      <c r="R89" s="66">
        <v>170201100</v>
      </c>
      <c r="S89" s="68" t="s">
        <v>438</v>
      </c>
      <c r="T89" s="72" t="s">
        <v>1449</v>
      </c>
      <c r="U89" s="34">
        <v>30</v>
      </c>
      <c r="V89" s="72" t="s">
        <v>439</v>
      </c>
      <c r="W89" s="68" t="s">
        <v>440</v>
      </c>
      <c r="X89" s="68" t="s">
        <v>441</v>
      </c>
      <c r="Y89" s="107"/>
      <c r="Z89" s="107"/>
      <c r="AA89" s="107"/>
      <c r="AB89" s="107"/>
      <c r="AC89" s="107"/>
      <c r="AD89" s="107"/>
      <c r="AE89" s="107"/>
      <c r="AF89" s="107"/>
      <c r="AG89" s="107"/>
      <c r="AH89" s="107"/>
      <c r="AI89" s="71">
        <v>226000000</v>
      </c>
      <c r="AJ89" s="147"/>
      <c r="AK89" s="147"/>
      <c r="AL89" s="147"/>
      <c r="AM89" s="91">
        <f t="shared" si="2"/>
        <v>226000000</v>
      </c>
      <c r="AN89" s="82" t="s">
        <v>1432</v>
      </c>
      <c r="AO89" s="6"/>
    </row>
    <row r="90" spans="1:41" s="1" customFormat="1" ht="86.25" hidden="1" customHeight="1" x14ac:dyDescent="0.2">
      <c r="A90" s="69">
        <v>312</v>
      </c>
      <c r="B90" s="68" t="s">
        <v>1404</v>
      </c>
      <c r="C90" s="66">
        <v>2</v>
      </c>
      <c r="D90" s="68" t="s">
        <v>1403</v>
      </c>
      <c r="E90" s="66">
        <v>17</v>
      </c>
      <c r="F90" s="68" t="s">
        <v>433</v>
      </c>
      <c r="G90" s="66">
        <v>1702</v>
      </c>
      <c r="H90" s="68" t="s">
        <v>434</v>
      </c>
      <c r="I90" s="66">
        <v>1702</v>
      </c>
      <c r="J90" s="68" t="s">
        <v>1357</v>
      </c>
      <c r="K90" s="68" t="s">
        <v>435</v>
      </c>
      <c r="L90" s="106">
        <v>1702007</v>
      </c>
      <c r="M90" s="68" t="s">
        <v>442</v>
      </c>
      <c r="N90" s="106">
        <v>1702007</v>
      </c>
      <c r="O90" s="68" t="s">
        <v>442</v>
      </c>
      <c r="P90" s="33" t="s">
        <v>443</v>
      </c>
      <c r="Q90" s="68" t="s">
        <v>444</v>
      </c>
      <c r="R90" s="33" t="s">
        <v>443</v>
      </c>
      <c r="S90" s="68" t="s">
        <v>444</v>
      </c>
      <c r="T90" s="72" t="s">
        <v>1451</v>
      </c>
      <c r="U90" s="34">
        <f>4+2</f>
        <v>6</v>
      </c>
      <c r="V90" s="72" t="s">
        <v>439</v>
      </c>
      <c r="W90" s="68" t="s">
        <v>440</v>
      </c>
      <c r="X90" s="68" t="s">
        <v>441</v>
      </c>
      <c r="Y90" s="148"/>
      <c r="Z90" s="148"/>
      <c r="AA90" s="148"/>
      <c r="AB90" s="148"/>
      <c r="AC90" s="148"/>
      <c r="AD90" s="148"/>
      <c r="AE90" s="148"/>
      <c r="AF90" s="148"/>
      <c r="AG90" s="148"/>
      <c r="AH90" s="148"/>
      <c r="AI90" s="71">
        <v>123000000</v>
      </c>
      <c r="AJ90" s="147"/>
      <c r="AK90" s="147"/>
      <c r="AL90" s="147"/>
      <c r="AM90" s="91">
        <f t="shared" si="2"/>
        <v>123000000</v>
      </c>
      <c r="AN90" s="82" t="s">
        <v>1432</v>
      </c>
      <c r="AO90" s="6"/>
    </row>
    <row r="91" spans="1:41" s="1" customFormat="1" ht="84.75" hidden="1" customHeight="1" x14ac:dyDescent="0.2">
      <c r="A91" s="69">
        <v>312</v>
      </c>
      <c r="B91" s="68" t="s">
        <v>1404</v>
      </c>
      <c r="C91" s="66">
        <v>2</v>
      </c>
      <c r="D91" s="68" t="s">
        <v>1403</v>
      </c>
      <c r="E91" s="66">
        <v>17</v>
      </c>
      <c r="F91" s="68" t="s">
        <v>433</v>
      </c>
      <c r="G91" s="66">
        <v>1702</v>
      </c>
      <c r="H91" s="68" t="s">
        <v>434</v>
      </c>
      <c r="I91" s="66">
        <v>1702</v>
      </c>
      <c r="J91" s="68" t="s">
        <v>1357</v>
      </c>
      <c r="K91" s="68" t="s">
        <v>435</v>
      </c>
      <c r="L91" s="106">
        <v>1702009</v>
      </c>
      <c r="M91" s="68" t="s">
        <v>445</v>
      </c>
      <c r="N91" s="106">
        <v>1702009</v>
      </c>
      <c r="O91" s="68" t="s">
        <v>445</v>
      </c>
      <c r="P91" s="33" t="s">
        <v>446</v>
      </c>
      <c r="Q91" s="126" t="s">
        <v>447</v>
      </c>
      <c r="R91" s="33" t="s">
        <v>446</v>
      </c>
      <c r="S91" s="126" t="s">
        <v>447</v>
      </c>
      <c r="T91" s="72" t="s">
        <v>1451</v>
      </c>
      <c r="U91" s="34">
        <v>168</v>
      </c>
      <c r="V91" s="72" t="s">
        <v>439</v>
      </c>
      <c r="W91" s="68" t="s">
        <v>440</v>
      </c>
      <c r="X91" s="68" t="s">
        <v>441</v>
      </c>
      <c r="Y91" s="148"/>
      <c r="Z91" s="148"/>
      <c r="AA91" s="148"/>
      <c r="AB91" s="148"/>
      <c r="AC91" s="148"/>
      <c r="AD91" s="148"/>
      <c r="AE91" s="148"/>
      <c r="AF91" s="148"/>
      <c r="AG91" s="148"/>
      <c r="AH91" s="148"/>
      <c r="AI91" s="71">
        <v>90000000</v>
      </c>
      <c r="AJ91" s="147"/>
      <c r="AK91" s="147"/>
      <c r="AL91" s="71">
        <v>300000000</v>
      </c>
      <c r="AM91" s="91">
        <f>+Y91+Z91+AA91+AB91+AC91+AD91+AE91+AF91+AG91+AH91+AI91+AJ91+AK91+AL91</f>
        <v>390000000</v>
      </c>
      <c r="AN91" s="82" t="s">
        <v>1432</v>
      </c>
      <c r="AO91" s="6"/>
    </row>
    <row r="92" spans="1:41" s="1" customFormat="1" ht="156.75" hidden="1" customHeight="1" x14ac:dyDescent="0.2">
      <c r="A92" s="69">
        <v>312</v>
      </c>
      <c r="B92" s="68" t="s">
        <v>1404</v>
      </c>
      <c r="C92" s="66">
        <v>2</v>
      </c>
      <c r="D92" s="68" t="s">
        <v>1403</v>
      </c>
      <c r="E92" s="66">
        <v>17</v>
      </c>
      <c r="F92" s="68" t="s">
        <v>433</v>
      </c>
      <c r="G92" s="66">
        <v>1702</v>
      </c>
      <c r="H92" s="68" t="s">
        <v>434</v>
      </c>
      <c r="I92" s="66">
        <v>1702</v>
      </c>
      <c r="J92" s="68" t="s">
        <v>1357</v>
      </c>
      <c r="K92" s="68" t="s">
        <v>435</v>
      </c>
      <c r="L92" s="149">
        <v>1702017</v>
      </c>
      <c r="M92" s="68" t="s">
        <v>448</v>
      </c>
      <c r="N92" s="149">
        <v>1702017</v>
      </c>
      <c r="O92" s="68" t="s">
        <v>448</v>
      </c>
      <c r="P92" s="33" t="s">
        <v>449</v>
      </c>
      <c r="Q92" s="68" t="s">
        <v>450</v>
      </c>
      <c r="R92" s="33" t="s">
        <v>449</v>
      </c>
      <c r="S92" s="68" t="s">
        <v>450</v>
      </c>
      <c r="T92" s="72" t="s">
        <v>1451</v>
      </c>
      <c r="U92" s="34">
        <f>750+10</f>
        <v>760</v>
      </c>
      <c r="V92" s="72" t="s">
        <v>451</v>
      </c>
      <c r="W92" s="68" t="s">
        <v>452</v>
      </c>
      <c r="X92" s="68" t="s">
        <v>453</v>
      </c>
      <c r="Y92" s="148"/>
      <c r="Z92" s="148"/>
      <c r="AA92" s="148"/>
      <c r="AB92" s="148"/>
      <c r="AC92" s="148"/>
      <c r="AD92" s="148"/>
      <c r="AE92" s="148"/>
      <c r="AF92" s="148"/>
      <c r="AG92" s="148"/>
      <c r="AH92" s="148"/>
      <c r="AI92" s="71">
        <v>465052526.97000003</v>
      </c>
      <c r="AJ92" s="147"/>
      <c r="AK92" s="147"/>
      <c r="AL92" s="147"/>
      <c r="AM92" s="91">
        <f>+Y92+Z92+AA92+AB92+AC92+AD92+AE92+AF92+AG92+AH92+AI92+AJ92+AK92</f>
        <v>465052526.97000003</v>
      </c>
      <c r="AN92" s="82" t="s">
        <v>1432</v>
      </c>
      <c r="AO92" s="6"/>
    </row>
    <row r="93" spans="1:41" s="1" customFormat="1" ht="141" hidden="1" customHeight="1" x14ac:dyDescent="0.2">
      <c r="A93" s="69">
        <v>312</v>
      </c>
      <c r="B93" s="68" t="s">
        <v>1404</v>
      </c>
      <c r="C93" s="66">
        <v>2</v>
      </c>
      <c r="D93" s="68" t="s">
        <v>1403</v>
      </c>
      <c r="E93" s="66">
        <v>17</v>
      </c>
      <c r="F93" s="68" t="s">
        <v>433</v>
      </c>
      <c r="G93" s="66">
        <v>1702</v>
      </c>
      <c r="H93" s="68" t="s">
        <v>434</v>
      </c>
      <c r="I93" s="66">
        <v>1702</v>
      </c>
      <c r="J93" s="68" t="s">
        <v>1357</v>
      </c>
      <c r="K93" s="68" t="s">
        <v>435</v>
      </c>
      <c r="L93" s="106">
        <v>1702014</v>
      </c>
      <c r="M93" s="68" t="s">
        <v>454</v>
      </c>
      <c r="N93" s="106">
        <v>1702014</v>
      </c>
      <c r="O93" s="68" t="s">
        <v>454</v>
      </c>
      <c r="P93" s="33" t="s">
        <v>455</v>
      </c>
      <c r="Q93" s="126" t="s">
        <v>456</v>
      </c>
      <c r="R93" s="33" t="s">
        <v>455</v>
      </c>
      <c r="S93" s="126" t="s">
        <v>456</v>
      </c>
      <c r="T93" s="72" t="s">
        <v>1451</v>
      </c>
      <c r="U93" s="34">
        <f>25+25</f>
        <v>50</v>
      </c>
      <c r="V93" s="72" t="s">
        <v>451</v>
      </c>
      <c r="W93" s="68" t="s">
        <v>452</v>
      </c>
      <c r="X93" s="68" t="s">
        <v>453</v>
      </c>
      <c r="Y93" s="148"/>
      <c r="Z93" s="148"/>
      <c r="AA93" s="148"/>
      <c r="AB93" s="148"/>
      <c r="AC93" s="148"/>
      <c r="AD93" s="148"/>
      <c r="AE93" s="148"/>
      <c r="AF93" s="148"/>
      <c r="AG93" s="148"/>
      <c r="AH93" s="148"/>
      <c r="AI93" s="71">
        <v>45000000</v>
      </c>
      <c r="AJ93" s="147"/>
      <c r="AK93" s="147"/>
      <c r="AL93" s="147"/>
      <c r="AM93" s="91">
        <f>+Y93+Z93+AA93+AB93+AC93+AD93+AE93+AF93+AG93+AH93+AI93+AJ93+AK93</f>
        <v>45000000</v>
      </c>
      <c r="AN93" s="82" t="s">
        <v>1432</v>
      </c>
      <c r="AO93" s="6"/>
    </row>
    <row r="94" spans="1:41" s="1" customFormat="1" ht="147" hidden="1" customHeight="1" x14ac:dyDescent="0.2">
      <c r="A94" s="69">
        <v>312</v>
      </c>
      <c r="B94" s="68" t="s">
        <v>1404</v>
      </c>
      <c r="C94" s="66">
        <v>2</v>
      </c>
      <c r="D94" s="68" t="s">
        <v>1403</v>
      </c>
      <c r="E94" s="66">
        <v>17</v>
      </c>
      <c r="F94" s="68" t="s">
        <v>433</v>
      </c>
      <c r="G94" s="66">
        <v>1702</v>
      </c>
      <c r="H94" s="68" t="s">
        <v>434</v>
      </c>
      <c r="I94" s="66">
        <v>1702</v>
      </c>
      <c r="J94" s="68" t="s">
        <v>1357</v>
      </c>
      <c r="K94" s="68" t="s">
        <v>435</v>
      </c>
      <c r="L94" s="106">
        <v>1702021</v>
      </c>
      <c r="M94" s="68" t="s">
        <v>457</v>
      </c>
      <c r="N94" s="106">
        <v>1702021</v>
      </c>
      <c r="O94" s="68" t="s">
        <v>457</v>
      </c>
      <c r="P94" s="33" t="s">
        <v>458</v>
      </c>
      <c r="Q94" s="126" t="s">
        <v>459</v>
      </c>
      <c r="R94" s="33">
        <v>170202100</v>
      </c>
      <c r="S94" s="126" t="s">
        <v>459</v>
      </c>
      <c r="T94" s="72" t="s">
        <v>1451</v>
      </c>
      <c r="U94" s="34">
        <f>150+50</f>
        <v>200</v>
      </c>
      <c r="V94" s="72" t="s">
        <v>451</v>
      </c>
      <c r="W94" s="68" t="s">
        <v>452</v>
      </c>
      <c r="X94" s="68" t="s">
        <v>453</v>
      </c>
      <c r="Y94" s="148"/>
      <c r="Z94" s="148"/>
      <c r="AA94" s="148"/>
      <c r="AB94" s="148"/>
      <c r="AC94" s="148"/>
      <c r="AD94" s="148"/>
      <c r="AE94" s="148"/>
      <c r="AF94" s="148"/>
      <c r="AG94" s="148"/>
      <c r="AH94" s="148"/>
      <c r="AI94" s="71">
        <v>20000000</v>
      </c>
      <c r="AJ94" s="147"/>
      <c r="AK94" s="147"/>
      <c r="AL94" s="147"/>
      <c r="AM94" s="91">
        <f>+Y94+Z94+AA94+AB94+AC94+AD94+AE94+AF94+AG94+AH94+AI94+AJ94+AK94</f>
        <v>20000000</v>
      </c>
      <c r="AN94" s="82" t="s">
        <v>1432</v>
      </c>
      <c r="AO94" s="6"/>
    </row>
    <row r="95" spans="1:41" s="1" customFormat="1" ht="125.25" hidden="1" customHeight="1" x14ac:dyDescent="0.2">
      <c r="A95" s="69">
        <v>312</v>
      </c>
      <c r="B95" s="68" t="s">
        <v>1404</v>
      </c>
      <c r="C95" s="66">
        <v>2</v>
      </c>
      <c r="D95" s="68" t="s">
        <v>1403</v>
      </c>
      <c r="E95" s="66">
        <v>17</v>
      </c>
      <c r="F95" s="68" t="s">
        <v>433</v>
      </c>
      <c r="G95" s="66">
        <v>1702</v>
      </c>
      <c r="H95" s="68" t="s">
        <v>434</v>
      </c>
      <c r="I95" s="66">
        <v>1702</v>
      </c>
      <c r="J95" s="68" t="s">
        <v>1357</v>
      </c>
      <c r="K95" s="68" t="s">
        <v>435</v>
      </c>
      <c r="L95" s="106">
        <v>1702038</v>
      </c>
      <c r="M95" s="68" t="s">
        <v>460</v>
      </c>
      <c r="N95" s="106">
        <v>1702038</v>
      </c>
      <c r="O95" s="68" t="s">
        <v>460</v>
      </c>
      <c r="P95" s="66" t="s">
        <v>461</v>
      </c>
      <c r="Q95" s="68" t="s">
        <v>462</v>
      </c>
      <c r="R95" s="66" t="s">
        <v>461</v>
      </c>
      <c r="S95" s="68" t="s">
        <v>462</v>
      </c>
      <c r="T95" s="72" t="s">
        <v>1449</v>
      </c>
      <c r="U95" s="34">
        <v>30</v>
      </c>
      <c r="V95" s="72" t="s">
        <v>463</v>
      </c>
      <c r="W95" s="112" t="s">
        <v>464</v>
      </c>
      <c r="X95" s="68" t="s">
        <v>465</v>
      </c>
      <c r="Y95" s="148"/>
      <c r="Z95" s="148"/>
      <c r="AA95" s="148"/>
      <c r="AB95" s="148"/>
      <c r="AC95" s="148"/>
      <c r="AD95" s="148"/>
      <c r="AE95" s="148"/>
      <c r="AF95" s="148"/>
      <c r="AG95" s="148"/>
      <c r="AH95" s="148"/>
      <c r="AI95" s="71">
        <v>65000000</v>
      </c>
      <c r="AJ95" s="85"/>
      <c r="AK95" s="147"/>
      <c r="AL95" s="201">
        <v>105606585.66</v>
      </c>
      <c r="AM95" s="91">
        <f>+Y95+Z95+AA95+AB95+AC95+AD95+AE95+AF95+AG95+AH95+AI95+AJ95+AK95+AL95</f>
        <v>170606585.66</v>
      </c>
      <c r="AN95" s="82" t="s">
        <v>1432</v>
      </c>
      <c r="AO95" s="6"/>
    </row>
    <row r="96" spans="1:41" s="1" customFormat="1" ht="120" hidden="1" customHeight="1" x14ac:dyDescent="0.2">
      <c r="A96" s="69">
        <v>312</v>
      </c>
      <c r="B96" s="68" t="s">
        <v>1404</v>
      </c>
      <c r="C96" s="66">
        <v>2</v>
      </c>
      <c r="D96" s="68" t="s">
        <v>1403</v>
      </c>
      <c r="E96" s="66">
        <v>17</v>
      </c>
      <c r="F96" s="68" t="s">
        <v>433</v>
      </c>
      <c r="G96" s="66">
        <v>1702</v>
      </c>
      <c r="H96" s="67" t="s">
        <v>434</v>
      </c>
      <c r="I96" s="66">
        <v>1702</v>
      </c>
      <c r="J96" s="67" t="s">
        <v>1357</v>
      </c>
      <c r="K96" s="68" t="s">
        <v>435</v>
      </c>
      <c r="L96" s="106">
        <v>1702038</v>
      </c>
      <c r="M96" s="68" t="s">
        <v>460</v>
      </c>
      <c r="N96" s="106">
        <v>1702038</v>
      </c>
      <c r="O96" s="68" t="s">
        <v>460</v>
      </c>
      <c r="P96" s="66" t="s">
        <v>466</v>
      </c>
      <c r="Q96" s="68" t="s">
        <v>467</v>
      </c>
      <c r="R96" s="66" t="s">
        <v>466</v>
      </c>
      <c r="S96" s="68" t="s">
        <v>467</v>
      </c>
      <c r="T96" s="72" t="s">
        <v>1451</v>
      </c>
      <c r="U96" s="34">
        <f>80+10</f>
        <v>90</v>
      </c>
      <c r="V96" s="72" t="s">
        <v>463</v>
      </c>
      <c r="W96" s="112" t="s">
        <v>464</v>
      </c>
      <c r="X96" s="68" t="s">
        <v>465</v>
      </c>
      <c r="Y96" s="148"/>
      <c r="Z96" s="148"/>
      <c r="AA96" s="148"/>
      <c r="AB96" s="148"/>
      <c r="AC96" s="148"/>
      <c r="AD96" s="148"/>
      <c r="AE96" s="148"/>
      <c r="AF96" s="148"/>
      <c r="AG96" s="148"/>
      <c r="AH96" s="148"/>
      <c r="AI96" s="71">
        <v>18000000</v>
      </c>
      <c r="AJ96" s="147"/>
      <c r="AK96" s="147"/>
      <c r="AL96" s="147"/>
      <c r="AM96" s="91">
        <f>+Y96+Z96+AA96+AB96+AC96+AD96+AE96+AF96+AG96+AH96+AI96+AJ96+AK96</f>
        <v>18000000</v>
      </c>
      <c r="AN96" s="82" t="s">
        <v>1432</v>
      </c>
      <c r="AO96" s="6"/>
    </row>
    <row r="97" spans="1:41" s="1" customFormat="1" ht="115.5" hidden="1" customHeight="1" x14ac:dyDescent="0.2">
      <c r="A97" s="69">
        <v>312</v>
      </c>
      <c r="B97" s="68" t="s">
        <v>1404</v>
      </c>
      <c r="C97" s="66">
        <v>2</v>
      </c>
      <c r="D97" s="68" t="s">
        <v>1403</v>
      </c>
      <c r="E97" s="66">
        <v>17</v>
      </c>
      <c r="F97" s="68" t="s">
        <v>433</v>
      </c>
      <c r="G97" s="66">
        <v>1702</v>
      </c>
      <c r="H97" s="68" t="s">
        <v>434</v>
      </c>
      <c r="I97" s="66">
        <v>1702</v>
      </c>
      <c r="J97" s="68" t="s">
        <v>1357</v>
      </c>
      <c r="K97" s="68" t="s">
        <v>435</v>
      </c>
      <c r="L97" s="106">
        <v>1702023</v>
      </c>
      <c r="M97" s="68" t="s">
        <v>221</v>
      </c>
      <c r="N97" s="106">
        <v>1702023</v>
      </c>
      <c r="O97" s="68" t="s">
        <v>221</v>
      </c>
      <c r="P97" s="66" t="s">
        <v>468</v>
      </c>
      <c r="Q97" s="68" t="s">
        <v>469</v>
      </c>
      <c r="R97" s="66">
        <v>170202301</v>
      </c>
      <c r="S97" s="68" t="s">
        <v>469</v>
      </c>
      <c r="T97" s="72" t="s">
        <v>1449</v>
      </c>
      <c r="U97" s="34">
        <v>1</v>
      </c>
      <c r="V97" s="72" t="s">
        <v>470</v>
      </c>
      <c r="W97" s="68" t="s">
        <v>471</v>
      </c>
      <c r="X97" s="68" t="s">
        <v>472</v>
      </c>
      <c r="Y97" s="148"/>
      <c r="Z97" s="148"/>
      <c r="AA97" s="148"/>
      <c r="AB97" s="148"/>
      <c r="AC97" s="148"/>
      <c r="AD97" s="148"/>
      <c r="AE97" s="148"/>
      <c r="AF97" s="148"/>
      <c r="AG97" s="148"/>
      <c r="AH97" s="148"/>
      <c r="AI97" s="184">
        <f>45000000-11512613</f>
        <v>33487387</v>
      </c>
      <c r="AJ97" s="147"/>
      <c r="AK97" s="147"/>
      <c r="AL97" s="147"/>
      <c r="AM97" s="91">
        <f>+Y97+Z97+AA97+AB97+AC97+AD97+AE97+AF97+AG97+AH97+AI97+AJ97+AK97</f>
        <v>33487387</v>
      </c>
      <c r="AN97" s="82" t="s">
        <v>1432</v>
      </c>
      <c r="AO97" s="6"/>
    </row>
    <row r="98" spans="1:41" s="1" customFormat="1" ht="108" hidden="1" customHeight="1" x14ac:dyDescent="0.2">
      <c r="A98" s="69">
        <v>312</v>
      </c>
      <c r="B98" s="68" t="s">
        <v>1404</v>
      </c>
      <c r="C98" s="66">
        <v>2</v>
      </c>
      <c r="D98" s="68" t="s">
        <v>1403</v>
      </c>
      <c r="E98" s="66">
        <v>17</v>
      </c>
      <c r="F98" s="68" t="s">
        <v>433</v>
      </c>
      <c r="G98" s="66">
        <v>1702</v>
      </c>
      <c r="H98" s="68" t="s">
        <v>434</v>
      </c>
      <c r="I98" s="66">
        <v>1702</v>
      </c>
      <c r="J98" s="68" t="s">
        <v>1357</v>
      </c>
      <c r="K98" s="68" t="s">
        <v>435</v>
      </c>
      <c r="L98" s="106">
        <v>1702024</v>
      </c>
      <c r="M98" s="68" t="s">
        <v>473</v>
      </c>
      <c r="N98" s="106">
        <v>1702024</v>
      </c>
      <c r="O98" s="68" t="s">
        <v>473</v>
      </c>
      <c r="P98" s="33" t="s">
        <v>474</v>
      </c>
      <c r="Q98" s="68" t="s">
        <v>475</v>
      </c>
      <c r="R98" s="33" t="s">
        <v>474</v>
      </c>
      <c r="S98" s="68" t="s">
        <v>475</v>
      </c>
      <c r="T98" s="72" t="s">
        <v>1449</v>
      </c>
      <c r="U98" s="34">
        <v>12</v>
      </c>
      <c r="V98" s="72" t="s">
        <v>470</v>
      </c>
      <c r="W98" s="68" t="s">
        <v>471</v>
      </c>
      <c r="X98" s="68" t="s">
        <v>472</v>
      </c>
      <c r="Y98" s="148"/>
      <c r="Z98" s="148"/>
      <c r="AA98" s="148"/>
      <c r="AB98" s="148"/>
      <c r="AC98" s="148"/>
      <c r="AD98" s="148"/>
      <c r="AE98" s="148"/>
      <c r="AF98" s="148"/>
      <c r="AG98" s="148"/>
      <c r="AH98" s="148"/>
      <c r="AI98" s="184">
        <f>45000000-245000</f>
        <v>44755000</v>
      </c>
      <c r="AJ98" s="147"/>
      <c r="AK98" s="147"/>
      <c r="AL98" s="147"/>
      <c r="AM98" s="91">
        <f>+Y98+Z98+AA98+AB98+AC98+AD98+AE98+AF98+AG98+AH98+AI98+AJ98+AK98</f>
        <v>44755000</v>
      </c>
      <c r="AN98" s="82" t="s">
        <v>1432</v>
      </c>
      <c r="AO98" s="6"/>
    </row>
    <row r="99" spans="1:41" s="1" customFormat="1" ht="150" hidden="1" customHeight="1" x14ac:dyDescent="0.2">
      <c r="A99" s="69">
        <v>312</v>
      </c>
      <c r="B99" s="68" t="s">
        <v>1404</v>
      </c>
      <c r="C99" s="66">
        <v>2</v>
      </c>
      <c r="D99" s="68" t="s">
        <v>1403</v>
      </c>
      <c r="E99" s="66">
        <v>17</v>
      </c>
      <c r="F99" s="68" t="s">
        <v>433</v>
      </c>
      <c r="G99" s="66">
        <v>1702</v>
      </c>
      <c r="H99" s="68" t="s">
        <v>434</v>
      </c>
      <c r="I99" s="66">
        <v>1702</v>
      </c>
      <c r="J99" s="68" t="s">
        <v>1357</v>
      </c>
      <c r="K99" s="68" t="s">
        <v>435</v>
      </c>
      <c r="L99" s="106">
        <v>1702025</v>
      </c>
      <c r="M99" s="68" t="s">
        <v>476</v>
      </c>
      <c r="N99" s="106">
        <v>1702025</v>
      </c>
      <c r="O99" s="68" t="s">
        <v>476</v>
      </c>
      <c r="P99" s="33" t="s">
        <v>477</v>
      </c>
      <c r="Q99" s="126" t="s">
        <v>478</v>
      </c>
      <c r="R99" s="33" t="s">
        <v>477</v>
      </c>
      <c r="S99" s="126" t="s">
        <v>478</v>
      </c>
      <c r="T99" s="72" t="s">
        <v>1451</v>
      </c>
      <c r="U99" s="34">
        <v>25</v>
      </c>
      <c r="V99" s="72" t="s">
        <v>479</v>
      </c>
      <c r="W99" s="67" t="s">
        <v>480</v>
      </c>
      <c r="X99" s="68" t="s">
        <v>481</v>
      </c>
      <c r="Y99" s="148"/>
      <c r="Z99" s="148"/>
      <c r="AA99" s="148"/>
      <c r="AB99" s="148"/>
      <c r="AC99" s="148"/>
      <c r="AD99" s="148"/>
      <c r="AE99" s="148"/>
      <c r="AF99" s="148"/>
      <c r="AG99" s="148"/>
      <c r="AH99" s="148"/>
      <c r="AI99" s="71">
        <v>27000000</v>
      </c>
      <c r="AJ99" s="147"/>
      <c r="AK99" s="147"/>
      <c r="AL99" s="147"/>
      <c r="AM99" s="91">
        <f>+Y99+Z99+AA99+AB99+AC99+AD99+AE99+AF99+AG99+AH99+AI99+AJ99+AK99</f>
        <v>27000000</v>
      </c>
      <c r="AN99" s="82" t="s">
        <v>1432</v>
      </c>
      <c r="AO99" s="6"/>
    </row>
    <row r="100" spans="1:41" s="1" customFormat="1" ht="187.5" hidden="1" customHeight="1" x14ac:dyDescent="0.2">
      <c r="A100" s="69">
        <v>312</v>
      </c>
      <c r="B100" s="68" t="s">
        <v>1404</v>
      </c>
      <c r="C100" s="66">
        <v>2</v>
      </c>
      <c r="D100" s="68" t="s">
        <v>1403</v>
      </c>
      <c r="E100" s="66">
        <v>17</v>
      </c>
      <c r="F100" s="68" t="s">
        <v>433</v>
      </c>
      <c r="G100" s="66">
        <v>1703</v>
      </c>
      <c r="H100" s="68" t="s">
        <v>482</v>
      </c>
      <c r="I100" s="66">
        <v>1703</v>
      </c>
      <c r="J100" s="68" t="s">
        <v>1358</v>
      </c>
      <c r="K100" s="68" t="s">
        <v>435</v>
      </c>
      <c r="L100" s="106">
        <v>1703013</v>
      </c>
      <c r="M100" s="68" t="s">
        <v>483</v>
      </c>
      <c r="N100" s="106">
        <v>1703013</v>
      </c>
      <c r="O100" s="68" t="s">
        <v>483</v>
      </c>
      <c r="P100" s="33" t="s">
        <v>484</v>
      </c>
      <c r="Q100" s="126" t="s">
        <v>485</v>
      </c>
      <c r="R100" s="33" t="s">
        <v>484</v>
      </c>
      <c r="S100" s="126" t="s">
        <v>485</v>
      </c>
      <c r="T100" s="72" t="s">
        <v>1451</v>
      </c>
      <c r="U100" s="34">
        <v>100</v>
      </c>
      <c r="V100" s="72" t="s">
        <v>486</v>
      </c>
      <c r="W100" s="67" t="s">
        <v>487</v>
      </c>
      <c r="X100" s="68" t="s">
        <v>488</v>
      </c>
      <c r="Y100" s="148"/>
      <c r="Z100" s="148"/>
      <c r="AA100" s="148"/>
      <c r="AB100" s="148"/>
      <c r="AC100" s="148"/>
      <c r="AD100" s="148"/>
      <c r="AE100" s="148"/>
      <c r="AF100" s="148"/>
      <c r="AG100" s="148"/>
      <c r="AH100" s="148"/>
      <c r="AI100" s="71">
        <v>75000000</v>
      </c>
      <c r="AJ100" s="85"/>
      <c r="AK100" s="147"/>
      <c r="AL100" s="71">
        <v>250000000</v>
      </c>
      <c r="AM100" s="91">
        <f>+Y100+Z100+AA100+AB100+AC100+AD100+AE100+AF100+AG100+AH100+AI100+AJ100+AK100+AL100</f>
        <v>325000000</v>
      </c>
      <c r="AN100" s="82" t="s">
        <v>1432</v>
      </c>
      <c r="AO100" s="6"/>
    </row>
    <row r="101" spans="1:41" s="1" customFormat="1" ht="136.5" hidden="1" customHeight="1" x14ac:dyDescent="0.2">
      <c r="A101" s="69">
        <v>312</v>
      </c>
      <c r="B101" s="68" t="s">
        <v>1404</v>
      </c>
      <c r="C101" s="66">
        <v>2</v>
      </c>
      <c r="D101" s="68" t="s">
        <v>1403</v>
      </c>
      <c r="E101" s="66">
        <v>17</v>
      </c>
      <c r="F101" s="68" t="s">
        <v>433</v>
      </c>
      <c r="G101" s="69">
        <v>1704</v>
      </c>
      <c r="H101" s="68" t="s">
        <v>489</v>
      </c>
      <c r="I101" s="69">
        <v>1704</v>
      </c>
      <c r="J101" s="68" t="s">
        <v>1359</v>
      </c>
      <c r="K101" s="68" t="s">
        <v>435</v>
      </c>
      <c r="L101" s="106">
        <v>1704002</v>
      </c>
      <c r="M101" s="68" t="s">
        <v>79</v>
      </c>
      <c r="N101" s="106">
        <v>1704002</v>
      </c>
      <c r="O101" s="68" t="s">
        <v>79</v>
      </c>
      <c r="P101" s="66" t="s">
        <v>490</v>
      </c>
      <c r="Q101" s="68" t="s">
        <v>491</v>
      </c>
      <c r="R101" s="66" t="s">
        <v>490</v>
      </c>
      <c r="S101" s="68" t="s">
        <v>491</v>
      </c>
      <c r="T101" s="72" t="s">
        <v>1449</v>
      </c>
      <c r="U101" s="34">
        <v>1</v>
      </c>
      <c r="V101" s="72" t="s">
        <v>492</v>
      </c>
      <c r="W101" s="67" t="s">
        <v>493</v>
      </c>
      <c r="X101" s="68" t="s">
        <v>494</v>
      </c>
      <c r="Y101" s="113"/>
      <c r="Z101" s="113"/>
      <c r="AA101" s="113"/>
      <c r="AB101" s="113"/>
      <c r="AC101" s="113"/>
      <c r="AD101" s="113"/>
      <c r="AE101" s="113"/>
      <c r="AF101" s="113"/>
      <c r="AG101" s="113"/>
      <c r="AH101" s="113"/>
      <c r="AI101" s="184">
        <v>41255500</v>
      </c>
      <c r="AJ101" s="147"/>
      <c r="AK101" s="147"/>
      <c r="AL101" s="147"/>
      <c r="AM101" s="91">
        <f t="shared" ref="AM101:AM164" si="3">+Y101+Z101+AA101+AB101+AC101+AD101+AE101+AF101+AG101+AH101+AI101+AJ101+AK101</f>
        <v>41255500</v>
      </c>
      <c r="AN101" s="82" t="s">
        <v>1432</v>
      </c>
      <c r="AO101" s="6"/>
    </row>
    <row r="102" spans="1:41" s="1" customFormat="1" ht="130.5" hidden="1" customHeight="1" x14ac:dyDescent="0.2">
      <c r="A102" s="69">
        <v>312</v>
      </c>
      <c r="B102" s="68" t="s">
        <v>1404</v>
      </c>
      <c r="C102" s="66">
        <v>2</v>
      </c>
      <c r="D102" s="68" t="s">
        <v>1403</v>
      </c>
      <c r="E102" s="66">
        <v>17</v>
      </c>
      <c r="F102" s="68" t="s">
        <v>433</v>
      </c>
      <c r="G102" s="69">
        <v>1704</v>
      </c>
      <c r="H102" s="68" t="s">
        <v>489</v>
      </c>
      <c r="I102" s="69">
        <v>1704</v>
      </c>
      <c r="J102" s="68" t="s">
        <v>1359</v>
      </c>
      <c r="K102" s="68" t="s">
        <v>435</v>
      </c>
      <c r="L102" s="106">
        <v>1704017</v>
      </c>
      <c r="M102" s="68" t="s">
        <v>495</v>
      </c>
      <c r="N102" s="106">
        <v>1704017</v>
      </c>
      <c r="O102" s="68" t="s">
        <v>495</v>
      </c>
      <c r="P102" s="66" t="s">
        <v>496</v>
      </c>
      <c r="Q102" s="68" t="s">
        <v>497</v>
      </c>
      <c r="R102" s="66" t="s">
        <v>496</v>
      </c>
      <c r="S102" s="68" t="s">
        <v>497</v>
      </c>
      <c r="T102" s="72" t="s">
        <v>1451</v>
      </c>
      <c r="U102" s="34">
        <v>150</v>
      </c>
      <c r="V102" s="72" t="s">
        <v>492</v>
      </c>
      <c r="W102" s="67" t="s">
        <v>493</v>
      </c>
      <c r="X102" s="68" t="s">
        <v>494</v>
      </c>
      <c r="Y102" s="113"/>
      <c r="Z102" s="113"/>
      <c r="AA102" s="113"/>
      <c r="AB102" s="113"/>
      <c r="AC102" s="113"/>
      <c r="AD102" s="113"/>
      <c r="AE102" s="113"/>
      <c r="AF102" s="113"/>
      <c r="AG102" s="113"/>
      <c r="AH102" s="113"/>
      <c r="AI102" s="108">
        <v>28000000</v>
      </c>
      <c r="AJ102" s="147"/>
      <c r="AK102" s="147"/>
      <c r="AL102" s="147"/>
      <c r="AM102" s="91">
        <f t="shared" si="3"/>
        <v>28000000</v>
      </c>
      <c r="AN102" s="82" t="s">
        <v>1432</v>
      </c>
      <c r="AO102" s="6"/>
    </row>
    <row r="103" spans="1:41" s="1" customFormat="1" ht="116.25" hidden="1" customHeight="1" x14ac:dyDescent="0.2">
      <c r="A103" s="69">
        <v>312</v>
      </c>
      <c r="B103" s="68" t="s">
        <v>1404</v>
      </c>
      <c r="C103" s="66">
        <v>2</v>
      </c>
      <c r="D103" s="68" t="s">
        <v>1403</v>
      </c>
      <c r="E103" s="66">
        <v>17</v>
      </c>
      <c r="F103" s="68" t="s">
        <v>433</v>
      </c>
      <c r="G103" s="66">
        <v>1706</v>
      </c>
      <c r="H103" s="68" t="s">
        <v>498</v>
      </c>
      <c r="I103" s="66">
        <v>1706</v>
      </c>
      <c r="J103" s="68" t="s">
        <v>1360</v>
      </c>
      <c r="K103" s="68" t="s">
        <v>435</v>
      </c>
      <c r="L103" s="106">
        <v>1706004</v>
      </c>
      <c r="M103" s="68" t="s">
        <v>499</v>
      </c>
      <c r="N103" s="106">
        <v>1706004</v>
      </c>
      <c r="O103" s="68" t="s">
        <v>499</v>
      </c>
      <c r="P103" s="66" t="s">
        <v>500</v>
      </c>
      <c r="Q103" s="68" t="s">
        <v>501</v>
      </c>
      <c r="R103" s="66" t="s">
        <v>500</v>
      </c>
      <c r="S103" s="68" t="s">
        <v>501</v>
      </c>
      <c r="T103" s="72" t="s">
        <v>1449</v>
      </c>
      <c r="U103" s="34">
        <v>10</v>
      </c>
      <c r="V103" s="72" t="s">
        <v>502</v>
      </c>
      <c r="W103" s="67" t="s">
        <v>503</v>
      </c>
      <c r="X103" s="67" t="s">
        <v>504</v>
      </c>
      <c r="Y103" s="107"/>
      <c r="Z103" s="107"/>
      <c r="AA103" s="107"/>
      <c r="AB103" s="107"/>
      <c r="AC103" s="107"/>
      <c r="AD103" s="107"/>
      <c r="AE103" s="107"/>
      <c r="AF103" s="107"/>
      <c r="AG103" s="107"/>
      <c r="AH103" s="107"/>
      <c r="AI103" s="108">
        <v>20000000</v>
      </c>
      <c r="AJ103" s="147"/>
      <c r="AK103" s="147"/>
      <c r="AL103" s="147"/>
      <c r="AM103" s="91">
        <f t="shared" si="3"/>
        <v>20000000</v>
      </c>
      <c r="AN103" s="82" t="s">
        <v>1432</v>
      </c>
      <c r="AO103" s="6"/>
    </row>
    <row r="104" spans="1:41" s="1" customFormat="1" ht="128.25" hidden="1" customHeight="1" x14ac:dyDescent="0.2">
      <c r="A104" s="69">
        <v>312</v>
      </c>
      <c r="B104" s="68" t="s">
        <v>1404</v>
      </c>
      <c r="C104" s="66">
        <v>2</v>
      </c>
      <c r="D104" s="68" t="s">
        <v>1403</v>
      </c>
      <c r="E104" s="66">
        <v>17</v>
      </c>
      <c r="F104" s="68" t="s">
        <v>433</v>
      </c>
      <c r="G104" s="66">
        <v>1707</v>
      </c>
      <c r="H104" s="68" t="s">
        <v>505</v>
      </c>
      <c r="I104" s="66">
        <v>1707</v>
      </c>
      <c r="J104" s="68" t="s">
        <v>1361</v>
      </c>
      <c r="K104" s="68" t="s">
        <v>435</v>
      </c>
      <c r="L104" s="106">
        <v>1707069</v>
      </c>
      <c r="M104" s="68" t="s">
        <v>506</v>
      </c>
      <c r="N104" s="106">
        <v>1707069</v>
      </c>
      <c r="O104" s="68" t="s">
        <v>506</v>
      </c>
      <c r="P104" s="66" t="s">
        <v>507</v>
      </c>
      <c r="Q104" s="68" t="s">
        <v>508</v>
      </c>
      <c r="R104" s="66" t="s">
        <v>507</v>
      </c>
      <c r="S104" s="68" t="s">
        <v>508</v>
      </c>
      <c r="T104" s="72" t="s">
        <v>1451</v>
      </c>
      <c r="U104" s="34">
        <v>5</v>
      </c>
      <c r="V104" s="72" t="s">
        <v>509</v>
      </c>
      <c r="W104" s="67" t="s">
        <v>510</v>
      </c>
      <c r="X104" s="68" t="s">
        <v>511</v>
      </c>
      <c r="Y104" s="148"/>
      <c r="Z104" s="148"/>
      <c r="AA104" s="148"/>
      <c r="AB104" s="148"/>
      <c r="AC104" s="148"/>
      <c r="AD104" s="148"/>
      <c r="AE104" s="148"/>
      <c r="AF104" s="148"/>
      <c r="AG104" s="148"/>
      <c r="AH104" s="148"/>
      <c r="AI104" s="71">
        <v>43000000</v>
      </c>
      <c r="AJ104" s="147"/>
      <c r="AK104" s="147"/>
      <c r="AL104" s="147"/>
      <c r="AM104" s="91">
        <f t="shared" si="3"/>
        <v>43000000</v>
      </c>
      <c r="AN104" s="82" t="s">
        <v>1432</v>
      </c>
      <c r="AO104" s="6"/>
    </row>
    <row r="105" spans="1:41" s="1" customFormat="1" ht="168.75" hidden="1" customHeight="1" x14ac:dyDescent="0.2">
      <c r="A105" s="69">
        <v>312</v>
      </c>
      <c r="B105" s="68" t="s">
        <v>1404</v>
      </c>
      <c r="C105" s="66">
        <v>2</v>
      </c>
      <c r="D105" s="68" t="s">
        <v>1403</v>
      </c>
      <c r="E105" s="66">
        <v>17</v>
      </c>
      <c r="F105" s="68" t="s">
        <v>433</v>
      </c>
      <c r="G105" s="66">
        <v>1708</v>
      </c>
      <c r="H105" s="68" t="s">
        <v>512</v>
      </c>
      <c r="I105" s="66">
        <v>1708</v>
      </c>
      <c r="J105" s="68" t="s">
        <v>1362</v>
      </c>
      <c r="K105" s="68" t="s">
        <v>435</v>
      </c>
      <c r="L105" s="106">
        <v>1708016</v>
      </c>
      <c r="M105" s="68" t="s">
        <v>79</v>
      </c>
      <c r="N105" s="106">
        <v>1708016</v>
      </c>
      <c r="O105" s="68" t="s">
        <v>79</v>
      </c>
      <c r="P105" s="33" t="s">
        <v>513</v>
      </c>
      <c r="Q105" s="68" t="s">
        <v>514</v>
      </c>
      <c r="R105" s="33" t="s">
        <v>513</v>
      </c>
      <c r="S105" s="68" t="s">
        <v>514</v>
      </c>
      <c r="T105" s="72" t="s">
        <v>1449</v>
      </c>
      <c r="U105" s="34">
        <v>2</v>
      </c>
      <c r="V105" s="72" t="s">
        <v>515</v>
      </c>
      <c r="W105" s="67" t="s">
        <v>516</v>
      </c>
      <c r="X105" s="68" t="s">
        <v>517</v>
      </c>
      <c r="Y105" s="107"/>
      <c r="Z105" s="107"/>
      <c r="AA105" s="107"/>
      <c r="AB105" s="107"/>
      <c r="AC105" s="107"/>
      <c r="AD105" s="107"/>
      <c r="AE105" s="107"/>
      <c r="AF105" s="107"/>
      <c r="AG105" s="107"/>
      <c r="AH105" s="107"/>
      <c r="AI105" s="71">
        <f>20000000-2445000</f>
        <v>17555000</v>
      </c>
      <c r="AJ105" s="147"/>
      <c r="AK105" s="147"/>
      <c r="AL105" s="147"/>
      <c r="AM105" s="91">
        <f t="shared" si="3"/>
        <v>17555000</v>
      </c>
      <c r="AN105" s="82" t="s">
        <v>1432</v>
      </c>
      <c r="AO105" s="6"/>
    </row>
    <row r="106" spans="1:41" s="1" customFormat="1" ht="187.5" hidden="1" customHeight="1" x14ac:dyDescent="0.2">
      <c r="A106" s="69">
        <v>312</v>
      </c>
      <c r="B106" s="68" t="s">
        <v>1404</v>
      </c>
      <c r="C106" s="66">
        <v>2</v>
      </c>
      <c r="D106" s="68" t="s">
        <v>1403</v>
      </c>
      <c r="E106" s="66">
        <v>17</v>
      </c>
      <c r="F106" s="68" t="s">
        <v>433</v>
      </c>
      <c r="G106" s="66">
        <v>1708</v>
      </c>
      <c r="H106" s="68" t="s">
        <v>512</v>
      </c>
      <c r="I106" s="66">
        <v>1708</v>
      </c>
      <c r="J106" s="68" t="s">
        <v>1362</v>
      </c>
      <c r="K106" s="68" t="s">
        <v>435</v>
      </c>
      <c r="L106" s="106">
        <v>1708051</v>
      </c>
      <c r="M106" s="68" t="s">
        <v>518</v>
      </c>
      <c r="N106" s="106">
        <v>1708051</v>
      </c>
      <c r="O106" s="68" t="s">
        <v>518</v>
      </c>
      <c r="P106" s="33" t="s">
        <v>519</v>
      </c>
      <c r="Q106" s="126" t="s">
        <v>520</v>
      </c>
      <c r="R106" s="33" t="s">
        <v>519</v>
      </c>
      <c r="S106" s="126" t="s">
        <v>520</v>
      </c>
      <c r="T106" s="72" t="s">
        <v>1449</v>
      </c>
      <c r="U106" s="34">
        <v>1</v>
      </c>
      <c r="V106" s="72" t="s">
        <v>515</v>
      </c>
      <c r="W106" s="67" t="s">
        <v>516</v>
      </c>
      <c r="X106" s="68" t="s">
        <v>517</v>
      </c>
      <c r="Y106" s="107"/>
      <c r="Z106" s="107"/>
      <c r="AA106" s="107"/>
      <c r="AB106" s="107"/>
      <c r="AC106" s="107"/>
      <c r="AD106" s="107"/>
      <c r="AE106" s="107"/>
      <c r="AF106" s="107"/>
      <c r="AG106" s="107"/>
      <c r="AH106" s="107"/>
      <c r="AI106" s="108">
        <v>20000000</v>
      </c>
      <c r="AJ106" s="147"/>
      <c r="AK106" s="147"/>
      <c r="AL106" s="147"/>
      <c r="AM106" s="91">
        <f t="shared" si="3"/>
        <v>20000000</v>
      </c>
      <c r="AN106" s="82" t="s">
        <v>1432</v>
      </c>
      <c r="AO106" s="6"/>
    </row>
    <row r="107" spans="1:41" s="1" customFormat="1" ht="138.75" hidden="1" customHeight="1" x14ac:dyDescent="0.2">
      <c r="A107" s="69">
        <v>312</v>
      </c>
      <c r="B107" s="68" t="s">
        <v>1404</v>
      </c>
      <c r="C107" s="66">
        <v>2</v>
      </c>
      <c r="D107" s="68" t="s">
        <v>1403</v>
      </c>
      <c r="E107" s="66">
        <v>17</v>
      </c>
      <c r="F107" s="68" t="s">
        <v>433</v>
      </c>
      <c r="G107" s="69">
        <v>1709</v>
      </c>
      <c r="H107" s="68" t="s">
        <v>521</v>
      </c>
      <c r="I107" s="69">
        <v>1709</v>
      </c>
      <c r="J107" s="68" t="s">
        <v>1363</v>
      </c>
      <c r="K107" s="68" t="s">
        <v>435</v>
      </c>
      <c r="L107" s="106">
        <v>1709019</v>
      </c>
      <c r="M107" s="68" t="s">
        <v>522</v>
      </c>
      <c r="N107" s="106">
        <v>1709019</v>
      </c>
      <c r="O107" s="68" t="s">
        <v>522</v>
      </c>
      <c r="P107" s="33">
        <v>170901900</v>
      </c>
      <c r="Q107" s="126" t="s">
        <v>522</v>
      </c>
      <c r="R107" s="33">
        <v>170901900</v>
      </c>
      <c r="S107" s="126" t="s">
        <v>522</v>
      </c>
      <c r="T107" s="72" t="s">
        <v>1451</v>
      </c>
      <c r="U107" s="34">
        <v>4</v>
      </c>
      <c r="V107" s="136" t="s">
        <v>523</v>
      </c>
      <c r="W107" s="67" t="s">
        <v>524</v>
      </c>
      <c r="X107" s="68" t="s">
        <v>525</v>
      </c>
      <c r="Y107" s="113"/>
      <c r="Z107" s="113"/>
      <c r="AA107" s="113"/>
      <c r="AB107" s="113"/>
      <c r="AC107" s="113"/>
      <c r="AD107" s="113"/>
      <c r="AE107" s="113"/>
      <c r="AF107" s="113"/>
      <c r="AG107" s="113"/>
      <c r="AH107" s="113"/>
      <c r="AI107" s="108">
        <v>43000000</v>
      </c>
      <c r="AJ107" s="147"/>
      <c r="AK107" s="147"/>
      <c r="AL107" s="147"/>
      <c r="AM107" s="91">
        <f t="shared" si="3"/>
        <v>43000000</v>
      </c>
      <c r="AN107" s="82" t="s">
        <v>1432</v>
      </c>
      <c r="AO107" s="6"/>
    </row>
    <row r="108" spans="1:41" s="1" customFormat="1" ht="132.75" hidden="1" customHeight="1" x14ac:dyDescent="0.2">
      <c r="A108" s="69">
        <v>312</v>
      </c>
      <c r="B108" s="68" t="s">
        <v>1404</v>
      </c>
      <c r="C108" s="66">
        <v>2</v>
      </c>
      <c r="D108" s="68" t="s">
        <v>1403</v>
      </c>
      <c r="E108" s="66">
        <v>17</v>
      </c>
      <c r="F108" s="68" t="s">
        <v>433</v>
      </c>
      <c r="G108" s="69">
        <v>1709</v>
      </c>
      <c r="H108" s="68" t="s">
        <v>521</v>
      </c>
      <c r="I108" s="69">
        <v>1709</v>
      </c>
      <c r="J108" s="68" t="s">
        <v>1363</v>
      </c>
      <c r="K108" s="68" t="s">
        <v>435</v>
      </c>
      <c r="L108" s="106">
        <v>1709034</v>
      </c>
      <c r="M108" s="68" t="s">
        <v>526</v>
      </c>
      <c r="N108" s="106">
        <v>1709034</v>
      </c>
      <c r="O108" s="68" t="s">
        <v>526</v>
      </c>
      <c r="P108" s="33" t="s">
        <v>527</v>
      </c>
      <c r="Q108" s="126" t="s">
        <v>526</v>
      </c>
      <c r="R108" s="33">
        <v>170903400</v>
      </c>
      <c r="S108" s="126" t="s">
        <v>526</v>
      </c>
      <c r="T108" s="72" t="s">
        <v>1451</v>
      </c>
      <c r="U108" s="34">
        <v>3</v>
      </c>
      <c r="V108" s="136" t="s">
        <v>523</v>
      </c>
      <c r="W108" s="67" t="s">
        <v>524</v>
      </c>
      <c r="X108" s="68" t="s">
        <v>525</v>
      </c>
      <c r="Y108" s="113"/>
      <c r="Z108" s="113"/>
      <c r="AA108" s="113"/>
      <c r="AB108" s="113"/>
      <c r="AC108" s="113"/>
      <c r="AD108" s="113"/>
      <c r="AE108" s="113"/>
      <c r="AF108" s="113"/>
      <c r="AG108" s="113"/>
      <c r="AH108" s="113"/>
      <c r="AI108" s="108">
        <v>43000000</v>
      </c>
      <c r="AJ108" s="147"/>
      <c r="AK108" s="147"/>
      <c r="AL108" s="147"/>
      <c r="AM108" s="91">
        <f t="shared" si="3"/>
        <v>43000000</v>
      </c>
      <c r="AN108" s="82" t="s">
        <v>1432</v>
      </c>
      <c r="AO108" s="6"/>
    </row>
    <row r="109" spans="1:41" s="1" customFormat="1" ht="132.75" hidden="1" customHeight="1" x14ac:dyDescent="0.2">
      <c r="A109" s="69">
        <v>312</v>
      </c>
      <c r="B109" s="68" t="s">
        <v>1404</v>
      </c>
      <c r="C109" s="66">
        <v>2</v>
      </c>
      <c r="D109" s="68" t="s">
        <v>1403</v>
      </c>
      <c r="E109" s="66">
        <v>17</v>
      </c>
      <c r="F109" s="68" t="s">
        <v>433</v>
      </c>
      <c r="G109" s="69">
        <v>1709</v>
      </c>
      <c r="H109" s="68" t="s">
        <v>521</v>
      </c>
      <c r="I109" s="69">
        <v>1709</v>
      </c>
      <c r="J109" s="68" t="s">
        <v>1363</v>
      </c>
      <c r="K109" s="68" t="s">
        <v>435</v>
      </c>
      <c r="L109" s="106">
        <v>1709093</v>
      </c>
      <c r="M109" s="68" t="s">
        <v>528</v>
      </c>
      <c r="N109" s="106">
        <v>1709093</v>
      </c>
      <c r="O109" s="68" t="s">
        <v>528</v>
      </c>
      <c r="P109" s="66" t="s">
        <v>529</v>
      </c>
      <c r="Q109" s="68" t="s">
        <v>530</v>
      </c>
      <c r="R109" s="66">
        <v>170909300</v>
      </c>
      <c r="S109" s="68" t="s">
        <v>530</v>
      </c>
      <c r="T109" s="72" t="s">
        <v>1451</v>
      </c>
      <c r="U109" s="34">
        <v>2</v>
      </c>
      <c r="V109" s="136" t="s">
        <v>523</v>
      </c>
      <c r="W109" s="67" t="s">
        <v>524</v>
      </c>
      <c r="X109" s="68" t="s">
        <v>525</v>
      </c>
      <c r="Y109" s="113"/>
      <c r="Z109" s="113"/>
      <c r="AA109" s="113"/>
      <c r="AB109" s="113"/>
      <c r="AC109" s="113"/>
      <c r="AD109" s="113"/>
      <c r="AE109" s="113"/>
      <c r="AF109" s="113"/>
      <c r="AG109" s="113"/>
      <c r="AH109" s="113"/>
      <c r="AI109" s="108">
        <v>22000000</v>
      </c>
      <c r="AJ109" s="147"/>
      <c r="AK109" s="147"/>
      <c r="AL109" s="147"/>
      <c r="AM109" s="91">
        <f t="shared" si="3"/>
        <v>22000000</v>
      </c>
      <c r="AN109" s="82" t="s">
        <v>1432</v>
      </c>
      <c r="AO109" s="6"/>
    </row>
    <row r="110" spans="1:41" s="1" customFormat="1" ht="110.25" hidden="1" customHeight="1" x14ac:dyDescent="0.2">
      <c r="A110" s="69">
        <v>312</v>
      </c>
      <c r="B110" s="68" t="s">
        <v>1404</v>
      </c>
      <c r="C110" s="66">
        <v>2</v>
      </c>
      <c r="D110" s="68" t="s">
        <v>1403</v>
      </c>
      <c r="E110" s="66">
        <v>35</v>
      </c>
      <c r="F110" s="68" t="s">
        <v>385</v>
      </c>
      <c r="G110" s="66">
        <v>3502</v>
      </c>
      <c r="H110" s="68" t="s">
        <v>1365</v>
      </c>
      <c r="I110" s="66">
        <v>3502</v>
      </c>
      <c r="J110" s="68" t="s">
        <v>1364</v>
      </c>
      <c r="K110" s="68" t="s">
        <v>531</v>
      </c>
      <c r="L110" s="106">
        <v>3502017</v>
      </c>
      <c r="M110" s="68" t="s">
        <v>532</v>
      </c>
      <c r="N110" s="106">
        <v>3502017</v>
      </c>
      <c r="O110" s="68" t="s">
        <v>532</v>
      </c>
      <c r="P110" s="33" t="s">
        <v>533</v>
      </c>
      <c r="Q110" s="126" t="s">
        <v>534</v>
      </c>
      <c r="R110" s="33" t="s">
        <v>533</v>
      </c>
      <c r="S110" s="126" t="s">
        <v>534</v>
      </c>
      <c r="T110" s="72" t="s">
        <v>1449</v>
      </c>
      <c r="U110" s="34">
        <v>6</v>
      </c>
      <c r="V110" s="72" t="s">
        <v>535</v>
      </c>
      <c r="W110" s="67" t="s">
        <v>536</v>
      </c>
      <c r="X110" s="68" t="s">
        <v>537</v>
      </c>
      <c r="Y110" s="107"/>
      <c r="Z110" s="107"/>
      <c r="AA110" s="107"/>
      <c r="AB110" s="107"/>
      <c r="AC110" s="107"/>
      <c r="AD110" s="107"/>
      <c r="AE110" s="107"/>
      <c r="AF110" s="107"/>
      <c r="AG110" s="107"/>
      <c r="AH110" s="107"/>
      <c r="AI110" s="108">
        <v>18000000</v>
      </c>
      <c r="AJ110" s="108"/>
      <c r="AK110" s="147"/>
      <c r="AL110" s="147"/>
      <c r="AM110" s="91">
        <f t="shared" si="3"/>
        <v>18000000</v>
      </c>
      <c r="AN110" s="82" t="s">
        <v>1432</v>
      </c>
      <c r="AO110" s="6"/>
    </row>
    <row r="111" spans="1:41" s="6" customFormat="1" ht="130.5" hidden="1" customHeight="1" x14ac:dyDescent="0.25">
      <c r="A111" s="69">
        <v>312</v>
      </c>
      <c r="B111" s="68" t="s">
        <v>1404</v>
      </c>
      <c r="C111" s="66">
        <v>2</v>
      </c>
      <c r="D111" s="68" t="s">
        <v>1403</v>
      </c>
      <c r="E111" s="66">
        <v>35</v>
      </c>
      <c r="F111" s="68" t="s">
        <v>385</v>
      </c>
      <c r="G111" s="66">
        <v>3502</v>
      </c>
      <c r="H111" s="68" t="s">
        <v>1365</v>
      </c>
      <c r="I111" s="66">
        <v>3502</v>
      </c>
      <c r="J111" s="68" t="s">
        <v>1364</v>
      </c>
      <c r="K111" s="68" t="s">
        <v>531</v>
      </c>
      <c r="L111" s="106">
        <v>3502007</v>
      </c>
      <c r="M111" s="68" t="s">
        <v>538</v>
      </c>
      <c r="N111" s="106">
        <v>3502007</v>
      </c>
      <c r="O111" s="68" t="s">
        <v>538</v>
      </c>
      <c r="P111" s="66" t="s">
        <v>394</v>
      </c>
      <c r="Q111" s="68" t="s">
        <v>395</v>
      </c>
      <c r="R111" s="66" t="s">
        <v>394</v>
      </c>
      <c r="S111" s="68" t="s">
        <v>395</v>
      </c>
      <c r="T111" s="72" t="s">
        <v>1449</v>
      </c>
      <c r="U111" s="66">
        <v>5</v>
      </c>
      <c r="V111" s="72" t="s">
        <v>535</v>
      </c>
      <c r="W111" s="67" t="s">
        <v>536</v>
      </c>
      <c r="X111" s="68" t="s">
        <v>537</v>
      </c>
      <c r="Y111" s="107"/>
      <c r="Z111" s="107"/>
      <c r="AA111" s="107"/>
      <c r="AB111" s="107"/>
      <c r="AC111" s="107"/>
      <c r="AD111" s="107"/>
      <c r="AE111" s="107"/>
      <c r="AF111" s="107"/>
      <c r="AG111" s="107"/>
      <c r="AH111" s="107"/>
      <c r="AI111" s="108">
        <v>18000000</v>
      </c>
      <c r="AJ111" s="108"/>
      <c r="AK111" s="147"/>
      <c r="AL111" s="147"/>
      <c r="AM111" s="91">
        <f t="shared" si="3"/>
        <v>18000000</v>
      </c>
      <c r="AN111" s="82" t="s">
        <v>1432</v>
      </c>
    </row>
    <row r="112" spans="1:41" s="1" customFormat="1" ht="131.25" hidden="1" customHeight="1" x14ac:dyDescent="0.2">
      <c r="A112" s="69">
        <v>312</v>
      </c>
      <c r="B112" s="68" t="s">
        <v>1404</v>
      </c>
      <c r="C112" s="66">
        <v>3</v>
      </c>
      <c r="D112" s="68" t="s">
        <v>1398</v>
      </c>
      <c r="E112" s="66">
        <v>32</v>
      </c>
      <c r="F112" s="68" t="s">
        <v>195</v>
      </c>
      <c r="G112" s="69">
        <v>3201</v>
      </c>
      <c r="H112" s="68" t="s">
        <v>1374</v>
      </c>
      <c r="I112" s="69">
        <v>3201</v>
      </c>
      <c r="J112" s="68" t="s">
        <v>1375</v>
      </c>
      <c r="K112" s="68" t="s">
        <v>197</v>
      </c>
      <c r="L112" s="106">
        <v>3201013</v>
      </c>
      <c r="M112" s="68" t="s">
        <v>539</v>
      </c>
      <c r="N112" s="106">
        <v>3201013</v>
      </c>
      <c r="O112" s="68" t="s">
        <v>539</v>
      </c>
      <c r="P112" s="33" t="s">
        <v>540</v>
      </c>
      <c r="Q112" s="126" t="s">
        <v>541</v>
      </c>
      <c r="R112" s="33" t="s">
        <v>540</v>
      </c>
      <c r="S112" s="126" t="s">
        <v>541</v>
      </c>
      <c r="T112" s="72" t="s">
        <v>1451</v>
      </c>
      <c r="U112" s="34">
        <v>1</v>
      </c>
      <c r="V112" s="136" t="s">
        <v>542</v>
      </c>
      <c r="W112" s="67" t="s">
        <v>543</v>
      </c>
      <c r="X112" s="68" t="s">
        <v>544</v>
      </c>
      <c r="Y112" s="123"/>
      <c r="Z112" s="123"/>
      <c r="AA112" s="123"/>
      <c r="AB112" s="123"/>
      <c r="AC112" s="123"/>
      <c r="AD112" s="123"/>
      <c r="AE112" s="123"/>
      <c r="AF112" s="123"/>
      <c r="AG112" s="123"/>
      <c r="AH112" s="123"/>
      <c r="AI112" s="108">
        <f>32000000-543501</f>
        <v>31456499</v>
      </c>
      <c r="AJ112" s="147"/>
      <c r="AK112" s="147"/>
      <c r="AL112" s="147"/>
      <c r="AM112" s="91">
        <f t="shared" si="3"/>
        <v>31456499</v>
      </c>
      <c r="AN112" s="82" t="s">
        <v>1432</v>
      </c>
      <c r="AO112" s="6"/>
    </row>
    <row r="113" spans="1:41" s="1" customFormat="1" ht="130.5" hidden="1" customHeight="1" x14ac:dyDescent="0.2">
      <c r="A113" s="69">
        <v>312</v>
      </c>
      <c r="B113" s="68" t="s">
        <v>1404</v>
      </c>
      <c r="C113" s="66">
        <v>3</v>
      </c>
      <c r="D113" s="68" t="s">
        <v>1398</v>
      </c>
      <c r="E113" s="66">
        <v>32</v>
      </c>
      <c r="F113" s="68" t="s">
        <v>195</v>
      </c>
      <c r="G113" s="69">
        <v>3201</v>
      </c>
      <c r="H113" s="68" t="s">
        <v>1374</v>
      </c>
      <c r="I113" s="69">
        <v>3201</v>
      </c>
      <c r="J113" s="68" t="s">
        <v>1375</v>
      </c>
      <c r="K113" s="68" t="s">
        <v>197</v>
      </c>
      <c r="L113" s="106">
        <v>3201008</v>
      </c>
      <c r="M113" s="68" t="s">
        <v>545</v>
      </c>
      <c r="N113" s="106">
        <v>3201008</v>
      </c>
      <c r="O113" s="68" t="s">
        <v>545</v>
      </c>
      <c r="P113" s="33" t="s">
        <v>546</v>
      </c>
      <c r="Q113" s="68" t="s">
        <v>547</v>
      </c>
      <c r="R113" s="33" t="s">
        <v>546</v>
      </c>
      <c r="S113" s="68" t="s">
        <v>547</v>
      </c>
      <c r="T113" s="72" t="s">
        <v>1451</v>
      </c>
      <c r="U113" s="34">
        <v>2</v>
      </c>
      <c r="V113" s="136" t="s">
        <v>542</v>
      </c>
      <c r="W113" s="67" t="s">
        <v>543</v>
      </c>
      <c r="X113" s="68" t="s">
        <v>544</v>
      </c>
      <c r="Y113" s="123"/>
      <c r="Z113" s="123"/>
      <c r="AA113" s="123"/>
      <c r="AB113" s="123"/>
      <c r="AC113" s="123"/>
      <c r="AD113" s="123"/>
      <c r="AE113" s="123"/>
      <c r="AF113" s="123"/>
      <c r="AG113" s="123"/>
      <c r="AH113" s="123"/>
      <c r="AI113" s="108">
        <v>50000000</v>
      </c>
      <c r="AJ113" s="147"/>
      <c r="AK113" s="147"/>
      <c r="AL113" s="147"/>
      <c r="AM113" s="91">
        <f t="shared" si="3"/>
        <v>50000000</v>
      </c>
      <c r="AN113" s="82" t="s">
        <v>1432</v>
      </c>
      <c r="AO113" s="6"/>
    </row>
    <row r="114" spans="1:41" s="1" customFormat="1" ht="175.5" hidden="1" customHeight="1" x14ac:dyDescent="0.2">
      <c r="A114" s="69">
        <v>312</v>
      </c>
      <c r="B114" s="68" t="s">
        <v>1404</v>
      </c>
      <c r="C114" s="66">
        <v>3</v>
      </c>
      <c r="D114" s="68" t="s">
        <v>1398</v>
      </c>
      <c r="E114" s="66">
        <v>32</v>
      </c>
      <c r="F114" s="68" t="s">
        <v>195</v>
      </c>
      <c r="G114" s="66">
        <v>3202</v>
      </c>
      <c r="H114" s="68" t="s">
        <v>548</v>
      </c>
      <c r="I114" s="66">
        <v>3202</v>
      </c>
      <c r="J114" s="68" t="s">
        <v>1376</v>
      </c>
      <c r="K114" s="68" t="s">
        <v>197</v>
      </c>
      <c r="L114" s="106" t="s">
        <v>549</v>
      </c>
      <c r="M114" s="68" t="s">
        <v>550</v>
      </c>
      <c r="N114" s="106" t="s">
        <v>549</v>
      </c>
      <c r="O114" s="68" t="s">
        <v>550</v>
      </c>
      <c r="P114" s="33" t="s">
        <v>551</v>
      </c>
      <c r="Q114" s="126" t="s">
        <v>552</v>
      </c>
      <c r="R114" s="33" t="s">
        <v>551</v>
      </c>
      <c r="S114" s="126" t="s">
        <v>552</v>
      </c>
      <c r="T114" s="72" t="s">
        <v>1451</v>
      </c>
      <c r="U114" s="34">
        <v>600</v>
      </c>
      <c r="V114" s="72" t="s">
        <v>553</v>
      </c>
      <c r="W114" s="67" t="s">
        <v>554</v>
      </c>
      <c r="X114" s="68" t="s">
        <v>555</v>
      </c>
      <c r="Y114" s="107"/>
      <c r="Z114" s="107"/>
      <c r="AA114" s="107"/>
      <c r="AB114" s="107"/>
      <c r="AC114" s="107"/>
      <c r="AD114" s="107"/>
      <c r="AE114" s="107"/>
      <c r="AF114" s="107"/>
      <c r="AG114" s="107"/>
      <c r="AH114" s="107"/>
      <c r="AI114" s="108">
        <f>200000000+20000000</f>
        <v>220000000</v>
      </c>
      <c r="AJ114" s="147"/>
      <c r="AK114" s="147"/>
      <c r="AL114" s="147"/>
      <c r="AM114" s="91">
        <f t="shared" si="3"/>
        <v>220000000</v>
      </c>
      <c r="AN114" s="82" t="s">
        <v>1432</v>
      </c>
      <c r="AO114" s="6"/>
    </row>
    <row r="115" spans="1:41" s="1" customFormat="1" ht="186" hidden="1" customHeight="1" x14ac:dyDescent="0.2">
      <c r="A115" s="69">
        <v>312</v>
      </c>
      <c r="B115" s="68" t="s">
        <v>1404</v>
      </c>
      <c r="C115" s="66">
        <v>3</v>
      </c>
      <c r="D115" s="68" t="s">
        <v>1398</v>
      </c>
      <c r="E115" s="66">
        <v>32</v>
      </c>
      <c r="F115" s="68" t="s">
        <v>195</v>
      </c>
      <c r="G115" s="66">
        <v>3202</v>
      </c>
      <c r="H115" s="68" t="s">
        <v>548</v>
      </c>
      <c r="I115" s="66">
        <v>3202</v>
      </c>
      <c r="J115" s="68" t="s">
        <v>1376</v>
      </c>
      <c r="K115" s="68" t="s">
        <v>197</v>
      </c>
      <c r="L115" s="106">
        <v>3202037</v>
      </c>
      <c r="M115" s="68" t="s">
        <v>556</v>
      </c>
      <c r="N115" s="106">
        <v>3202037</v>
      </c>
      <c r="O115" s="68" t="s">
        <v>556</v>
      </c>
      <c r="P115" s="33" t="s">
        <v>557</v>
      </c>
      <c r="Q115" s="126" t="s">
        <v>558</v>
      </c>
      <c r="R115" s="33" t="s">
        <v>557</v>
      </c>
      <c r="S115" s="126" t="s">
        <v>558</v>
      </c>
      <c r="T115" s="72" t="s">
        <v>1451</v>
      </c>
      <c r="U115" s="34">
        <v>40</v>
      </c>
      <c r="V115" s="72" t="s">
        <v>553</v>
      </c>
      <c r="W115" s="67" t="s">
        <v>554</v>
      </c>
      <c r="X115" s="68" t="s">
        <v>555</v>
      </c>
      <c r="Y115" s="107"/>
      <c r="Z115" s="107"/>
      <c r="AA115" s="107"/>
      <c r="AB115" s="107"/>
      <c r="AC115" s="107"/>
      <c r="AD115" s="107"/>
      <c r="AE115" s="107"/>
      <c r="AF115" s="107"/>
      <c r="AG115" s="107"/>
      <c r="AH115" s="107"/>
      <c r="AI115" s="108">
        <f>82575952+12672234</f>
        <v>95248186</v>
      </c>
      <c r="AJ115" s="147"/>
      <c r="AK115" s="147"/>
      <c r="AL115" s="147"/>
      <c r="AM115" s="91">
        <f t="shared" si="3"/>
        <v>95248186</v>
      </c>
      <c r="AN115" s="82" t="s">
        <v>1432</v>
      </c>
      <c r="AO115" s="6"/>
    </row>
    <row r="116" spans="1:41" s="1" customFormat="1" ht="186" hidden="1" customHeight="1" x14ac:dyDescent="0.2">
      <c r="A116" s="69">
        <v>312</v>
      </c>
      <c r="B116" s="68" t="s">
        <v>1404</v>
      </c>
      <c r="C116" s="66">
        <v>3</v>
      </c>
      <c r="D116" s="68" t="s">
        <v>1398</v>
      </c>
      <c r="E116" s="66">
        <v>32</v>
      </c>
      <c r="F116" s="68" t="s">
        <v>195</v>
      </c>
      <c r="G116" s="66">
        <v>3202</v>
      </c>
      <c r="H116" s="68" t="s">
        <v>548</v>
      </c>
      <c r="I116" s="66">
        <v>3202</v>
      </c>
      <c r="J116" s="68" t="s">
        <v>1376</v>
      </c>
      <c r="K116" s="68" t="s">
        <v>197</v>
      </c>
      <c r="L116" s="66" t="s">
        <v>38</v>
      </c>
      <c r="M116" s="68" t="s">
        <v>559</v>
      </c>
      <c r="N116" s="69">
        <v>3202037</v>
      </c>
      <c r="O116" s="68" t="s">
        <v>556</v>
      </c>
      <c r="P116" s="66" t="s">
        <v>38</v>
      </c>
      <c r="Q116" s="126" t="s">
        <v>560</v>
      </c>
      <c r="R116" s="69">
        <v>320203700</v>
      </c>
      <c r="S116" s="126" t="s">
        <v>561</v>
      </c>
      <c r="T116" s="72" t="s">
        <v>1451</v>
      </c>
      <c r="U116" s="34">
        <v>60</v>
      </c>
      <c r="V116" s="72" t="s">
        <v>553</v>
      </c>
      <c r="W116" s="67" t="s">
        <v>554</v>
      </c>
      <c r="X116" s="68" t="s">
        <v>555</v>
      </c>
      <c r="Y116" s="107"/>
      <c r="Z116" s="107"/>
      <c r="AA116" s="107"/>
      <c r="AB116" s="107"/>
      <c r="AC116" s="107"/>
      <c r="AD116" s="107"/>
      <c r="AE116" s="107"/>
      <c r="AF116" s="107"/>
      <c r="AG116" s="107"/>
      <c r="AH116" s="107"/>
      <c r="AI116" s="108">
        <f>400000000+20000000+290383203</f>
        <v>710383203</v>
      </c>
      <c r="AJ116" s="147"/>
      <c r="AK116" s="147"/>
      <c r="AL116" s="147"/>
      <c r="AM116" s="91">
        <f t="shared" si="3"/>
        <v>710383203</v>
      </c>
      <c r="AN116" s="82" t="s">
        <v>1432</v>
      </c>
      <c r="AO116" s="6"/>
    </row>
    <row r="117" spans="1:41" s="1" customFormat="1" ht="186" hidden="1" customHeight="1" x14ac:dyDescent="0.2">
      <c r="A117" s="69">
        <v>312</v>
      </c>
      <c r="B117" s="68" t="s">
        <v>1404</v>
      </c>
      <c r="C117" s="66">
        <v>3</v>
      </c>
      <c r="D117" s="68" t="s">
        <v>1398</v>
      </c>
      <c r="E117" s="66">
        <v>32</v>
      </c>
      <c r="F117" s="68" t="s">
        <v>195</v>
      </c>
      <c r="G117" s="66">
        <v>3202</v>
      </c>
      <c r="H117" s="68" t="s">
        <v>548</v>
      </c>
      <c r="I117" s="66">
        <v>3202</v>
      </c>
      <c r="J117" s="68" t="s">
        <v>1376</v>
      </c>
      <c r="K117" s="68" t="s">
        <v>197</v>
      </c>
      <c r="L117" s="66">
        <v>3202017</v>
      </c>
      <c r="M117" s="68" t="s">
        <v>562</v>
      </c>
      <c r="N117" s="106">
        <v>3202043</v>
      </c>
      <c r="O117" s="68" t="s">
        <v>563</v>
      </c>
      <c r="P117" s="66" t="s">
        <v>564</v>
      </c>
      <c r="Q117" s="126" t="s">
        <v>565</v>
      </c>
      <c r="R117" s="33">
        <v>320204300</v>
      </c>
      <c r="S117" s="126" t="s">
        <v>566</v>
      </c>
      <c r="T117" s="72" t="s">
        <v>1449</v>
      </c>
      <c r="U117" s="150">
        <v>1</v>
      </c>
      <c r="V117" s="72" t="s">
        <v>553</v>
      </c>
      <c r="W117" s="67" t="s">
        <v>554</v>
      </c>
      <c r="X117" s="68" t="s">
        <v>555</v>
      </c>
      <c r="Y117" s="107"/>
      <c r="Z117" s="107"/>
      <c r="AA117" s="107"/>
      <c r="AB117" s="107"/>
      <c r="AC117" s="107"/>
      <c r="AD117" s="107"/>
      <c r="AE117" s="107"/>
      <c r="AF117" s="107"/>
      <c r="AG117" s="107"/>
      <c r="AH117" s="107"/>
      <c r="AI117" s="108">
        <f>100000000+20000000</f>
        <v>120000000</v>
      </c>
      <c r="AJ117" s="147"/>
      <c r="AK117" s="147"/>
      <c r="AL117" s="147"/>
      <c r="AM117" s="91">
        <f t="shared" si="3"/>
        <v>120000000</v>
      </c>
      <c r="AN117" s="82" t="s">
        <v>1432</v>
      </c>
      <c r="AO117" s="6"/>
    </row>
    <row r="118" spans="1:41" s="1" customFormat="1" ht="216.75" hidden="1" customHeight="1" x14ac:dyDescent="0.2">
      <c r="A118" s="69">
        <v>312</v>
      </c>
      <c r="B118" s="68" t="s">
        <v>1404</v>
      </c>
      <c r="C118" s="66">
        <v>3</v>
      </c>
      <c r="D118" s="68" t="s">
        <v>1398</v>
      </c>
      <c r="E118" s="66">
        <v>32</v>
      </c>
      <c r="F118" s="68" t="s">
        <v>195</v>
      </c>
      <c r="G118" s="66">
        <v>3202</v>
      </c>
      <c r="H118" s="68" t="s">
        <v>548</v>
      </c>
      <c r="I118" s="66">
        <v>3202</v>
      </c>
      <c r="J118" s="68" t="s">
        <v>1376</v>
      </c>
      <c r="K118" s="68" t="s">
        <v>197</v>
      </c>
      <c r="L118" s="66" t="s">
        <v>38</v>
      </c>
      <c r="M118" s="68" t="s">
        <v>567</v>
      </c>
      <c r="N118" s="106">
        <v>3202014</v>
      </c>
      <c r="O118" s="68" t="s">
        <v>1327</v>
      </c>
      <c r="P118" s="66" t="s">
        <v>38</v>
      </c>
      <c r="Q118" s="126" t="s">
        <v>568</v>
      </c>
      <c r="R118" s="33">
        <v>320201402</v>
      </c>
      <c r="S118" s="126" t="s">
        <v>569</v>
      </c>
      <c r="T118" s="72" t="s">
        <v>1449</v>
      </c>
      <c r="U118" s="150">
        <v>1</v>
      </c>
      <c r="V118" s="72" t="s">
        <v>570</v>
      </c>
      <c r="W118" s="67" t="s">
        <v>571</v>
      </c>
      <c r="X118" s="68" t="s">
        <v>572</v>
      </c>
      <c r="Y118" s="107"/>
      <c r="Z118" s="107"/>
      <c r="AA118" s="107"/>
      <c r="AB118" s="107"/>
      <c r="AC118" s="107"/>
      <c r="AD118" s="107"/>
      <c r="AE118" s="107"/>
      <c r="AF118" s="107"/>
      <c r="AG118" s="107"/>
      <c r="AH118" s="107"/>
      <c r="AI118" s="108">
        <v>36000000</v>
      </c>
      <c r="AJ118" s="147"/>
      <c r="AK118" s="147"/>
      <c r="AL118" s="147"/>
      <c r="AM118" s="91">
        <f t="shared" si="3"/>
        <v>36000000</v>
      </c>
      <c r="AN118" s="82" t="s">
        <v>1432</v>
      </c>
      <c r="AO118" s="6"/>
    </row>
    <row r="119" spans="1:41" s="1" customFormat="1" ht="204" hidden="1" customHeight="1" x14ac:dyDescent="0.2">
      <c r="A119" s="69">
        <v>312</v>
      </c>
      <c r="B119" s="68" t="s">
        <v>1404</v>
      </c>
      <c r="C119" s="66">
        <v>3</v>
      </c>
      <c r="D119" s="68" t="s">
        <v>1398</v>
      </c>
      <c r="E119" s="66">
        <v>32</v>
      </c>
      <c r="F119" s="68" t="s">
        <v>195</v>
      </c>
      <c r="G119" s="66">
        <v>3202</v>
      </c>
      <c r="H119" s="68" t="s">
        <v>548</v>
      </c>
      <c r="I119" s="66">
        <v>3202</v>
      </c>
      <c r="J119" s="68" t="s">
        <v>1376</v>
      </c>
      <c r="K119" s="68" t="s">
        <v>197</v>
      </c>
      <c r="L119" s="66" t="s">
        <v>38</v>
      </c>
      <c r="M119" s="68" t="s">
        <v>573</v>
      </c>
      <c r="N119" s="66">
        <v>3202014</v>
      </c>
      <c r="O119" s="68" t="s">
        <v>1327</v>
      </c>
      <c r="P119" s="66" t="s">
        <v>38</v>
      </c>
      <c r="Q119" s="126" t="s">
        <v>574</v>
      </c>
      <c r="R119" s="66">
        <v>320201402</v>
      </c>
      <c r="S119" s="126" t="s">
        <v>569</v>
      </c>
      <c r="T119" s="72" t="s">
        <v>1451</v>
      </c>
      <c r="U119" s="150">
        <v>1</v>
      </c>
      <c r="V119" s="72" t="s">
        <v>575</v>
      </c>
      <c r="W119" s="67" t="s">
        <v>576</v>
      </c>
      <c r="X119" s="68" t="s">
        <v>577</v>
      </c>
      <c r="Y119" s="107"/>
      <c r="Z119" s="107"/>
      <c r="AA119" s="107"/>
      <c r="AB119" s="107"/>
      <c r="AC119" s="107"/>
      <c r="AD119" s="107"/>
      <c r="AE119" s="107"/>
      <c r="AF119" s="107"/>
      <c r="AG119" s="107"/>
      <c r="AH119" s="107"/>
      <c r="AI119" s="108">
        <v>54000000</v>
      </c>
      <c r="AJ119" s="147"/>
      <c r="AK119" s="147"/>
      <c r="AL119" s="147"/>
      <c r="AM119" s="91">
        <f t="shared" si="3"/>
        <v>54000000</v>
      </c>
      <c r="AN119" s="82" t="s">
        <v>1432</v>
      </c>
      <c r="AO119" s="6"/>
    </row>
    <row r="120" spans="1:41" s="1" customFormat="1" ht="206.25" hidden="1" customHeight="1" x14ac:dyDescent="0.2">
      <c r="A120" s="69">
        <v>312</v>
      </c>
      <c r="B120" s="68" t="s">
        <v>1404</v>
      </c>
      <c r="C120" s="66">
        <v>3</v>
      </c>
      <c r="D120" s="68" t="s">
        <v>1398</v>
      </c>
      <c r="E120" s="66">
        <v>32</v>
      </c>
      <c r="F120" s="68" t="s">
        <v>195</v>
      </c>
      <c r="G120" s="66">
        <v>3204</v>
      </c>
      <c r="H120" s="68" t="s">
        <v>1377</v>
      </c>
      <c r="I120" s="66">
        <v>3204</v>
      </c>
      <c r="J120" s="68" t="s">
        <v>1377</v>
      </c>
      <c r="K120" s="68" t="s">
        <v>197</v>
      </c>
      <c r="L120" s="106">
        <v>3204012</v>
      </c>
      <c r="M120" s="68" t="s">
        <v>578</v>
      </c>
      <c r="N120" s="106">
        <v>3204012</v>
      </c>
      <c r="O120" s="68" t="s">
        <v>578</v>
      </c>
      <c r="P120" s="33" t="s">
        <v>579</v>
      </c>
      <c r="Q120" s="126" t="s">
        <v>580</v>
      </c>
      <c r="R120" s="33" t="s">
        <v>579</v>
      </c>
      <c r="S120" s="126" t="s">
        <v>580</v>
      </c>
      <c r="T120" s="72" t="s">
        <v>1451</v>
      </c>
      <c r="U120" s="34">
        <v>2</v>
      </c>
      <c r="V120" s="72" t="s">
        <v>581</v>
      </c>
      <c r="W120" s="67" t="s">
        <v>582</v>
      </c>
      <c r="X120" s="68" t="s">
        <v>583</v>
      </c>
      <c r="Y120" s="107"/>
      <c r="Z120" s="107"/>
      <c r="AA120" s="107"/>
      <c r="AB120" s="107"/>
      <c r="AC120" s="107"/>
      <c r="AD120" s="107"/>
      <c r="AE120" s="107"/>
      <c r="AF120" s="107"/>
      <c r="AG120" s="107"/>
      <c r="AH120" s="107"/>
      <c r="AI120" s="108">
        <v>120000000</v>
      </c>
      <c r="AJ120" s="147"/>
      <c r="AK120" s="147"/>
      <c r="AL120" s="147"/>
      <c r="AM120" s="91">
        <f t="shared" si="3"/>
        <v>120000000</v>
      </c>
      <c r="AN120" s="82" t="s">
        <v>1432</v>
      </c>
      <c r="AO120" s="6"/>
    </row>
    <row r="121" spans="1:41" s="1" customFormat="1" ht="98.25" hidden="1" customHeight="1" x14ac:dyDescent="0.2">
      <c r="A121" s="69">
        <v>312</v>
      </c>
      <c r="B121" s="68" t="s">
        <v>1404</v>
      </c>
      <c r="C121" s="66">
        <v>3</v>
      </c>
      <c r="D121" s="68" t="s">
        <v>1398</v>
      </c>
      <c r="E121" s="66">
        <v>32</v>
      </c>
      <c r="F121" s="68" t="s">
        <v>195</v>
      </c>
      <c r="G121" s="66">
        <v>3205</v>
      </c>
      <c r="H121" s="68" t="s">
        <v>196</v>
      </c>
      <c r="I121" s="66">
        <v>3205</v>
      </c>
      <c r="J121" s="68" t="s">
        <v>1378</v>
      </c>
      <c r="K121" s="68" t="s">
        <v>197</v>
      </c>
      <c r="L121" s="106" t="s">
        <v>584</v>
      </c>
      <c r="M121" s="68" t="s">
        <v>585</v>
      </c>
      <c r="N121" s="106" t="s">
        <v>584</v>
      </c>
      <c r="O121" s="68" t="s">
        <v>585</v>
      </c>
      <c r="P121" s="66" t="s">
        <v>586</v>
      </c>
      <c r="Q121" s="68" t="s">
        <v>587</v>
      </c>
      <c r="R121" s="66" t="s">
        <v>586</v>
      </c>
      <c r="S121" s="68" t="s">
        <v>587</v>
      </c>
      <c r="T121" s="72" t="s">
        <v>1451</v>
      </c>
      <c r="U121" s="34">
        <v>200</v>
      </c>
      <c r="V121" s="72" t="s">
        <v>588</v>
      </c>
      <c r="W121" s="67" t="s">
        <v>589</v>
      </c>
      <c r="X121" s="68" t="s">
        <v>590</v>
      </c>
      <c r="Y121" s="112"/>
      <c r="Z121" s="107"/>
      <c r="AA121" s="107"/>
      <c r="AB121" s="107"/>
      <c r="AC121" s="107"/>
      <c r="AD121" s="107"/>
      <c r="AE121" s="107"/>
      <c r="AF121" s="107"/>
      <c r="AG121" s="107"/>
      <c r="AH121" s="107"/>
      <c r="AI121" s="108">
        <v>20000000</v>
      </c>
      <c r="AJ121" s="147"/>
      <c r="AK121" s="147"/>
      <c r="AL121" s="147"/>
      <c r="AM121" s="91">
        <f t="shared" si="3"/>
        <v>20000000</v>
      </c>
      <c r="AN121" s="82" t="s">
        <v>1432</v>
      </c>
      <c r="AO121" s="6"/>
    </row>
    <row r="122" spans="1:41" s="1" customFormat="1" ht="105.75" hidden="1" customHeight="1" x14ac:dyDescent="0.2">
      <c r="A122" s="69">
        <v>312</v>
      </c>
      <c r="B122" s="68" t="s">
        <v>1404</v>
      </c>
      <c r="C122" s="66">
        <v>3</v>
      </c>
      <c r="D122" s="68" t="s">
        <v>1398</v>
      </c>
      <c r="E122" s="66">
        <v>32</v>
      </c>
      <c r="F122" s="68" t="s">
        <v>195</v>
      </c>
      <c r="G122" s="66">
        <v>3205</v>
      </c>
      <c r="H122" s="68" t="s">
        <v>196</v>
      </c>
      <c r="I122" s="66">
        <v>3205</v>
      </c>
      <c r="J122" s="68" t="s">
        <v>1378</v>
      </c>
      <c r="K122" s="68" t="s">
        <v>197</v>
      </c>
      <c r="L122" s="106" t="s">
        <v>591</v>
      </c>
      <c r="M122" s="68" t="s">
        <v>592</v>
      </c>
      <c r="N122" s="106" t="s">
        <v>591</v>
      </c>
      <c r="O122" s="68" t="s">
        <v>592</v>
      </c>
      <c r="P122" s="66" t="s">
        <v>593</v>
      </c>
      <c r="Q122" s="68" t="s">
        <v>594</v>
      </c>
      <c r="R122" s="66" t="s">
        <v>593</v>
      </c>
      <c r="S122" s="68" t="s">
        <v>594</v>
      </c>
      <c r="T122" s="72" t="s">
        <v>1451</v>
      </c>
      <c r="U122" s="34">
        <v>10</v>
      </c>
      <c r="V122" s="72" t="s">
        <v>588</v>
      </c>
      <c r="W122" s="67" t="s">
        <v>589</v>
      </c>
      <c r="X122" s="68" t="s">
        <v>590</v>
      </c>
      <c r="Y122" s="112"/>
      <c r="Z122" s="107"/>
      <c r="AA122" s="107"/>
      <c r="AB122" s="107"/>
      <c r="AC122" s="107"/>
      <c r="AD122" s="107"/>
      <c r="AE122" s="107"/>
      <c r="AF122" s="107"/>
      <c r="AG122" s="107"/>
      <c r="AH122" s="107"/>
      <c r="AI122" s="108">
        <v>20000000</v>
      </c>
      <c r="AJ122" s="147"/>
      <c r="AK122" s="147"/>
      <c r="AL122" s="147"/>
      <c r="AM122" s="91">
        <f t="shared" si="3"/>
        <v>20000000</v>
      </c>
      <c r="AN122" s="82" t="s">
        <v>1432</v>
      </c>
      <c r="AO122" s="6"/>
    </row>
    <row r="123" spans="1:41" s="1" customFormat="1" ht="105" hidden="1" customHeight="1" x14ac:dyDescent="0.2">
      <c r="A123" s="69">
        <v>312</v>
      </c>
      <c r="B123" s="68" t="s">
        <v>1404</v>
      </c>
      <c r="C123" s="66">
        <v>3</v>
      </c>
      <c r="D123" s="68" t="s">
        <v>1398</v>
      </c>
      <c r="E123" s="66">
        <v>32</v>
      </c>
      <c r="F123" s="68" t="s">
        <v>195</v>
      </c>
      <c r="G123" s="66">
        <v>3205</v>
      </c>
      <c r="H123" s="68" t="s">
        <v>196</v>
      </c>
      <c r="I123" s="66">
        <v>3205</v>
      </c>
      <c r="J123" s="68" t="s">
        <v>1378</v>
      </c>
      <c r="K123" s="68" t="s">
        <v>197</v>
      </c>
      <c r="L123" s="106">
        <v>3205010</v>
      </c>
      <c r="M123" s="68" t="s">
        <v>198</v>
      </c>
      <c r="N123" s="106">
        <v>3205010</v>
      </c>
      <c r="O123" s="68" t="s">
        <v>198</v>
      </c>
      <c r="P123" s="66" t="s">
        <v>199</v>
      </c>
      <c r="Q123" s="68" t="s">
        <v>200</v>
      </c>
      <c r="R123" s="66" t="s">
        <v>199</v>
      </c>
      <c r="S123" s="68" t="s">
        <v>200</v>
      </c>
      <c r="T123" s="72" t="s">
        <v>1451</v>
      </c>
      <c r="U123" s="34">
        <v>1</v>
      </c>
      <c r="V123" s="72" t="s">
        <v>588</v>
      </c>
      <c r="W123" s="67" t="s">
        <v>589</v>
      </c>
      <c r="X123" s="68" t="s">
        <v>590</v>
      </c>
      <c r="Y123" s="112"/>
      <c r="Z123" s="107"/>
      <c r="AA123" s="107"/>
      <c r="AB123" s="107"/>
      <c r="AC123" s="107"/>
      <c r="AD123" s="107"/>
      <c r="AE123" s="107"/>
      <c r="AF123" s="107"/>
      <c r="AG123" s="107"/>
      <c r="AH123" s="107"/>
      <c r="AI123" s="108">
        <v>42000000</v>
      </c>
      <c r="AJ123" s="147"/>
      <c r="AK123" s="147"/>
      <c r="AL123" s="147"/>
      <c r="AM123" s="91">
        <f t="shared" si="3"/>
        <v>42000000</v>
      </c>
      <c r="AN123" s="82" t="s">
        <v>1432</v>
      </c>
      <c r="AO123" s="6"/>
    </row>
    <row r="124" spans="1:41" s="1" customFormat="1" ht="119.25" hidden="1" customHeight="1" x14ac:dyDescent="0.2">
      <c r="A124" s="69">
        <v>312</v>
      </c>
      <c r="B124" s="68" t="s">
        <v>1404</v>
      </c>
      <c r="C124" s="66">
        <v>3</v>
      </c>
      <c r="D124" s="68" t="s">
        <v>1398</v>
      </c>
      <c r="E124" s="66">
        <v>32</v>
      </c>
      <c r="F124" s="68" t="s">
        <v>195</v>
      </c>
      <c r="G124" s="66">
        <v>3206</v>
      </c>
      <c r="H124" s="68" t="s">
        <v>595</v>
      </c>
      <c r="I124" s="66">
        <v>3206</v>
      </c>
      <c r="J124" s="68" t="s">
        <v>1379</v>
      </c>
      <c r="K124" s="68" t="s">
        <v>197</v>
      </c>
      <c r="L124" s="106" t="s">
        <v>596</v>
      </c>
      <c r="M124" s="68" t="s">
        <v>597</v>
      </c>
      <c r="N124" s="106" t="s">
        <v>596</v>
      </c>
      <c r="O124" s="68" t="s">
        <v>597</v>
      </c>
      <c r="P124" s="33" t="s">
        <v>598</v>
      </c>
      <c r="Q124" s="126" t="s">
        <v>599</v>
      </c>
      <c r="R124" s="33" t="s">
        <v>598</v>
      </c>
      <c r="S124" s="126" t="s">
        <v>599</v>
      </c>
      <c r="T124" s="72" t="s">
        <v>1451</v>
      </c>
      <c r="U124" s="34">
        <v>6</v>
      </c>
      <c r="V124" s="72" t="s">
        <v>600</v>
      </c>
      <c r="W124" s="67" t="s">
        <v>601</v>
      </c>
      <c r="X124" s="68" t="s">
        <v>602</v>
      </c>
      <c r="Y124" s="107"/>
      <c r="Z124" s="107"/>
      <c r="AA124" s="107"/>
      <c r="AB124" s="107"/>
      <c r="AC124" s="107"/>
      <c r="AD124" s="107"/>
      <c r="AE124" s="107"/>
      <c r="AF124" s="107"/>
      <c r="AG124" s="107"/>
      <c r="AH124" s="107"/>
      <c r="AI124" s="108">
        <v>25000000</v>
      </c>
      <c r="AJ124" s="147"/>
      <c r="AK124" s="147"/>
      <c r="AL124" s="147"/>
      <c r="AM124" s="91">
        <f t="shared" si="3"/>
        <v>25000000</v>
      </c>
      <c r="AN124" s="82" t="s">
        <v>1432</v>
      </c>
      <c r="AO124" s="6"/>
    </row>
    <row r="125" spans="1:41" s="1" customFormat="1" ht="117.75" hidden="1" customHeight="1" x14ac:dyDescent="0.2">
      <c r="A125" s="69">
        <v>312</v>
      </c>
      <c r="B125" s="68" t="s">
        <v>1404</v>
      </c>
      <c r="C125" s="66">
        <v>3</v>
      </c>
      <c r="D125" s="68" t="s">
        <v>1398</v>
      </c>
      <c r="E125" s="66">
        <v>32</v>
      </c>
      <c r="F125" s="68" t="s">
        <v>195</v>
      </c>
      <c r="G125" s="66">
        <v>3206</v>
      </c>
      <c r="H125" s="68" t="s">
        <v>595</v>
      </c>
      <c r="I125" s="66">
        <v>3206</v>
      </c>
      <c r="J125" s="68" t="s">
        <v>1379</v>
      </c>
      <c r="K125" s="68" t="s">
        <v>197</v>
      </c>
      <c r="L125" s="106">
        <v>3206014</v>
      </c>
      <c r="M125" s="68" t="s">
        <v>603</v>
      </c>
      <c r="N125" s="106">
        <v>3206014</v>
      </c>
      <c r="O125" s="68" t="s">
        <v>603</v>
      </c>
      <c r="P125" s="33" t="s">
        <v>604</v>
      </c>
      <c r="Q125" s="126" t="s">
        <v>605</v>
      </c>
      <c r="R125" s="33" t="s">
        <v>604</v>
      </c>
      <c r="S125" s="126" t="s">
        <v>605</v>
      </c>
      <c r="T125" s="72" t="s">
        <v>1451</v>
      </c>
      <c r="U125" s="34">
        <v>1950</v>
      </c>
      <c r="V125" s="72" t="s">
        <v>600</v>
      </c>
      <c r="W125" s="67" t="s">
        <v>601</v>
      </c>
      <c r="X125" s="68" t="s">
        <v>602</v>
      </c>
      <c r="Y125" s="107"/>
      <c r="Z125" s="107"/>
      <c r="AA125" s="107"/>
      <c r="AB125" s="107"/>
      <c r="AC125" s="107"/>
      <c r="AD125" s="107"/>
      <c r="AE125" s="107"/>
      <c r="AF125" s="107"/>
      <c r="AG125" s="107"/>
      <c r="AH125" s="107"/>
      <c r="AI125" s="108">
        <v>18000000</v>
      </c>
      <c r="AJ125" s="147"/>
      <c r="AK125" s="147"/>
      <c r="AL125" s="147"/>
      <c r="AM125" s="91">
        <f t="shared" si="3"/>
        <v>18000000</v>
      </c>
      <c r="AN125" s="82" t="s">
        <v>1432</v>
      </c>
      <c r="AO125" s="6"/>
    </row>
    <row r="126" spans="1:41" s="1" customFormat="1" ht="113.25" hidden="1" customHeight="1" x14ac:dyDescent="0.2">
      <c r="A126" s="69">
        <v>312</v>
      </c>
      <c r="B126" s="68" t="s">
        <v>1404</v>
      </c>
      <c r="C126" s="66">
        <v>3</v>
      </c>
      <c r="D126" s="68" t="s">
        <v>1398</v>
      </c>
      <c r="E126" s="66">
        <v>32</v>
      </c>
      <c r="F126" s="68" t="s">
        <v>195</v>
      </c>
      <c r="G126" s="66">
        <v>3206</v>
      </c>
      <c r="H126" s="68" t="s">
        <v>595</v>
      </c>
      <c r="I126" s="66">
        <v>3206</v>
      </c>
      <c r="J126" s="68" t="s">
        <v>1379</v>
      </c>
      <c r="K126" s="68" t="s">
        <v>197</v>
      </c>
      <c r="L126" s="106" t="s">
        <v>606</v>
      </c>
      <c r="M126" s="68" t="s">
        <v>607</v>
      </c>
      <c r="N126" s="106" t="s">
        <v>606</v>
      </c>
      <c r="O126" s="68" t="s">
        <v>607</v>
      </c>
      <c r="P126" s="33" t="s">
        <v>608</v>
      </c>
      <c r="Q126" s="126" t="s">
        <v>609</v>
      </c>
      <c r="R126" s="33" t="s">
        <v>608</v>
      </c>
      <c r="S126" s="126" t="s">
        <v>609</v>
      </c>
      <c r="T126" s="72" t="s">
        <v>1451</v>
      </c>
      <c r="U126" s="34">
        <v>20</v>
      </c>
      <c r="V126" s="72" t="s">
        <v>600</v>
      </c>
      <c r="W126" s="67" t="s">
        <v>601</v>
      </c>
      <c r="X126" s="68" t="s">
        <v>602</v>
      </c>
      <c r="Y126" s="107"/>
      <c r="Z126" s="107"/>
      <c r="AA126" s="107"/>
      <c r="AB126" s="107"/>
      <c r="AC126" s="107"/>
      <c r="AD126" s="107"/>
      <c r="AE126" s="107"/>
      <c r="AF126" s="107"/>
      <c r="AG126" s="107"/>
      <c r="AH126" s="107"/>
      <c r="AI126" s="108">
        <v>75000000</v>
      </c>
      <c r="AJ126" s="147"/>
      <c r="AK126" s="147"/>
      <c r="AL126" s="147"/>
      <c r="AM126" s="91">
        <f t="shared" si="3"/>
        <v>75000000</v>
      </c>
      <c r="AN126" s="82" t="s">
        <v>1432</v>
      </c>
      <c r="AO126" s="6"/>
    </row>
    <row r="127" spans="1:41" s="1" customFormat="1" ht="222" hidden="1" customHeight="1" x14ac:dyDescent="0.2">
      <c r="A127" s="69">
        <v>313</v>
      </c>
      <c r="B127" s="68" t="s">
        <v>1406</v>
      </c>
      <c r="C127" s="66">
        <v>4</v>
      </c>
      <c r="D127" s="68" t="s">
        <v>1394</v>
      </c>
      <c r="E127" s="66">
        <v>45</v>
      </c>
      <c r="F127" s="105" t="s">
        <v>36</v>
      </c>
      <c r="G127" s="66" t="s">
        <v>38</v>
      </c>
      <c r="H127" s="68" t="s">
        <v>1352</v>
      </c>
      <c r="I127" s="66">
        <v>4599</v>
      </c>
      <c r="J127" s="68" t="s">
        <v>1353</v>
      </c>
      <c r="K127" s="68" t="s">
        <v>37</v>
      </c>
      <c r="L127" s="66" t="s">
        <v>38</v>
      </c>
      <c r="M127" s="68" t="s">
        <v>610</v>
      </c>
      <c r="N127" s="66">
        <v>4599023</v>
      </c>
      <c r="O127" s="68" t="s">
        <v>111</v>
      </c>
      <c r="P127" s="66" t="s">
        <v>38</v>
      </c>
      <c r="Q127" s="109" t="s">
        <v>611</v>
      </c>
      <c r="R127" s="66">
        <v>459902304</v>
      </c>
      <c r="S127" s="109" t="s">
        <v>612</v>
      </c>
      <c r="T127" s="72" t="s">
        <v>1449</v>
      </c>
      <c r="U127" s="150">
        <v>1</v>
      </c>
      <c r="V127" s="72" t="s">
        <v>613</v>
      </c>
      <c r="W127" s="139" t="s">
        <v>614</v>
      </c>
      <c r="X127" s="139" t="s">
        <v>615</v>
      </c>
      <c r="Y127" s="107"/>
      <c r="Z127" s="107"/>
      <c r="AA127" s="107"/>
      <c r="AB127" s="107"/>
      <c r="AC127" s="107"/>
      <c r="AD127" s="107"/>
      <c r="AE127" s="107"/>
      <c r="AF127" s="107"/>
      <c r="AG127" s="107"/>
      <c r="AH127" s="107"/>
      <c r="AI127" s="118">
        <v>249636991.63999999</v>
      </c>
      <c r="AJ127" s="107"/>
      <c r="AK127" s="107"/>
      <c r="AL127" s="107"/>
      <c r="AM127" s="91">
        <f t="shared" si="3"/>
        <v>249636991.63999999</v>
      </c>
      <c r="AN127" s="72" t="s">
        <v>1433</v>
      </c>
      <c r="AO127" s="6"/>
    </row>
    <row r="128" spans="1:41" s="1" customFormat="1" ht="193.5" hidden="1" customHeight="1" x14ac:dyDescent="0.2">
      <c r="A128" s="69">
        <v>313</v>
      </c>
      <c r="B128" s="68" t="s">
        <v>1406</v>
      </c>
      <c r="C128" s="66">
        <v>4</v>
      </c>
      <c r="D128" s="68" t="s">
        <v>1394</v>
      </c>
      <c r="E128" s="66">
        <v>45</v>
      </c>
      <c r="F128" s="105" t="s">
        <v>36</v>
      </c>
      <c r="G128" s="66" t="s">
        <v>38</v>
      </c>
      <c r="H128" s="68" t="s">
        <v>1352</v>
      </c>
      <c r="I128" s="66">
        <v>4599</v>
      </c>
      <c r="J128" s="68" t="s">
        <v>1353</v>
      </c>
      <c r="K128" s="68" t="s">
        <v>37</v>
      </c>
      <c r="L128" s="66" t="s">
        <v>38</v>
      </c>
      <c r="M128" s="68" t="s">
        <v>616</v>
      </c>
      <c r="N128" s="66">
        <v>4599029</v>
      </c>
      <c r="O128" s="68" t="s">
        <v>59</v>
      </c>
      <c r="P128" s="66" t="s">
        <v>38</v>
      </c>
      <c r="Q128" s="109" t="s">
        <v>617</v>
      </c>
      <c r="R128" s="69">
        <v>459902900</v>
      </c>
      <c r="S128" s="109" t="s">
        <v>61</v>
      </c>
      <c r="T128" s="72" t="s">
        <v>1449</v>
      </c>
      <c r="U128" s="150">
        <v>1</v>
      </c>
      <c r="V128" s="72" t="s">
        <v>618</v>
      </c>
      <c r="W128" s="67" t="s">
        <v>619</v>
      </c>
      <c r="X128" s="68" t="s">
        <v>620</v>
      </c>
      <c r="Y128" s="107"/>
      <c r="Z128" s="107"/>
      <c r="AA128" s="107"/>
      <c r="AB128" s="107"/>
      <c r="AC128" s="107"/>
      <c r="AD128" s="107"/>
      <c r="AE128" s="107"/>
      <c r="AF128" s="107"/>
      <c r="AG128" s="107"/>
      <c r="AH128" s="107"/>
      <c r="AI128" s="118">
        <v>783075508.38</v>
      </c>
      <c r="AJ128" s="107"/>
      <c r="AK128" s="107"/>
      <c r="AL128" s="107"/>
      <c r="AM128" s="91">
        <f t="shared" si="3"/>
        <v>783075508.38</v>
      </c>
      <c r="AN128" s="72" t="s">
        <v>1433</v>
      </c>
      <c r="AO128" s="6"/>
    </row>
    <row r="129" spans="1:41" s="1" customFormat="1" ht="191.25" hidden="1" customHeight="1" x14ac:dyDescent="0.2">
      <c r="A129" s="69">
        <v>313</v>
      </c>
      <c r="B129" s="68" t="s">
        <v>1406</v>
      </c>
      <c r="C129" s="66">
        <v>4</v>
      </c>
      <c r="D129" s="68" t="s">
        <v>1394</v>
      </c>
      <c r="E129" s="66">
        <v>45</v>
      </c>
      <c r="F129" s="105" t="s">
        <v>36</v>
      </c>
      <c r="G129" s="66">
        <v>4502</v>
      </c>
      <c r="H129" s="68" t="s">
        <v>1348</v>
      </c>
      <c r="I129" s="66">
        <v>4502</v>
      </c>
      <c r="J129" s="68" t="s">
        <v>1349</v>
      </c>
      <c r="K129" s="68" t="s">
        <v>57</v>
      </c>
      <c r="L129" s="66" t="s">
        <v>38</v>
      </c>
      <c r="M129" s="68" t="s">
        <v>621</v>
      </c>
      <c r="N129" s="66">
        <v>4502001</v>
      </c>
      <c r="O129" s="68" t="s">
        <v>67</v>
      </c>
      <c r="P129" s="66" t="s">
        <v>38</v>
      </c>
      <c r="Q129" s="109" t="s">
        <v>622</v>
      </c>
      <c r="R129" s="66">
        <v>450200100</v>
      </c>
      <c r="S129" s="109" t="s">
        <v>69</v>
      </c>
      <c r="T129" s="72" t="s">
        <v>1449</v>
      </c>
      <c r="U129" s="34">
        <v>30</v>
      </c>
      <c r="V129" s="136" t="s">
        <v>623</v>
      </c>
      <c r="W129" s="67" t="s">
        <v>624</v>
      </c>
      <c r="X129" s="68" t="s">
        <v>625</v>
      </c>
      <c r="Y129" s="123"/>
      <c r="Z129" s="123"/>
      <c r="AA129" s="123"/>
      <c r="AB129" s="123"/>
      <c r="AC129" s="123"/>
      <c r="AD129" s="123"/>
      <c r="AE129" s="123"/>
      <c r="AF129" s="123"/>
      <c r="AG129" s="123"/>
      <c r="AH129" s="123"/>
      <c r="AI129" s="144">
        <v>144287499.97999999</v>
      </c>
      <c r="AJ129" s="123"/>
      <c r="AK129" s="123"/>
      <c r="AL129" s="123"/>
      <c r="AM129" s="91">
        <f t="shared" si="3"/>
        <v>144287499.97999999</v>
      </c>
      <c r="AN129" s="72" t="s">
        <v>1433</v>
      </c>
      <c r="AO129" s="6"/>
    </row>
    <row r="130" spans="1:41" s="1" customFormat="1" ht="130.5" hidden="1" customHeight="1" x14ac:dyDescent="0.2">
      <c r="A130" s="69">
        <v>314</v>
      </c>
      <c r="B130" s="68" t="s">
        <v>1407</v>
      </c>
      <c r="C130" s="66">
        <v>1</v>
      </c>
      <c r="D130" s="68" t="s">
        <v>1396</v>
      </c>
      <c r="E130" s="66">
        <v>22</v>
      </c>
      <c r="F130" s="105" t="s">
        <v>146</v>
      </c>
      <c r="G130" s="66">
        <v>2201</v>
      </c>
      <c r="H130" s="68" t="s">
        <v>264</v>
      </c>
      <c r="I130" s="66">
        <v>2201</v>
      </c>
      <c r="J130" s="68" t="s">
        <v>1369</v>
      </c>
      <c r="K130" s="68" t="s">
        <v>626</v>
      </c>
      <c r="L130" s="66">
        <v>2201030</v>
      </c>
      <c r="M130" s="68" t="s">
        <v>627</v>
      </c>
      <c r="N130" s="66">
        <v>2201030</v>
      </c>
      <c r="O130" s="68" t="s">
        <v>627</v>
      </c>
      <c r="P130" s="145">
        <v>220103000</v>
      </c>
      <c r="Q130" s="68" t="s">
        <v>628</v>
      </c>
      <c r="R130" s="145">
        <v>220103000</v>
      </c>
      <c r="S130" s="68" t="s">
        <v>628</v>
      </c>
      <c r="T130" s="72" t="s">
        <v>1449</v>
      </c>
      <c r="U130" s="34">
        <v>2500</v>
      </c>
      <c r="V130" s="72" t="s">
        <v>629</v>
      </c>
      <c r="W130" s="67" t="s">
        <v>630</v>
      </c>
      <c r="X130" s="68" t="s">
        <v>631</v>
      </c>
      <c r="Y130" s="107"/>
      <c r="Z130" s="107"/>
      <c r="AA130" s="107"/>
      <c r="AB130" s="107"/>
      <c r="AC130" s="107"/>
      <c r="AD130" s="107"/>
      <c r="AE130" s="107">
        <v>1343703729</v>
      </c>
      <c r="AF130" s="107"/>
      <c r="AG130" s="107"/>
      <c r="AH130" s="107"/>
      <c r="AI130" s="111"/>
      <c r="AJ130" s="107"/>
      <c r="AK130" s="107"/>
      <c r="AL130" s="107"/>
      <c r="AM130" s="91">
        <f t="shared" si="3"/>
        <v>1343703729</v>
      </c>
      <c r="AN130" s="81" t="s">
        <v>1434</v>
      </c>
      <c r="AO130" s="6"/>
    </row>
    <row r="131" spans="1:41" s="1" customFormat="1" ht="111.75" hidden="1" customHeight="1" x14ac:dyDescent="0.2">
      <c r="A131" s="69">
        <v>314</v>
      </c>
      <c r="B131" s="68" t="s">
        <v>1407</v>
      </c>
      <c r="C131" s="66">
        <v>1</v>
      </c>
      <c r="D131" s="68" t="s">
        <v>1396</v>
      </c>
      <c r="E131" s="66">
        <v>22</v>
      </c>
      <c r="F131" s="105" t="s">
        <v>146</v>
      </c>
      <c r="G131" s="66">
        <v>2201</v>
      </c>
      <c r="H131" s="68" t="s">
        <v>264</v>
      </c>
      <c r="I131" s="66">
        <v>2201</v>
      </c>
      <c r="J131" s="68" t="s">
        <v>1369</v>
      </c>
      <c r="K131" s="68" t="s">
        <v>632</v>
      </c>
      <c r="L131" s="66">
        <v>2201033</v>
      </c>
      <c r="M131" s="68" t="s">
        <v>633</v>
      </c>
      <c r="N131" s="66">
        <v>2201033</v>
      </c>
      <c r="O131" s="68" t="s">
        <v>633</v>
      </c>
      <c r="P131" s="145">
        <v>220103300</v>
      </c>
      <c r="Q131" s="126" t="s">
        <v>634</v>
      </c>
      <c r="R131" s="145">
        <v>220103300</v>
      </c>
      <c r="S131" s="126" t="s">
        <v>634</v>
      </c>
      <c r="T131" s="72" t="s">
        <v>1451</v>
      </c>
      <c r="U131" s="34">
        <v>9000</v>
      </c>
      <c r="V131" s="72" t="s">
        <v>629</v>
      </c>
      <c r="W131" s="67" t="s">
        <v>630</v>
      </c>
      <c r="X131" s="68" t="s">
        <v>631</v>
      </c>
      <c r="Y131" s="107"/>
      <c r="Z131" s="107"/>
      <c r="AA131" s="107"/>
      <c r="AB131" s="107"/>
      <c r="AC131" s="107"/>
      <c r="AD131" s="107"/>
      <c r="AE131" s="107"/>
      <c r="AF131" s="107"/>
      <c r="AG131" s="107"/>
      <c r="AH131" s="107"/>
      <c r="AI131" s="151">
        <f>18000000</f>
        <v>18000000</v>
      </c>
      <c r="AJ131" s="107"/>
      <c r="AK131" s="107"/>
      <c r="AL131" s="107"/>
      <c r="AM131" s="91">
        <f t="shared" si="3"/>
        <v>18000000</v>
      </c>
      <c r="AN131" s="81" t="s">
        <v>1434</v>
      </c>
      <c r="AO131" s="6"/>
    </row>
    <row r="132" spans="1:41" s="1" customFormat="1" ht="120" hidden="1" customHeight="1" x14ac:dyDescent="0.2">
      <c r="A132" s="69">
        <v>314</v>
      </c>
      <c r="B132" s="68" t="s">
        <v>1407</v>
      </c>
      <c r="C132" s="66">
        <v>1</v>
      </c>
      <c r="D132" s="68" t="s">
        <v>1396</v>
      </c>
      <c r="E132" s="66">
        <v>22</v>
      </c>
      <c r="F132" s="105" t="s">
        <v>146</v>
      </c>
      <c r="G132" s="66">
        <v>2201</v>
      </c>
      <c r="H132" s="68" t="s">
        <v>264</v>
      </c>
      <c r="I132" s="66">
        <v>2201</v>
      </c>
      <c r="J132" s="68" t="s">
        <v>1369</v>
      </c>
      <c r="K132" s="68" t="s">
        <v>635</v>
      </c>
      <c r="L132" s="66">
        <v>2201032</v>
      </c>
      <c r="M132" s="68" t="s">
        <v>636</v>
      </c>
      <c r="N132" s="66">
        <v>2201032</v>
      </c>
      <c r="O132" s="68" t="s">
        <v>636</v>
      </c>
      <c r="P132" s="106">
        <v>220103200</v>
      </c>
      <c r="Q132" s="68" t="s">
        <v>637</v>
      </c>
      <c r="R132" s="106">
        <v>220103200</v>
      </c>
      <c r="S132" s="68" t="s">
        <v>637</v>
      </c>
      <c r="T132" s="72" t="s">
        <v>1451</v>
      </c>
      <c r="U132" s="34">
        <v>200</v>
      </c>
      <c r="V132" s="72" t="s">
        <v>629</v>
      </c>
      <c r="W132" s="67" t="s">
        <v>630</v>
      </c>
      <c r="X132" s="68" t="s">
        <v>631</v>
      </c>
      <c r="Y132" s="107"/>
      <c r="Z132" s="107"/>
      <c r="AA132" s="107"/>
      <c r="AB132" s="107"/>
      <c r="AC132" s="107"/>
      <c r="AD132" s="107"/>
      <c r="AE132" s="107"/>
      <c r="AF132" s="107"/>
      <c r="AG132" s="107"/>
      <c r="AH132" s="107"/>
      <c r="AI132" s="138">
        <f>10000000.01-10000000.01</f>
        <v>0</v>
      </c>
      <c r="AJ132" s="107"/>
      <c r="AK132" s="107"/>
      <c r="AL132" s="107"/>
      <c r="AM132" s="91">
        <f t="shared" si="3"/>
        <v>0</v>
      </c>
      <c r="AN132" s="81" t="s">
        <v>1434</v>
      </c>
      <c r="AO132" s="6"/>
    </row>
    <row r="133" spans="1:41" s="1" customFormat="1" ht="175.5" hidden="1" customHeight="1" x14ac:dyDescent="0.2">
      <c r="A133" s="69">
        <v>314</v>
      </c>
      <c r="B133" s="68" t="s">
        <v>1407</v>
      </c>
      <c r="C133" s="66">
        <v>1</v>
      </c>
      <c r="D133" s="68" t="s">
        <v>1396</v>
      </c>
      <c r="E133" s="66">
        <v>22</v>
      </c>
      <c r="F133" s="105" t="s">
        <v>146</v>
      </c>
      <c r="G133" s="66">
        <v>2201</v>
      </c>
      <c r="H133" s="68" t="s">
        <v>264</v>
      </c>
      <c r="I133" s="66">
        <v>2201</v>
      </c>
      <c r="J133" s="68" t="s">
        <v>1369</v>
      </c>
      <c r="K133" s="68" t="s">
        <v>638</v>
      </c>
      <c r="L133" s="66">
        <v>2201055</v>
      </c>
      <c r="M133" s="68" t="s">
        <v>639</v>
      </c>
      <c r="N133" s="66">
        <v>2201055</v>
      </c>
      <c r="O133" s="68" t="s">
        <v>639</v>
      </c>
      <c r="P133" s="145">
        <v>220105500</v>
      </c>
      <c r="Q133" s="126" t="s">
        <v>640</v>
      </c>
      <c r="R133" s="145">
        <v>220105500</v>
      </c>
      <c r="S133" s="126" t="s">
        <v>640</v>
      </c>
      <c r="T133" s="72" t="s">
        <v>1449</v>
      </c>
      <c r="U133" s="34">
        <v>1</v>
      </c>
      <c r="V133" s="72" t="s">
        <v>629</v>
      </c>
      <c r="W133" s="67" t="s">
        <v>630</v>
      </c>
      <c r="X133" s="68" t="s">
        <v>631</v>
      </c>
      <c r="Y133" s="107"/>
      <c r="Z133" s="107"/>
      <c r="AA133" s="107"/>
      <c r="AB133" s="107"/>
      <c r="AC133" s="107"/>
      <c r="AD133" s="107"/>
      <c r="AE133" s="107">
        <v>48279229</v>
      </c>
      <c r="AF133" s="107"/>
      <c r="AG133" s="107"/>
      <c r="AH133" s="107"/>
      <c r="AI133" s="111">
        <v>0</v>
      </c>
      <c r="AJ133" s="107"/>
      <c r="AK133" s="107"/>
      <c r="AL133" s="107"/>
      <c r="AM133" s="91">
        <f t="shared" si="3"/>
        <v>48279229</v>
      </c>
      <c r="AN133" s="81" t="s">
        <v>1434</v>
      </c>
      <c r="AO133" s="6"/>
    </row>
    <row r="134" spans="1:41" s="1" customFormat="1" ht="144.75" hidden="1" customHeight="1" x14ac:dyDescent="0.2">
      <c r="A134" s="69">
        <v>314</v>
      </c>
      <c r="B134" s="68" t="s">
        <v>1407</v>
      </c>
      <c r="C134" s="66">
        <v>1</v>
      </c>
      <c r="D134" s="68" t="s">
        <v>1396</v>
      </c>
      <c r="E134" s="66">
        <v>22</v>
      </c>
      <c r="F134" s="105" t="s">
        <v>146</v>
      </c>
      <c r="G134" s="66">
        <v>2201</v>
      </c>
      <c r="H134" s="68" t="s">
        <v>264</v>
      </c>
      <c r="I134" s="66">
        <v>2201</v>
      </c>
      <c r="J134" s="68" t="s">
        <v>1369</v>
      </c>
      <c r="K134" s="68" t="s">
        <v>641</v>
      </c>
      <c r="L134" s="66">
        <v>2201067</v>
      </c>
      <c r="M134" s="68" t="s">
        <v>642</v>
      </c>
      <c r="N134" s="66">
        <v>2201067</v>
      </c>
      <c r="O134" s="68" t="s">
        <v>642</v>
      </c>
      <c r="P134" s="106">
        <v>220106700</v>
      </c>
      <c r="Q134" s="68" t="s">
        <v>643</v>
      </c>
      <c r="R134" s="106">
        <v>220106700</v>
      </c>
      <c r="S134" s="68" t="s">
        <v>643</v>
      </c>
      <c r="T134" s="72" t="s">
        <v>1449</v>
      </c>
      <c r="U134" s="34">
        <v>54</v>
      </c>
      <c r="V134" s="72" t="s">
        <v>629</v>
      </c>
      <c r="W134" s="67" t="s">
        <v>630</v>
      </c>
      <c r="X134" s="68" t="s">
        <v>631</v>
      </c>
      <c r="Y134" s="107"/>
      <c r="Z134" s="107"/>
      <c r="AA134" s="107"/>
      <c r="AB134" s="107"/>
      <c r="AC134" s="107"/>
      <c r="AD134" s="107"/>
      <c r="AE134" s="107"/>
      <c r="AF134" s="107"/>
      <c r="AG134" s="107"/>
      <c r="AH134" s="107"/>
      <c r="AI134" s="138">
        <v>10000000.01</v>
      </c>
      <c r="AJ134" s="107"/>
      <c r="AK134" s="107"/>
      <c r="AL134" s="107"/>
      <c r="AM134" s="91">
        <f t="shared" si="3"/>
        <v>10000000.01</v>
      </c>
      <c r="AN134" s="81" t="s">
        <v>1434</v>
      </c>
      <c r="AO134" s="6"/>
    </row>
    <row r="135" spans="1:41" s="1" customFormat="1" ht="112.5" hidden="1" customHeight="1" x14ac:dyDescent="0.2">
      <c r="A135" s="69">
        <v>314</v>
      </c>
      <c r="B135" s="68" t="s">
        <v>1407</v>
      </c>
      <c r="C135" s="66">
        <v>1</v>
      </c>
      <c r="D135" s="68" t="s">
        <v>1396</v>
      </c>
      <c r="E135" s="66">
        <v>22</v>
      </c>
      <c r="F135" s="105" t="s">
        <v>146</v>
      </c>
      <c r="G135" s="66">
        <v>2201</v>
      </c>
      <c r="H135" s="68" t="s">
        <v>264</v>
      </c>
      <c r="I135" s="66">
        <v>2201</v>
      </c>
      <c r="J135" s="68" t="s">
        <v>1369</v>
      </c>
      <c r="K135" s="68" t="s">
        <v>641</v>
      </c>
      <c r="L135" s="66">
        <v>2201028</v>
      </c>
      <c r="M135" s="68" t="s">
        <v>644</v>
      </c>
      <c r="N135" s="66">
        <v>2201028</v>
      </c>
      <c r="O135" s="68" t="s">
        <v>644</v>
      </c>
      <c r="P135" s="145">
        <v>220102801</v>
      </c>
      <c r="Q135" s="68" t="s">
        <v>645</v>
      </c>
      <c r="R135" s="145">
        <v>220102801</v>
      </c>
      <c r="S135" s="68" t="s">
        <v>645</v>
      </c>
      <c r="T135" s="72" t="s">
        <v>1449</v>
      </c>
      <c r="U135" s="34">
        <v>36000</v>
      </c>
      <c r="V135" s="72" t="s">
        <v>629</v>
      </c>
      <c r="W135" s="67" t="s">
        <v>630</v>
      </c>
      <c r="X135" s="68" t="s">
        <v>631</v>
      </c>
      <c r="Y135" s="107"/>
      <c r="Z135" s="107"/>
      <c r="AA135" s="107"/>
      <c r="AB135" s="107"/>
      <c r="AC135" s="107"/>
      <c r="AD135" s="107"/>
      <c r="AE135" s="107"/>
      <c r="AF135" s="152"/>
      <c r="AG135" s="138">
        <v>12544566918.389999</v>
      </c>
      <c r="AH135" s="107"/>
      <c r="AI135" s="138">
        <v>2377000000</v>
      </c>
      <c r="AJ135" s="138">
        <v>62.1</v>
      </c>
      <c r="AK135" s="107"/>
      <c r="AL135" s="107"/>
      <c r="AM135" s="91">
        <f t="shared" si="3"/>
        <v>14921566980.49</v>
      </c>
      <c r="AN135" s="81" t="s">
        <v>1434</v>
      </c>
      <c r="AO135" s="6"/>
    </row>
    <row r="136" spans="1:41" s="1" customFormat="1" ht="165" hidden="1" customHeight="1" x14ac:dyDescent="0.2">
      <c r="A136" s="69">
        <v>314</v>
      </c>
      <c r="B136" s="68" t="s">
        <v>1407</v>
      </c>
      <c r="C136" s="66">
        <v>1</v>
      </c>
      <c r="D136" s="68" t="s">
        <v>1396</v>
      </c>
      <c r="E136" s="66">
        <v>22</v>
      </c>
      <c r="F136" s="105" t="s">
        <v>146</v>
      </c>
      <c r="G136" s="66">
        <v>2201</v>
      </c>
      <c r="H136" s="68" t="s">
        <v>264</v>
      </c>
      <c r="I136" s="66">
        <v>2201</v>
      </c>
      <c r="J136" s="68" t="s">
        <v>1369</v>
      </c>
      <c r="K136" s="68" t="s">
        <v>641</v>
      </c>
      <c r="L136" s="66">
        <v>2201029</v>
      </c>
      <c r="M136" s="68" t="s">
        <v>646</v>
      </c>
      <c r="N136" s="66">
        <v>2201029</v>
      </c>
      <c r="O136" s="68" t="s">
        <v>646</v>
      </c>
      <c r="P136" s="145">
        <v>220102900</v>
      </c>
      <c r="Q136" s="68" t="s">
        <v>647</v>
      </c>
      <c r="R136" s="145">
        <v>220102900</v>
      </c>
      <c r="S136" s="68" t="s">
        <v>647</v>
      </c>
      <c r="T136" s="72" t="s">
        <v>1451</v>
      </c>
      <c r="U136" s="34">
        <v>1000</v>
      </c>
      <c r="V136" s="72" t="s">
        <v>629</v>
      </c>
      <c r="W136" s="67" t="s">
        <v>630</v>
      </c>
      <c r="X136" s="68" t="s">
        <v>631</v>
      </c>
      <c r="Y136" s="107"/>
      <c r="Z136" s="107"/>
      <c r="AA136" s="107"/>
      <c r="AB136" s="107"/>
      <c r="AC136" s="107"/>
      <c r="AD136" s="107"/>
      <c r="AE136" s="107"/>
      <c r="AF136" s="107"/>
      <c r="AG136" s="107"/>
      <c r="AH136" s="107"/>
      <c r="AI136" s="179">
        <v>95316290.020000011</v>
      </c>
      <c r="AJ136" s="107"/>
      <c r="AK136" s="107"/>
      <c r="AL136" s="107"/>
      <c r="AM136" s="91">
        <f t="shared" si="3"/>
        <v>95316290.020000011</v>
      </c>
      <c r="AN136" s="81" t="s">
        <v>1434</v>
      </c>
      <c r="AO136" s="6"/>
    </row>
    <row r="137" spans="1:41" s="1" customFormat="1" ht="138.75" hidden="1" customHeight="1" x14ac:dyDescent="0.2">
      <c r="A137" s="69">
        <v>314</v>
      </c>
      <c r="B137" s="68" t="s">
        <v>1407</v>
      </c>
      <c r="C137" s="66">
        <v>1</v>
      </c>
      <c r="D137" s="68" t="s">
        <v>1396</v>
      </c>
      <c r="E137" s="66">
        <v>22</v>
      </c>
      <c r="F137" s="105" t="s">
        <v>146</v>
      </c>
      <c r="G137" s="66">
        <v>2201</v>
      </c>
      <c r="H137" s="68" t="s">
        <v>264</v>
      </c>
      <c r="I137" s="66">
        <v>2201</v>
      </c>
      <c r="J137" s="68" t="s">
        <v>1369</v>
      </c>
      <c r="K137" s="68" t="s">
        <v>147</v>
      </c>
      <c r="L137" s="66" t="s">
        <v>38</v>
      </c>
      <c r="M137" s="68" t="s">
        <v>648</v>
      </c>
      <c r="N137" s="66">
        <v>2201062</v>
      </c>
      <c r="O137" s="68" t="s">
        <v>149</v>
      </c>
      <c r="P137" s="66" t="s">
        <v>38</v>
      </c>
      <c r="Q137" s="68" t="s">
        <v>150</v>
      </c>
      <c r="R137" s="66">
        <v>220106200</v>
      </c>
      <c r="S137" s="68" t="s">
        <v>649</v>
      </c>
      <c r="T137" s="72" t="s">
        <v>1451</v>
      </c>
      <c r="U137" s="66">
        <v>15</v>
      </c>
      <c r="V137" s="72" t="s">
        <v>629</v>
      </c>
      <c r="W137" s="67" t="s">
        <v>630</v>
      </c>
      <c r="X137" s="68" t="s">
        <v>631</v>
      </c>
      <c r="Y137" s="107"/>
      <c r="Z137" s="107"/>
      <c r="AA137" s="107"/>
      <c r="AB137" s="107"/>
      <c r="AC137" s="107"/>
      <c r="AD137" s="107"/>
      <c r="AE137" s="107"/>
      <c r="AF137" s="107"/>
      <c r="AG137" s="107"/>
      <c r="AH137" s="107"/>
      <c r="AI137" s="111">
        <v>109520000</v>
      </c>
      <c r="AJ137" s="107"/>
      <c r="AK137" s="107"/>
      <c r="AL137" s="107"/>
      <c r="AM137" s="91">
        <f t="shared" si="3"/>
        <v>109520000</v>
      </c>
      <c r="AN137" s="81" t="s">
        <v>1434</v>
      </c>
      <c r="AO137" s="6"/>
    </row>
    <row r="138" spans="1:41" s="1" customFormat="1" ht="111.75" hidden="1" customHeight="1" x14ac:dyDescent="0.2">
      <c r="A138" s="69">
        <v>314</v>
      </c>
      <c r="B138" s="68" t="s">
        <v>1407</v>
      </c>
      <c r="C138" s="66">
        <v>1</v>
      </c>
      <c r="D138" s="68" t="s">
        <v>1396</v>
      </c>
      <c r="E138" s="66">
        <v>22</v>
      </c>
      <c r="F138" s="105" t="s">
        <v>146</v>
      </c>
      <c r="G138" s="66">
        <v>2201</v>
      </c>
      <c r="H138" s="68" t="s">
        <v>264</v>
      </c>
      <c r="I138" s="66">
        <v>2201</v>
      </c>
      <c r="J138" s="68" t="s">
        <v>1369</v>
      </c>
      <c r="K138" s="68" t="s">
        <v>650</v>
      </c>
      <c r="L138" s="66">
        <v>2201063</v>
      </c>
      <c r="M138" s="68" t="s">
        <v>651</v>
      </c>
      <c r="N138" s="66">
        <v>2201063</v>
      </c>
      <c r="O138" s="68" t="s">
        <v>651</v>
      </c>
      <c r="P138" s="106">
        <v>220106300</v>
      </c>
      <c r="Q138" s="68" t="s">
        <v>652</v>
      </c>
      <c r="R138" s="106">
        <v>220106300</v>
      </c>
      <c r="S138" s="68" t="s">
        <v>652</v>
      </c>
      <c r="T138" s="72" t="s">
        <v>1451</v>
      </c>
      <c r="U138" s="34">
        <v>2</v>
      </c>
      <c r="V138" s="72" t="s">
        <v>629</v>
      </c>
      <c r="W138" s="67" t="s">
        <v>630</v>
      </c>
      <c r="X138" s="68" t="s">
        <v>631</v>
      </c>
      <c r="Y138" s="107"/>
      <c r="Z138" s="107"/>
      <c r="AA138" s="107"/>
      <c r="AB138" s="107"/>
      <c r="AC138" s="107"/>
      <c r="AD138" s="107"/>
      <c r="AE138" s="107"/>
      <c r="AF138" s="107"/>
      <c r="AG138" s="107"/>
      <c r="AH138" s="107"/>
      <c r="AI138" s="138">
        <f>30000000-30000000</f>
        <v>0</v>
      </c>
      <c r="AJ138" s="107"/>
      <c r="AK138" s="107"/>
      <c r="AL138" s="107"/>
      <c r="AM138" s="91">
        <f t="shared" si="3"/>
        <v>0</v>
      </c>
      <c r="AN138" s="81" t="s">
        <v>1434</v>
      </c>
      <c r="AO138" s="6"/>
    </row>
    <row r="139" spans="1:41" s="1" customFormat="1" ht="110.25" hidden="1" customHeight="1" x14ac:dyDescent="0.2">
      <c r="A139" s="69">
        <v>314</v>
      </c>
      <c r="B139" s="68" t="s">
        <v>1407</v>
      </c>
      <c r="C139" s="66">
        <v>1</v>
      </c>
      <c r="D139" s="68" t="s">
        <v>1396</v>
      </c>
      <c r="E139" s="66">
        <v>22</v>
      </c>
      <c r="F139" s="105" t="s">
        <v>146</v>
      </c>
      <c r="G139" s="66">
        <v>2201</v>
      </c>
      <c r="H139" s="68" t="s">
        <v>264</v>
      </c>
      <c r="I139" s="66">
        <v>2201</v>
      </c>
      <c r="J139" s="68" t="s">
        <v>1369</v>
      </c>
      <c r="K139" s="68" t="s">
        <v>650</v>
      </c>
      <c r="L139" s="66">
        <v>2201069</v>
      </c>
      <c r="M139" s="68" t="s">
        <v>653</v>
      </c>
      <c r="N139" s="66">
        <v>2201069</v>
      </c>
      <c r="O139" s="68" t="s">
        <v>653</v>
      </c>
      <c r="P139" s="106">
        <v>220106900</v>
      </c>
      <c r="Q139" s="67" t="s">
        <v>654</v>
      </c>
      <c r="R139" s="106">
        <v>220106900</v>
      </c>
      <c r="S139" s="67" t="s">
        <v>654</v>
      </c>
      <c r="T139" s="72" t="s">
        <v>1451</v>
      </c>
      <c r="U139" s="34">
        <v>3</v>
      </c>
      <c r="V139" s="72" t="s">
        <v>629</v>
      </c>
      <c r="W139" s="67" t="s">
        <v>630</v>
      </c>
      <c r="X139" s="68" t="s">
        <v>631</v>
      </c>
      <c r="Y139" s="107"/>
      <c r="Z139" s="107"/>
      <c r="AA139" s="107"/>
      <c r="AB139" s="107"/>
      <c r="AC139" s="107"/>
      <c r="AD139" s="107"/>
      <c r="AE139" s="107">
        <v>3286467.8</v>
      </c>
      <c r="AF139" s="107"/>
      <c r="AG139" s="107"/>
      <c r="AH139" s="107"/>
      <c r="AI139" s="138">
        <v>20000000</v>
      </c>
      <c r="AJ139" s="107"/>
      <c r="AK139" s="107"/>
      <c r="AL139" s="107"/>
      <c r="AM139" s="91">
        <f t="shared" si="3"/>
        <v>23286467.800000001</v>
      </c>
      <c r="AN139" s="81" t="s">
        <v>1434</v>
      </c>
      <c r="AO139" s="6"/>
    </row>
    <row r="140" spans="1:41" s="1" customFormat="1" ht="138" hidden="1" customHeight="1" x14ac:dyDescent="0.2">
      <c r="A140" s="69">
        <v>314</v>
      </c>
      <c r="B140" s="68" t="s">
        <v>1407</v>
      </c>
      <c r="C140" s="66">
        <v>1</v>
      </c>
      <c r="D140" s="68" t="s">
        <v>1396</v>
      </c>
      <c r="E140" s="66">
        <v>22</v>
      </c>
      <c r="F140" s="105" t="s">
        <v>146</v>
      </c>
      <c r="G140" s="66">
        <v>2201</v>
      </c>
      <c r="H140" s="68" t="s">
        <v>264</v>
      </c>
      <c r="I140" s="66">
        <v>2201</v>
      </c>
      <c r="J140" s="68" t="s">
        <v>1369</v>
      </c>
      <c r="K140" s="68" t="s">
        <v>655</v>
      </c>
      <c r="L140" s="66">
        <v>2201018</v>
      </c>
      <c r="M140" s="68" t="s">
        <v>656</v>
      </c>
      <c r="N140" s="66">
        <v>2201018</v>
      </c>
      <c r="O140" s="68" t="s">
        <v>656</v>
      </c>
      <c r="P140" s="106">
        <v>220101802</v>
      </c>
      <c r="Q140" s="68" t="s">
        <v>657</v>
      </c>
      <c r="R140" s="106">
        <v>220101802</v>
      </c>
      <c r="S140" s="68" t="s">
        <v>657</v>
      </c>
      <c r="T140" s="72" t="s">
        <v>1449</v>
      </c>
      <c r="U140" s="34">
        <v>1</v>
      </c>
      <c r="V140" s="72" t="s">
        <v>658</v>
      </c>
      <c r="W140" s="67" t="s">
        <v>659</v>
      </c>
      <c r="X140" s="68" t="s">
        <v>660</v>
      </c>
      <c r="Y140" s="107"/>
      <c r="Z140" s="107"/>
      <c r="AA140" s="107"/>
      <c r="AB140" s="107"/>
      <c r="AC140" s="107"/>
      <c r="AD140" s="107"/>
      <c r="AE140" s="107"/>
      <c r="AF140" s="107"/>
      <c r="AG140" s="107"/>
      <c r="AH140" s="107"/>
      <c r="AI140" s="138">
        <f>6000000-6000000</f>
        <v>0</v>
      </c>
      <c r="AJ140" s="107"/>
      <c r="AK140" s="107"/>
      <c r="AL140" s="107"/>
      <c r="AM140" s="91">
        <f t="shared" si="3"/>
        <v>0</v>
      </c>
      <c r="AN140" s="81" t="s">
        <v>1434</v>
      </c>
      <c r="AO140" s="6"/>
    </row>
    <row r="141" spans="1:41" s="1" customFormat="1" ht="115.5" hidden="1" customHeight="1" x14ac:dyDescent="0.2">
      <c r="A141" s="69">
        <v>314</v>
      </c>
      <c r="B141" s="68" t="s">
        <v>1407</v>
      </c>
      <c r="C141" s="66">
        <v>1</v>
      </c>
      <c r="D141" s="68" t="s">
        <v>1396</v>
      </c>
      <c r="E141" s="66">
        <v>22</v>
      </c>
      <c r="F141" s="105" t="s">
        <v>146</v>
      </c>
      <c r="G141" s="66">
        <v>2201</v>
      </c>
      <c r="H141" s="68" t="s">
        <v>264</v>
      </c>
      <c r="I141" s="66">
        <v>2201</v>
      </c>
      <c r="J141" s="68" t="s">
        <v>1369</v>
      </c>
      <c r="K141" s="68" t="s">
        <v>661</v>
      </c>
      <c r="L141" s="66">
        <v>2201037</v>
      </c>
      <c r="M141" s="68" t="s">
        <v>662</v>
      </c>
      <c r="N141" s="66">
        <v>2201037</v>
      </c>
      <c r="O141" s="68" t="s">
        <v>662</v>
      </c>
      <c r="P141" s="145">
        <v>220103700</v>
      </c>
      <c r="Q141" s="126" t="s">
        <v>663</v>
      </c>
      <c r="R141" s="145">
        <v>220103700</v>
      </c>
      <c r="S141" s="126" t="s">
        <v>663</v>
      </c>
      <c r="T141" s="72" t="s">
        <v>1449</v>
      </c>
      <c r="U141" s="34">
        <v>54</v>
      </c>
      <c r="V141" s="72" t="s">
        <v>658</v>
      </c>
      <c r="W141" s="67" t="s">
        <v>659</v>
      </c>
      <c r="X141" s="68" t="s">
        <v>660</v>
      </c>
      <c r="Y141" s="107"/>
      <c r="Z141" s="107"/>
      <c r="AA141" s="107"/>
      <c r="AB141" s="107"/>
      <c r="AC141" s="107"/>
      <c r="AD141" s="107"/>
      <c r="AE141" s="107"/>
      <c r="AF141" s="107"/>
      <c r="AG141" s="107"/>
      <c r="AH141" s="107"/>
      <c r="AI141" s="138">
        <v>10000000</v>
      </c>
      <c r="AJ141" s="107"/>
      <c r="AK141" s="107"/>
      <c r="AL141" s="107"/>
      <c r="AM141" s="91">
        <f t="shared" si="3"/>
        <v>10000000</v>
      </c>
      <c r="AN141" s="81" t="s">
        <v>1434</v>
      </c>
      <c r="AO141" s="6"/>
    </row>
    <row r="142" spans="1:41" s="1" customFormat="1" ht="218.25" hidden="1" customHeight="1" x14ac:dyDescent="0.2">
      <c r="A142" s="69">
        <v>314</v>
      </c>
      <c r="B142" s="68" t="s">
        <v>1407</v>
      </c>
      <c r="C142" s="66">
        <v>1</v>
      </c>
      <c r="D142" s="68" t="s">
        <v>1396</v>
      </c>
      <c r="E142" s="66">
        <v>22</v>
      </c>
      <c r="F142" s="105" t="s">
        <v>146</v>
      </c>
      <c r="G142" s="66">
        <v>2201</v>
      </c>
      <c r="H142" s="68" t="s">
        <v>264</v>
      </c>
      <c r="I142" s="66">
        <v>2201</v>
      </c>
      <c r="J142" s="68" t="s">
        <v>1369</v>
      </c>
      <c r="K142" s="68" t="s">
        <v>664</v>
      </c>
      <c r="L142" s="66">
        <v>2201007</v>
      </c>
      <c r="M142" s="68" t="s">
        <v>665</v>
      </c>
      <c r="N142" s="66">
        <v>2201073</v>
      </c>
      <c r="O142" s="68" t="s">
        <v>665</v>
      </c>
      <c r="P142" s="66">
        <v>220100700</v>
      </c>
      <c r="Q142" s="68" t="s">
        <v>666</v>
      </c>
      <c r="R142" s="106">
        <v>220107300</v>
      </c>
      <c r="S142" s="68" t="s">
        <v>666</v>
      </c>
      <c r="T142" s="72" t="s">
        <v>1451</v>
      </c>
      <c r="U142" s="34">
        <v>7774</v>
      </c>
      <c r="V142" s="72" t="s">
        <v>667</v>
      </c>
      <c r="W142" s="67" t="s">
        <v>668</v>
      </c>
      <c r="X142" s="68" t="s">
        <v>669</v>
      </c>
      <c r="Y142" s="107"/>
      <c r="Z142" s="107"/>
      <c r="AA142" s="107"/>
      <c r="AB142" s="107"/>
      <c r="AC142" s="107"/>
      <c r="AD142" s="107"/>
      <c r="AE142" s="107">
        <v>13838656.48</v>
      </c>
      <c r="AF142" s="107"/>
      <c r="AG142" s="107"/>
      <c r="AH142" s="107"/>
      <c r="AI142" s="138">
        <v>19999999.989999998</v>
      </c>
      <c r="AJ142" s="107"/>
      <c r="AK142" s="107"/>
      <c r="AL142" s="107"/>
      <c r="AM142" s="91">
        <f t="shared" si="3"/>
        <v>33838656.469999999</v>
      </c>
      <c r="AN142" s="81" t="s">
        <v>1434</v>
      </c>
      <c r="AO142" s="6"/>
    </row>
    <row r="143" spans="1:41" s="1" customFormat="1" ht="138.75" hidden="1" customHeight="1" x14ac:dyDescent="0.2">
      <c r="A143" s="69">
        <v>314</v>
      </c>
      <c r="B143" s="68" t="s">
        <v>1407</v>
      </c>
      <c r="C143" s="66">
        <v>1</v>
      </c>
      <c r="D143" s="68" t="s">
        <v>1396</v>
      </c>
      <c r="E143" s="66">
        <v>22</v>
      </c>
      <c r="F143" s="105" t="s">
        <v>146</v>
      </c>
      <c r="G143" s="66">
        <v>2201</v>
      </c>
      <c r="H143" s="68" t="s">
        <v>264</v>
      </c>
      <c r="I143" s="66">
        <v>2201</v>
      </c>
      <c r="J143" s="68" t="s">
        <v>1369</v>
      </c>
      <c r="K143" s="68" t="s">
        <v>670</v>
      </c>
      <c r="L143" s="66">
        <v>2201068</v>
      </c>
      <c r="M143" s="68" t="s">
        <v>266</v>
      </c>
      <c r="N143" s="66">
        <v>2201068</v>
      </c>
      <c r="O143" s="68" t="s">
        <v>266</v>
      </c>
      <c r="P143" s="145">
        <v>220106800</v>
      </c>
      <c r="Q143" s="126" t="s">
        <v>267</v>
      </c>
      <c r="R143" s="145">
        <v>220106800</v>
      </c>
      <c r="S143" s="126" t="s">
        <v>267</v>
      </c>
      <c r="T143" s="72" t="s">
        <v>1451</v>
      </c>
      <c r="U143" s="66">
        <v>70</v>
      </c>
      <c r="V143" s="72" t="s">
        <v>667</v>
      </c>
      <c r="W143" s="67" t="s">
        <v>668</v>
      </c>
      <c r="X143" s="68" t="s">
        <v>669</v>
      </c>
      <c r="Y143" s="107"/>
      <c r="Z143" s="107"/>
      <c r="AA143" s="107">
        <v>0</v>
      </c>
      <c r="AB143" s="107">
        <v>0</v>
      </c>
      <c r="AC143" s="107">
        <v>0</v>
      </c>
      <c r="AD143" s="107">
        <v>0</v>
      </c>
      <c r="AE143" s="107">
        <v>0</v>
      </c>
      <c r="AF143" s="107">
        <v>0</v>
      </c>
      <c r="AG143" s="107">
        <v>0</v>
      </c>
      <c r="AH143" s="107">
        <v>0</v>
      </c>
      <c r="AI143" s="111">
        <v>18000000</v>
      </c>
      <c r="AJ143" s="107">
        <v>0</v>
      </c>
      <c r="AK143" s="107">
        <v>0</v>
      </c>
      <c r="AL143" s="107"/>
      <c r="AM143" s="91">
        <f t="shared" si="3"/>
        <v>18000000</v>
      </c>
      <c r="AN143" s="81" t="s">
        <v>1434</v>
      </c>
      <c r="AO143" s="6"/>
    </row>
    <row r="144" spans="1:41" s="1" customFormat="1" ht="74.25" hidden="1" customHeight="1" x14ac:dyDescent="0.2">
      <c r="A144" s="69">
        <v>314</v>
      </c>
      <c r="B144" s="68" t="s">
        <v>1407</v>
      </c>
      <c r="C144" s="66">
        <v>1</v>
      </c>
      <c r="D144" s="68" t="s">
        <v>1396</v>
      </c>
      <c r="E144" s="66">
        <v>22</v>
      </c>
      <c r="F144" s="105" t="s">
        <v>146</v>
      </c>
      <c r="G144" s="66">
        <v>2201</v>
      </c>
      <c r="H144" s="68" t="s">
        <v>264</v>
      </c>
      <c r="I144" s="66">
        <v>2201</v>
      </c>
      <c r="J144" s="68" t="s">
        <v>1369</v>
      </c>
      <c r="K144" s="68" t="s">
        <v>650</v>
      </c>
      <c r="L144" s="66">
        <v>2201026</v>
      </c>
      <c r="M144" s="68" t="s">
        <v>671</v>
      </c>
      <c r="N144" s="66">
        <v>2201026</v>
      </c>
      <c r="O144" s="68" t="s">
        <v>671</v>
      </c>
      <c r="P144" s="145">
        <v>220102600</v>
      </c>
      <c r="Q144" s="68" t="s">
        <v>672</v>
      </c>
      <c r="R144" s="145">
        <v>220102600</v>
      </c>
      <c r="S144" s="68" t="s">
        <v>672</v>
      </c>
      <c r="T144" s="72" t="s">
        <v>1451</v>
      </c>
      <c r="U144" s="34">
        <v>17</v>
      </c>
      <c r="V144" s="72" t="s">
        <v>667</v>
      </c>
      <c r="W144" s="67" t="s">
        <v>668</v>
      </c>
      <c r="X144" s="68" t="s">
        <v>669</v>
      </c>
      <c r="Y144" s="107"/>
      <c r="Z144" s="107"/>
      <c r="AA144" s="107"/>
      <c r="AB144" s="107"/>
      <c r="AC144" s="107"/>
      <c r="AD144" s="107"/>
      <c r="AE144" s="107">
        <v>1594997</v>
      </c>
      <c r="AF144" s="107"/>
      <c r="AG144" s="107"/>
      <c r="AH144" s="107"/>
      <c r="AI144" s="111">
        <v>18000000</v>
      </c>
      <c r="AJ144" s="107"/>
      <c r="AK144" s="107"/>
      <c r="AL144" s="107"/>
      <c r="AM144" s="91">
        <f t="shared" si="3"/>
        <v>19594997</v>
      </c>
      <c r="AN144" s="81" t="s">
        <v>1434</v>
      </c>
      <c r="AO144" s="6"/>
    </row>
    <row r="145" spans="1:41" s="1" customFormat="1" ht="116.25" hidden="1" customHeight="1" x14ac:dyDescent="0.2">
      <c r="A145" s="69">
        <v>314</v>
      </c>
      <c r="B145" s="68" t="s">
        <v>1407</v>
      </c>
      <c r="C145" s="66">
        <v>1</v>
      </c>
      <c r="D145" s="68" t="s">
        <v>1396</v>
      </c>
      <c r="E145" s="66">
        <v>22</v>
      </c>
      <c r="F145" s="105" t="s">
        <v>146</v>
      </c>
      <c r="G145" s="66">
        <v>2201</v>
      </c>
      <c r="H145" s="68" t="s">
        <v>264</v>
      </c>
      <c r="I145" s="66">
        <v>2201</v>
      </c>
      <c r="J145" s="68" t="s">
        <v>1369</v>
      </c>
      <c r="K145" s="68" t="s">
        <v>664</v>
      </c>
      <c r="L145" s="66">
        <v>2201009</v>
      </c>
      <c r="M145" s="68" t="s">
        <v>673</v>
      </c>
      <c r="N145" s="66">
        <v>2201074</v>
      </c>
      <c r="O145" s="68" t="s">
        <v>673</v>
      </c>
      <c r="P145" s="66">
        <v>220100900</v>
      </c>
      <c r="Q145" s="68" t="s">
        <v>674</v>
      </c>
      <c r="R145" s="106">
        <v>220107400</v>
      </c>
      <c r="S145" s="68" t="s">
        <v>675</v>
      </c>
      <c r="T145" s="72" t="s">
        <v>1451</v>
      </c>
      <c r="U145" s="34">
        <v>606</v>
      </c>
      <c r="V145" s="72" t="s">
        <v>667</v>
      </c>
      <c r="W145" s="67" t="s">
        <v>668</v>
      </c>
      <c r="X145" s="68" t="s">
        <v>669</v>
      </c>
      <c r="Y145" s="107"/>
      <c r="Z145" s="107"/>
      <c r="AA145" s="107"/>
      <c r="AB145" s="107"/>
      <c r="AC145" s="107"/>
      <c r="AD145" s="107"/>
      <c r="AE145" s="107"/>
      <c r="AF145" s="107"/>
      <c r="AG145" s="107"/>
      <c r="AH145" s="107"/>
      <c r="AI145" s="138">
        <v>19999999.989999998</v>
      </c>
      <c r="AJ145" s="107"/>
      <c r="AK145" s="107"/>
      <c r="AL145" s="107"/>
      <c r="AM145" s="91">
        <f t="shared" si="3"/>
        <v>19999999.989999998</v>
      </c>
      <c r="AN145" s="81" t="s">
        <v>1434</v>
      </c>
      <c r="AO145" s="6"/>
    </row>
    <row r="146" spans="1:41" s="1" customFormat="1" ht="162.75" hidden="1" customHeight="1" x14ac:dyDescent="0.2">
      <c r="A146" s="69">
        <v>314</v>
      </c>
      <c r="B146" s="68" t="s">
        <v>1407</v>
      </c>
      <c r="C146" s="66">
        <v>1</v>
      </c>
      <c r="D146" s="68" t="s">
        <v>1396</v>
      </c>
      <c r="E146" s="66">
        <v>22</v>
      </c>
      <c r="F146" s="105" t="s">
        <v>146</v>
      </c>
      <c r="G146" s="66">
        <v>2201</v>
      </c>
      <c r="H146" s="68" t="s">
        <v>264</v>
      </c>
      <c r="I146" s="66">
        <v>2201</v>
      </c>
      <c r="J146" s="68" t="s">
        <v>1369</v>
      </c>
      <c r="K146" s="68" t="s">
        <v>664</v>
      </c>
      <c r="L146" s="66">
        <v>2201010</v>
      </c>
      <c r="M146" s="68" t="s">
        <v>676</v>
      </c>
      <c r="N146" s="66">
        <v>2201074</v>
      </c>
      <c r="O146" s="68" t="s">
        <v>677</v>
      </c>
      <c r="P146" s="66">
        <v>220101000</v>
      </c>
      <c r="Q146" s="68" t="s">
        <v>678</v>
      </c>
      <c r="R146" s="106">
        <v>220107400</v>
      </c>
      <c r="S146" s="68" t="s">
        <v>675</v>
      </c>
      <c r="T146" s="72" t="s">
        <v>1449</v>
      </c>
      <c r="U146" s="34">
        <v>94</v>
      </c>
      <c r="V146" s="72" t="s">
        <v>667</v>
      </c>
      <c r="W146" s="67" t="s">
        <v>668</v>
      </c>
      <c r="X146" s="68" t="s">
        <v>669</v>
      </c>
      <c r="Y146" s="107"/>
      <c r="Z146" s="107"/>
      <c r="AA146" s="107"/>
      <c r="AB146" s="107"/>
      <c r="AC146" s="107"/>
      <c r="AD146" s="107"/>
      <c r="AE146" s="107"/>
      <c r="AF146" s="107"/>
      <c r="AG146" s="107"/>
      <c r="AH146" s="107"/>
      <c r="AI146" s="138">
        <v>20000000</v>
      </c>
      <c r="AJ146" s="107"/>
      <c r="AK146" s="107"/>
      <c r="AL146" s="107"/>
      <c r="AM146" s="91">
        <f t="shared" si="3"/>
        <v>20000000</v>
      </c>
      <c r="AN146" s="81" t="s">
        <v>1434</v>
      </c>
      <c r="AO146" s="6"/>
    </row>
    <row r="147" spans="1:41" s="1" customFormat="1" ht="129.75" hidden="1" customHeight="1" x14ac:dyDescent="0.2">
      <c r="A147" s="69">
        <v>314</v>
      </c>
      <c r="B147" s="68" t="s">
        <v>1407</v>
      </c>
      <c r="C147" s="66">
        <v>1</v>
      </c>
      <c r="D147" s="68" t="s">
        <v>1396</v>
      </c>
      <c r="E147" s="66">
        <v>22</v>
      </c>
      <c r="F147" s="105" t="s">
        <v>146</v>
      </c>
      <c r="G147" s="66">
        <v>2201</v>
      </c>
      <c r="H147" s="68" t="s">
        <v>264</v>
      </c>
      <c r="I147" s="66">
        <v>2201</v>
      </c>
      <c r="J147" s="68" t="s">
        <v>1369</v>
      </c>
      <c r="K147" s="68" t="s">
        <v>679</v>
      </c>
      <c r="L147" s="66">
        <v>2201035</v>
      </c>
      <c r="M147" s="68" t="s">
        <v>680</v>
      </c>
      <c r="N147" s="66">
        <v>2201035</v>
      </c>
      <c r="O147" s="68" t="s">
        <v>680</v>
      </c>
      <c r="P147" s="106">
        <v>220103500</v>
      </c>
      <c r="Q147" s="68" t="s">
        <v>681</v>
      </c>
      <c r="R147" s="106">
        <v>220103500</v>
      </c>
      <c r="S147" s="67" t="s">
        <v>681</v>
      </c>
      <c r="T147" s="72" t="s">
        <v>1451</v>
      </c>
      <c r="U147" s="34">
        <v>8</v>
      </c>
      <c r="V147" s="72" t="s">
        <v>667</v>
      </c>
      <c r="W147" s="67" t="s">
        <v>668</v>
      </c>
      <c r="X147" s="68" t="s">
        <v>669</v>
      </c>
      <c r="Y147" s="107"/>
      <c r="Z147" s="107"/>
      <c r="AA147" s="107"/>
      <c r="AB147" s="107"/>
      <c r="AC147" s="107"/>
      <c r="AD147" s="107"/>
      <c r="AE147" s="107"/>
      <c r="AF147" s="107"/>
      <c r="AG147" s="107"/>
      <c r="AH147" s="107"/>
      <c r="AI147" s="138">
        <v>10000000</v>
      </c>
      <c r="AJ147" s="107"/>
      <c r="AK147" s="107"/>
      <c r="AL147" s="107"/>
      <c r="AM147" s="91">
        <f t="shared" si="3"/>
        <v>10000000</v>
      </c>
      <c r="AN147" s="81" t="s">
        <v>1434</v>
      </c>
      <c r="AO147" s="6"/>
    </row>
    <row r="148" spans="1:41" s="1" customFormat="1" ht="121.5" hidden="1" customHeight="1" x14ac:dyDescent="0.2">
      <c r="A148" s="69">
        <v>314</v>
      </c>
      <c r="B148" s="68" t="s">
        <v>1407</v>
      </c>
      <c r="C148" s="66">
        <v>1</v>
      </c>
      <c r="D148" s="68" t="s">
        <v>1396</v>
      </c>
      <c r="E148" s="66">
        <v>22</v>
      </c>
      <c r="F148" s="105" t="s">
        <v>146</v>
      </c>
      <c r="G148" s="66">
        <v>2201</v>
      </c>
      <c r="H148" s="68" t="s">
        <v>264</v>
      </c>
      <c r="I148" s="66">
        <v>2201</v>
      </c>
      <c r="J148" s="68" t="s">
        <v>1369</v>
      </c>
      <c r="K148" s="68" t="s">
        <v>641</v>
      </c>
      <c r="L148" s="66">
        <v>2201046</v>
      </c>
      <c r="M148" s="68" t="s">
        <v>682</v>
      </c>
      <c r="N148" s="66">
        <v>2201046</v>
      </c>
      <c r="O148" s="68" t="s">
        <v>682</v>
      </c>
      <c r="P148" s="145">
        <v>220104602</v>
      </c>
      <c r="Q148" s="68" t="s">
        <v>683</v>
      </c>
      <c r="R148" s="145">
        <v>220104602</v>
      </c>
      <c r="S148" s="68" t="s">
        <v>683</v>
      </c>
      <c r="T148" s="72" t="s">
        <v>1451</v>
      </c>
      <c r="U148" s="34">
        <v>13</v>
      </c>
      <c r="V148" s="72" t="s">
        <v>667</v>
      </c>
      <c r="W148" s="67" t="s">
        <v>668</v>
      </c>
      <c r="X148" s="68" t="s">
        <v>669</v>
      </c>
      <c r="Y148" s="107"/>
      <c r="Z148" s="107"/>
      <c r="AA148" s="107"/>
      <c r="AB148" s="91"/>
      <c r="AC148" s="107"/>
      <c r="AD148" s="107"/>
      <c r="AE148" s="107"/>
      <c r="AF148" s="107"/>
      <c r="AG148" s="107"/>
      <c r="AH148" s="107"/>
      <c r="AI148" s="111">
        <v>10000000.01</v>
      </c>
      <c r="AJ148" s="107"/>
      <c r="AK148" s="107"/>
      <c r="AL148" s="107"/>
      <c r="AM148" s="91">
        <f t="shared" si="3"/>
        <v>10000000.01</v>
      </c>
      <c r="AN148" s="81" t="s">
        <v>1434</v>
      </c>
      <c r="AO148" s="6"/>
    </row>
    <row r="149" spans="1:41" s="1" customFormat="1" ht="131.25" hidden="1" customHeight="1" x14ac:dyDescent="0.2">
      <c r="A149" s="69">
        <v>314</v>
      </c>
      <c r="B149" s="68" t="s">
        <v>1407</v>
      </c>
      <c r="C149" s="66">
        <v>1</v>
      </c>
      <c r="D149" s="68" t="s">
        <v>1396</v>
      </c>
      <c r="E149" s="66">
        <v>22</v>
      </c>
      <c r="F149" s="105" t="s">
        <v>146</v>
      </c>
      <c r="G149" s="66">
        <v>2201</v>
      </c>
      <c r="H149" s="68" t="s">
        <v>264</v>
      </c>
      <c r="I149" s="66">
        <v>2201</v>
      </c>
      <c r="J149" s="68" t="s">
        <v>1369</v>
      </c>
      <c r="K149" s="68" t="s">
        <v>641</v>
      </c>
      <c r="L149" s="66">
        <v>2201054</v>
      </c>
      <c r="M149" s="68" t="s">
        <v>684</v>
      </c>
      <c r="N149" s="66">
        <v>2201054</v>
      </c>
      <c r="O149" s="68" t="s">
        <v>684</v>
      </c>
      <c r="P149" s="106">
        <v>220105400</v>
      </c>
      <c r="Q149" s="68" t="s">
        <v>685</v>
      </c>
      <c r="R149" s="106">
        <v>220105400</v>
      </c>
      <c r="S149" s="68" t="s">
        <v>685</v>
      </c>
      <c r="T149" s="72" t="s">
        <v>1449</v>
      </c>
      <c r="U149" s="34">
        <v>11</v>
      </c>
      <c r="V149" s="72" t="s">
        <v>667</v>
      </c>
      <c r="W149" s="67" t="s">
        <v>668</v>
      </c>
      <c r="X149" s="68" t="s">
        <v>669</v>
      </c>
      <c r="Y149" s="107"/>
      <c r="Z149" s="107"/>
      <c r="AA149" s="107"/>
      <c r="AB149" s="107"/>
      <c r="AC149" s="107"/>
      <c r="AD149" s="107"/>
      <c r="AE149" s="107"/>
      <c r="AF149" s="107"/>
      <c r="AG149" s="107"/>
      <c r="AH149" s="107"/>
      <c r="AI149" s="138">
        <v>10000000.01</v>
      </c>
      <c r="AJ149" s="107"/>
      <c r="AK149" s="107"/>
      <c r="AL149" s="107"/>
      <c r="AM149" s="91">
        <f t="shared" si="3"/>
        <v>10000000.01</v>
      </c>
      <c r="AN149" s="81" t="s">
        <v>1434</v>
      </c>
      <c r="AO149" s="6"/>
    </row>
    <row r="150" spans="1:41" s="1" customFormat="1" ht="121.5" hidden="1" customHeight="1" x14ac:dyDescent="0.2">
      <c r="A150" s="69">
        <v>314</v>
      </c>
      <c r="B150" s="68" t="s">
        <v>1407</v>
      </c>
      <c r="C150" s="66">
        <v>1</v>
      </c>
      <c r="D150" s="68" t="s">
        <v>1396</v>
      </c>
      <c r="E150" s="66">
        <v>22</v>
      </c>
      <c r="F150" s="105" t="s">
        <v>146</v>
      </c>
      <c r="G150" s="66">
        <v>2201</v>
      </c>
      <c r="H150" s="68" t="s">
        <v>264</v>
      </c>
      <c r="I150" s="66">
        <v>2201</v>
      </c>
      <c r="J150" s="68" t="s">
        <v>1369</v>
      </c>
      <c r="K150" s="68" t="s">
        <v>638</v>
      </c>
      <c r="L150" s="66">
        <v>2201061</v>
      </c>
      <c r="M150" s="68" t="s">
        <v>686</v>
      </c>
      <c r="N150" s="66">
        <v>2201061</v>
      </c>
      <c r="O150" s="68" t="s">
        <v>686</v>
      </c>
      <c r="P150" s="106">
        <v>220106102</v>
      </c>
      <c r="Q150" s="68" t="s">
        <v>687</v>
      </c>
      <c r="R150" s="106">
        <v>220106102</v>
      </c>
      <c r="S150" s="68" t="s">
        <v>687</v>
      </c>
      <c r="T150" s="72" t="s">
        <v>1451</v>
      </c>
      <c r="U150" s="34">
        <v>12</v>
      </c>
      <c r="V150" s="72" t="s">
        <v>667</v>
      </c>
      <c r="W150" s="67" t="s">
        <v>668</v>
      </c>
      <c r="X150" s="68" t="s">
        <v>669</v>
      </c>
      <c r="Y150" s="107"/>
      <c r="Z150" s="107"/>
      <c r="AA150" s="107"/>
      <c r="AB150" s="107"/>
      <c r="AC150" s="107"/>
      <c r="AD150" s="107"/>
      <c r="AE150" s="107"/>
      <c r="AF150" s="107"/>
      <c r="AG150" s="107"/>
      <c r="AH150" s="107"/>
      <c r="AI150" s="138">
        <v>10000000</v>
      </c>
      <c r="AJ150" s="107"/>
      <c r="AK150" s="107"/>
      <c r="AL150" s="107"/>
      <c r="AM150" s="91">
        <f t="shared" si="3"/>
        <v>10000000</v>
      </c>
      <c r="AN150" s="81" t="s">
        <v>1434</v>
      </c>
      <c r="AO150" s="6"/>
    </row>
    <row r="151" spans="1:41" s="1" customFormat="1" ht="137.25" hidden="1" customHeight="1" x14ac:dyDescent="0.2">
      <c r="A151" s="69">
        <v>314</v>
      </c>
      <c r="B151" s="68" t="s">
        <v>1407</v>
      </c>
      <c r="C151" s="66">
        <v>1</v>
      </c>
      <c r="D151" s="68" t="s">
        <v>1396</v>
      </c>
      <c r="E151" s="66">
        <v>22</v>
      </c>
      <c r="F151" s="105" t="s">
        <v>146</v>
      </c>
      <c r="G151" s="66">
        <v>2201</v>
      </c>
      <c r="H151" s="68" t="s">
        <v>264</v>
      </c>
      <c r="I151" s="66">
        <v>2201</v>
      </c>
      <c r="J151" s="68" t="s">
        <v>1369</v>
      </c>
      <c r="K151" s="68" t="s">
        <v>638</v>
      </c>
      <c r="L151" s="66">
        <v>2201066</v>
      </c>
      <c r="M151" s="68" t="s">
        <v>688</v>
      </c>
      <c r="N151" s="66">
        <v>2201066</v>
      </c>
      <c r="O151" s="68" t="s">
        <v>688</v>
      </c>
      <c r="P151" s="106">
        <v>220106600</v>
      </c>
      <c r="Q151" s="68" t="s">
        <v>689</v>
      </c>
      <c r="R151" s="106">
        <v>220106600</v>
      </c>
      <c r="S151" s="68" t="s">
        <v>689</v>
      </c>
      <c r="T151" s="72" t="s">
        <v>1451</v>
      </c>
      <c r="U151" s="34">
        <v>10000</v>
      </c>
      <c r="V151" s="72" t="s">
        <v>667</v>
      </c>
      <c r="W151" s="67" t="s">
        <v>668</v>
      </c>
      <c r="X151" s="68" t="s">
        <v>669</v>
      </c>
      <c r="Y151" s="107"/>
      <c r="Z151" s="107"/>
      <c r="AA151" s="107"/>
      <c r="AB151" s="107"/>
      <c r="AC151" s="107"/>
      <c r="AD151" s="107"/>
      <c r="AE151" s="107"/>
      <c r="AF151" s="107"/>
      <c r="AG151" s="107"/>
      <c r="AH151" s="107"/>
      <c r="AI151" s="138">
        <f>10000000-8460000</f>
        <v>1540000</v>
      </c>
      <c r="AJ151" s="107"/>
      <c r="AK151" s="107"/>
      <c r="AL151" s="107"/>
      <c r="AM151" s="91">
        <f t="shared" si="3"/>
        <v>1540000</v>
      </c>
      <c r="AN151" s="81" t="s">
        <v>1434</v>
      </c>
      <c r="AO151" s="6"/>
    </row>
    <row r="152" spans="1:41" s="1" customFormat="1" ht="128.25" hidden="1" customHeight="1" x14ac:dyDescent="0.2">
      <c r="A152" s="69">
        <v>314</v>
      </c>
      <c r="B152" s="68" t="s">
        <v>1407</v>
      </c>
      <c r="C152" s="66">
        <v>1</v>
      </c>
      <c r="D152" s="68" t="s">
        <v>1396</v>
      </c>
      <c r="E152" s="66">
        <v>22</v>
      </c>
      <c r="F152" s="105" t="s">
        <v>146</v>
      </c>
      <c r="G152" s="66">
        <v>2201</v>
      </c>
      <c r="H152" s="68" t="s">
        <v>264</v>
      </c>
      <c r="I152" s="66">
        <v>2201</v>
      </c>
      <c r="J152" s="68" t="s">
        <v>1369</v>
      </c>
      <c r="K152" s="68" t="s">
        <v>690</v>
      </c>
      <c r="L152" s="66">
        <v>2201006</v>
      </c>
      <c r="M152" s="68" t="s">
        <v>691</v>
      </c>
      <c r="N152" s="66">
        <v>2201006</v>
      </c>
      <c r="O152" s="68" t="s">
        <v>691</v>
      </c>
      <c r="P152" s="145">
        <v>220100600</v>
      </c>
      <c r="Q152" s="68" t="s">
        <v>692</v>
      </c>
      <c r="R152" s="145">
        <v>220100600</v>
      </c>
      <c r="S152" s="68" t="s">
        <v>692</v>
      </c>
      <c r="T152" s="72" t="s">
        <v>1449</v>
      </c>
      <c r="U152" s="34">
        <v>54</v>
      </c>
      <c r="V152" s="72" t="s">
        <v>693</v>
      </c>
      <c r="W152" s="67" t="s">
        <v>694</v>
      </c>
      <c r="X152" s="68" t="s">
        <v>695</v>
      </c>
      <c r="Y152" s="107"/>
      <c r="Z152" s="107"/>
      <c r="AA152" s="107"/>
      <c r="AB152" s="107"/>
      <c r="AC152" s="107"/>
      <c r="AD152" s="107"/>
      <c r="AE152" s="153"/>
      <c r="AF152" s="107"/>
      <c r="AG152" s="107"/>
      <c r="AH152" s="107"/>
      <c r="AI152" s="180">
        <v>174900000.94999999</v>
      </c>
      <c r="AJ152" s="107"/>
      <c r="AK152" s="107"/>
      <c r="AL152" s="107"/>
      <c r="AM152" s="91">
        <f t="shared" si="3"/>
        <v>174900000.94999999</v>
      </c>
      <c r="AN152" s="81" t="s">
        <v>1434</v>
      </c>
      <c r="AO152" s="6"/>
    </row>
    <row r="153" spans="1:41" s="1" customFormat="1" ht="150" hidden="1" customHeight="1" x14ac:dyDescent="0.2">
      <c r="A153" s="69">
        <v>314</v>
      </c>
      <c r="B153" s="68" t="s">
        <v>1407</v>
      </c>
      <c r="C153" s="66">
        <v>1</v>
      </c>
      <c r="D153" s="68" t="s">
        <v>1396</v>
      </c>
      <c r="E153" s="66">
        <v>22</v>
      </c>
      <c r="F153" s="105" t="s">
        <v>146</v>
      </c>
      <c r="G153" s="66">
        <v>2201</v>
      </c>
      <c r="H153" s="68" t="s">
        <v>264</v>
      </c>
      <c r="I153" s="66">
        <v>2201</v>
      </c>
      <c r="J153" s="68" t="s">
        <v>1369</v>
      </c>
      <c r="K153" s="68" t="s">
        <v>690</v>
      </c>
      <c r="L153" s="66">
        <v>2201015</v>
      </c>
      <c r="M153" s="68" t="s">
        <v>696</v>
      </c>
      <c r="N153" s="66">
        <v>2201015</v>
      </c>
      <c r="O153" s="68" t="s">
        <v>696</v>
      </c>
      <c r="P153" s="106">
        <v>220101500</v>
      </c>
      <c r="Q153" s="68" t="s">
        <v>697</v>
      </c>
      <c r="R153" s="106">
        <v>220101500</v>
      </c>
      <c r="S153" s="68" t="s">
        <v>697</v>
      </c>
      <c r="T153" s="72" t="s">
        <v>1449</v>
      </c>
      <c r="U153" s="34">
        <v>11</v>
      </c>
      <c r="V153" s="72" t="s">
        <v>693</v>
      </c>
      <c r="W153" s="67" t="s">
        <v>694</v>
      </c>
      <c r="X153" s="68" t="s">
        <v>695</v>
      </c>
      <c r="Y153" s="107"/>
      <c r="Z153" s="107"/>
      <c r="AA153" s="107"/>
      <c r="AB153" s="107"/>
      <c r="AC153" s="107"/>
      <c r="AD153" s="107"/>
      <c r="AE153" s="107"/>
      <c r="AF153" s="107"/>
      <c r="AG153" s="107"/>
      <c r="AH153" s="107"/>
      <c r="AI153" s="138">
        <f>12000000-12000000</f>
        <v>0</v>
      </c>
      <c r="AJ153" s="107"/>
      <c r="AK153" s="107"/>
      <c r="AL153" s="107"/>
      <c r="AM153" s="91">
        <f t="shared" si="3"/>
        <v>0</v>
      </c>
      <c r="AN153" s="81" t="s">
        <v>1434</v>
      </c>
      <c r="AO153" s="6"/>
    </row>
    <row r="154" spans="1:41" s="1" customFormat="1" ht="154.5" hidden="1" customHeight="1" x14ac:dyDescent="0.2">
      <c r="A154" s="69">
        <v>314</v>
      </c>
      <c r="B154" s="68" t="s">
        <v>1407</v>
      </c>
      <c r="C154" s="66">
        <v>1</v>
      </c>
      <c r="D154" s="68" t="s">
        <v>1396</v>
      </c>
      <c r="E154" s="66">
        <v>22</v>
      </c>
      <c r="F154" s="105" t="s">
        <v>146</v>
      </c>
      <c r="G154" s="66">
        <v>2201</v>
      </c>
      <c r="H154" s="68" t="s">
        <v>264</v>
      </c>
      <c r="I154" s="66">
        <v>2201</v>
      </c>
      <c r="J154" s="68" t="s">
        <v>1369</v>
      </c>
      <c r="K154" s="68" t="s">
        <v>641</v>
      </c>
      <c r="L154" s="66">
        <v>2201042</v>
      </c>
      <c r="M154" s="68" t="s">
        <v>698</v>
      </c>
      <c r="N154" s="66">
        <v>2201042</v>
      </c>
      <c r="O154" s="68" t="s">
        <v>698</v>
      </c>
      <c r="P154" s="106">
        <v>220104200</v>
      </c>
      <c r="Q154" s="68" t="s">
        <v>699</v>
      </c>
      <c r="R154" s="106">
        <v>220104200</v>
      </c>
      <c r="S154" s="68" t="s">
        <v>699</v>
      </c>
      <c r="T154" s="72" t="s">
        <v>1451</v>
      </c>
      <c r="U154" s="34">
        <v>6000</v>
      </c>
      <c r="V154" s="72" t="s">
        <v>693</v>
      </c>
      <c r="W154" s="67" t="s">
        <v>694</v>
      </c>
      <c r="X154" s="68" t="s">
        <v>695</v>
      </c>
      <c r="Y154" s="107"/>
      <c r="Z154" s="107"/>
      <c r="AA154" s="107"/>
      <c r="AB154" s="107"/>
      <c r="AC154" s="107"/>
      <c r="AD154" s="107"/>
      <c r="AE154" s="107"/>
      <c r="AF154" s="107"/>
      <c r="AG154" s="107"/>
      <c r="AH154" s="107"/>
      <c r="AI154" s="111">
        <v>10000000.01</v>
      </c>
      <c r="AJ154" s="107"/>
      <c r="AK154" s="107"/>
      <c r="AL154" s="107"/>
      <c r="AM154" s="91">
        <f t="shared" si="3"/>
        <v>10000000.01</v>
      </c>
      <c r="AN154" s="81" t="s">
        <v>1434</v>
      </c>
      <c r="AO154" s="6"/>
    </row>
    <row r="155" spans="1:41" s="1" customFormat="1" ht="111.75" hidden="1" customHeight="1" x14ac:dyDescent="0.2">
      <c r="A155" s="69">
        <v>314</v>
      </c>
      <c r="B155" s="68" t="s">
        <v>1407</v>
      </c>
      <c r="C155" s="66">
        <v>1</v>
      </c>
      <c r="D155" s="68" t="s">
        <v>1396</v>
      </c>
      <c r="E155" s="66">
        <v>22</v>
      </c>
      <c r="F155" s="105" t="s">
        <v>146</v>
      </c>
      <c r="G155" s="66">
        <v>2201</v>
      </c>
      <c r="H155" s="68" t="s">
        <v>264</v>
      </c>
      <c r="I155" s="66">
        <v>2201</v>
      </c>
      <c r="J155" s="68" t="s">
        <v>1369</v>
      </c>
      <c r="K155" s="68" t="s">
        <v>700</v>
      </c>
      <c r="L155" s="66">
        <v>2201071</v>
      </c>
      <c r="M155" s="154" t="s">
        <v>701</v>
      </c>
      <c r="N155" s="66">
        <v>2201071</v>
      </c>
      <c r="O155" s="154" t="s">
        <v>701</v>
      </c>
      <c r="P155" s="145">
        <v>220107100</v>
      </c>
      <c r="Q155" s="68" t="s">
        <v>702</v>
      </c>
      <c r="R155" s="145">
        <v>220107100</v>
      </c>
      <c r="S155" s="68" t="s">
        <v>702</v>
      </c>
      <c r="T155" s="72" t="s">
        <v>1449</v>
      </c>
      <c r="U155" s="34">
        <v>54</v>
      </c>
      <c r="V155" s="72" t="s">
        <v>693</v>
      </c>
      <c r="W155" s="67" t="s">
        <v>694</v>
      </c>
      <c r="X155" s="68" t="s">
        <v>695</v>
      </c>
      <c r="Y155" s="155"/>
      <c r="Z155" s="155"/>
      <c r="AA155" s="155"/>
      <c r="AB155" s="178">
        <v>1573920278.6600001</v>
      </c>
      <c r="AC155" s="155"/>
      <c r="AD155" s="155"/>
      <c r="AE155" s="153">
        <v>135943144737.94</v>
      </c>
      <c r="AF155" s="156">
        <v>28315024554</v>
      </c>
      <c r="AG155" s="155"/>
      <c r="AH155" s="155"/>
      <c r="AI155" s="176">
        <v>6038518198.2200003</v>
      </c>
      <c r="AJ155" s="155"/>
      <c r="AK155" s="155">
        <v>3316642291.1900001</v>
      </c>
      <c r="AL155" s="155"/>
      <c r="AM155" s="91">
        <f t="shared" si="3"/>
        <v>175187250060.01001</v>
      </c>
      <c r="AN155" s="81" t="s">
        <v>1434</v>
      </c>
      <c r="AO155" s="6"/>
    </row>
    <row r="156" spans="1:41" s="1" customFormat="1" ht="168" hidden="1" customHeight="1" x14ac:dyDescent="0.2">
      <c r="A156" s="69">
        <v>314</v>
      </c>
      <c r="B156" s="68" t="s">
        <v>1407</v>
      </c>
      <c r="C156" s="66">
        <v>1</v>
      </c>
      <c r="D156" s="68" t="s">
        <v>1396</v>
      </c>
      <c r="E156" s="66">
        <v>22</v>
      </c>
      <c r="F156" s="105" t="s">
        <v>146</v>
      </c>
      <c r="G156" s="66">
        <v>2201</v>
      </c>
      <c r="H156" s="68" t="s">
        <v>264</v>
      </c>
      <c r="I156" s="66">
        <v>2201</v>
      </c>
      <c r="J156" s="68" t="s">
        <v>1369</v>
      </c>
      <c r="K156" s="68" t="s">
        <v>641</v>
      </c>
      <c r="L156" s="66">
        <v>2201050</v>
      </c>
      <c r="M156" s="68" t="s">
        <v>703</v>
      </c>
      <c r="N156" s="66">
        <v>2201050</v>
      </c>
      <c r="O156" s="68" t="s">
        <v>703</v>
      </c>
      <c r="P156" s="106">
        <v>220105000</v>
      </c>
      <c r="Q156" s="68" t="s">
        <v>704</v>
      </c>
      <c r="R156" s="106">
        <v>220105000</v>
      </c>
      <c r="S156" s="68" t="s">
        <v>704</v>
      </c>
      <c r="T156" s="72" t="s">
        <v>1451</v>
      </c>
      <c r="U156" s="34">
        <v>8000</v>
      </c>
      <c r="V156" s="72" t="s">
        <v>705</v>
      </c>
      <c r="W156" s="67" t="s">
        <v>706</v>
      </c>
      <c r="X156" s="68" t="s">
        <v>707</v>
      </c>
      <c r="Y156" s="107"/>
      <c r="Z156" s="107"/>
      <c r="AA156" s="107"/>
      <c r="AB156" s="107"/>
      <c r="AC156" s="107"/>
      <c r="AD156" s="107"/>
      <c r="AE156" s="113"/>
      <c r="AF156" s="107"/>
      <c r="AG156" s="107"/>
      <c r="AH156" s="107"/>
      <c r="AI156" s="138">
        <v>10000000.01</v>
      </c>
      <c r="AJ156" s="107"/>
      <c r="AK156" s="107"/>
      <c r="AL156" s="107"/>
      <c r="AM156" s="91">
        <f t="shared" si="3"/>
        <v>10000000.01</v>
      </c>
      <c r="AN156" s="81" t="s">
        <v>1434</v>
      </c>
      <c r="AO156" s="6"/>
    </row>
    <row r="157" spans="1:41" s="1" customFormat="1" ht="135" hidden="1" customHeight="1" x14ac:dyDescent="0.2">
      <c r="A157" s="69">
        <v>314</v>
      </c>
      <c r="B157" s="68" t="s">
        <v>1407</v>
      </c>
      <c r="C157" s="66">
        <v>1</v>
      </c>
      <c r="D157" s="68" t="s">
        <v>1396</v>
      </c>
      <c r="E157" s="66">
        <v>22</v>
      </c>
      <c r="F157" s="105" t="s">
        <v>146</v>
      </c>
      <c r="G157" s="66">
        <v>2201</v>
      </c>
      <c r="H157" s="68" t="s">
        <v>264</v>
      </c>
      <c r="I157" s="66">
        <v>2201</v>
      </c>
      <c r="J157" s="68" t="s">
        <v>1369</v>
      </c>
      <c r="K157" s="68" t="s">
        <v>641</v>
      </c>
      <c r="L157" s="66">
        <v>2201050</v>
      </c>
      <c r="M157" s="68" t="s">
        <v>703</v>
      </c>
      <c r="N157" s="66">
        <v>2201050</v>
      </c>
      <c r="O157" s="68" t="s">
        <v>703</v>
      </c>
      <c r="P157" s="145">
        <v>220105001</v>
      </c>
      <c r="Q157" s="68" t="s">
        <v>708</v>
      </c>
      <c r="R157" s="145">
        <v>220105001</v>
      </c>
      <c r="S157" s="68" t="s">
        <v>708</v>
      </c>
      <c r="T157" s="72" t="s">
        <v>1449</v>
      </c>
      <c r="U157" s="34">
        <v>150</v>
      </c>
      <c r="V157" s="72" t="s">
        <v>705</v>
      </c>
      <c r="W157" s="67" t="s">
        <v>706</v>
      </c>
      <c r="X157" s="68" t="s">
        <v>707</v>
      </c>
      <c r="Y157" s="107"/>
      <c r="Z157" s="107"/>
      <c r="AA157" s="107"/>
      <c r="AB157" s="107"/>
      <c r="AC157" s="107"/>
      <c r="AD157" s="107"/>
      <c r="AE157" s="107">
        <f>749000000-157054393</f>
        <v>591945607</v>
      </c>
      <c r="AF157" s="107">
        <v>0</v>
      </c>
      <c r="AG157" s="107">
        <v>0</v>
      </c>
      <c r="AH157" s="107">
        <v>0</v>
      </c>
      <c r="AI157" s="107">
        <v>0</v>
      </c>
      <c r="AJ157" s="107">
        <v>0</v>
      </c>
      <c r="AK157" s="107">
        <v>0</v>
      </c>
      <c r="AL157" s="107"/>
      <c r="AM157" s="91">
        <f t="shared" si="3"/>
        <v>591945607</v>
      </c>
      <c r="AN157" s="81" t="s">
        <v>1434</v>
      </c>
      <c r="AO157" s="6"/>
    </row>
    <row r="158" spans="1:41" s="1" customFormat="1" ht="120.75" hidden="1" customHeight="1" x14ac:dyDescent="0.2">
      <c r="A158" s="69">
        <v>314</v>
      </c>
      <c r="B158" s="68" t="s">
        <v>1407</v>
      </c>
      <c r="C158" s="66">
        <v>1</v>
      </c>
      <c r="D158" s="68" t="s">
        <v>1396</v>
      </c>
      <c r="E158" s="66">
        <v>22</v>
      </c>
      <c r="F158" s="105" t="s">
        <v>146</v>
      </c>
      <c r="G158" s="66">
        <v>2201</v>
      </c>
      <c r="H158" s="68" t="s">
        <v>264</v>
      </c>
      <c r="I158" s="66">
        <v>2201</v>
      </c>
      <c r="J158" s="68" t="s">
        <v>1369</v>
      </c>
      <c r="K158" s="68" t="s">
        <v>650</v>
      </c>
      <c r="L158" s="66" t="s">
        <v>38</v>
      </c>
      <c r="M158" s="68" t="s">
        <v>709</v>
      </c>
      <c r="N158" s="66">
        <v>2201001</v>
      </c>
      <c r="O158" s="68" t="s">
        <v>221</v>
      </c>
      <c r="P158" s="66" t="s">
        <v>38</v>
      </c>
      <c r="Q158" s="68" t="s">
        <v>710</v>
      </c>
      <c r="R158" s="106">
        <v>220100100</v>
      </c>
      <c r="S158" s="68" t="s">
        <v>711</v>
      </c>
      <c r="T158" s="72" t="s">
        <v>1449</v>
      </c>
      <c r="U158" s="34">
        <v>2</v>
      </c>
      <c r="V158" s="72" t="s">
        <v>705</v>
      </c>
      <c r="W158" s="67" t="s">
        <v>706</v>
      </c>
      <c r="X158" s="68" t="s">
        <v>707</v>
      </c>
      <c r="Y158" s="107"/>
      <c r="Z158" s="107"/>
      <c r="AA158" s="107"/>
      <c r="AB158" s="107"/>
      <c r="AC158" s="107"/>
      <c r="AD158" s="107"/>
      <c r="AE158" s="107"/>
      <c r="AF158" s="107"/>
      <c r="AG158" s="107"/>
      <c r="AH158" s="107"/>
      <c r="AI158" s="138">
        <v>10000000.01</v>
      </c>
      <c r="AJ158" s="107"/>
      <c r="AK158" s="107"/>
      <c r="AL158" s="107"/>
      <c r="AM158" s="91">
        <f t="shared" si="3"/>
        <v>10000000.01</v>
      </c>
      <c r="AN158" s="81" t="s">
        <v>1434</v>
      </c>
      <c r="AO158" s="6"/>
    </row>
    <row r="159" spans="1:41" s="1" customFormat="1" ht="114" hidden="1" customHeight="1" x14ac:dyDescent="0.2">
      <c r="A159" s="69">
        <v>314</v>
      </c>
      <c r="B159" s="68" t="s">
        <v>1407</v>
      </c>
      <c r="C159" s="66">
        <v>1</v>
      </c>
      <c r="D159" s="68" t="s">
        <v>1396</v>
      </c>
      <c r="E159" s="66">
        <v>22</v>
      </c>
      <c r="F159" s="105" t="s">
        <v>146</v>
      </c>
      <c r="G159" s="66">
        <v>2201</v>
      </c>
      <c r="H159" s="68" t="s">
        <v>264</v>
      </c>
      <c r="I159" s="66">
        <v>2201</v>
      </c>
      <c r="J159" s="68" t="s">
        <v>1369</v>
      </c>
      <c r="K159" s="68" t="s">
        <v>712</v>
      </c>
      <c r="L159" s="66">
        <v>2201034</v>
      </c>
      <c r="M159" s="68" t="s">
        <v>713</v>
      </c>
      <c r="N159" s="66">
        <v>2201034</v>
      </c>
      <c r="O159" s="68" t="s">
        <v>713</v>
      </c>
      <c r="P159" s="145">
        <v>220103400</v>
      </c>
      <c r="Q159" s="68" t="s">
        <v>714</v>
      </c>
      <c r="R159" s="145">
        <v>220103400</v>
      </c>
      <c r="S159" s="68" t="s">
        <v>714</v>
      </c>
      <c r="T159" s="72" t="s">
        <v>1451</v>
      </c>
      <c r="U159" s="34">
        <v>5500</v>
      </c>
      <c r="V159" s="72" t="s">
        <v>715</v>
      </c>
      <c r="W159" s="67" t="s">
        <v>716</v>
      </c>
      <c r="X159" s="68" t="s">
        <v>717</v>
      </c>
      <c r="Y159" s="107"/>
      <c r="Z159" s="107"/>
      <c r="AA159" s="107"/>
      <c r="AB159" s="107"/>
      <c r="AC159" s="107"/>
      <c r="AD159" s="107"/>
      <c r="AE159" s="107"/>
      <c r="AF159" s="107"/>
      <c r="AG159" s="107"/>
      <c r="AH159" s="107"/>
      <c r="AI159" s="138">
        <v>10000000.01</v>
      </c>
      <c r="AJ159" s="107"/>
      <c r="AK159" s="107"/>
      <c r="AL159" s="107"/>
      <c r="AM159" s="91">
        <f t="shared" si="3"/>
        <v>10000000.01</v>
      </c>
      <c r="AN159" s="81" t="s">
        <v>1434</v>
      </c>
      <c r="AO159" s="6"/>
    </row>
    <row r="160" spans="1:41" s="1" customFormat="1" ht="103.5" hidden="1" customHeight="1" x14ac:dyDescent="0.2">
      <c r="A160" s="69">
        <v>314</v>
      </c>
      <c r="B160" s="68" t="s">
        <v>1407</v>
      </c>
      <c r="C160" s="66">
        <v>1</v>
      </c>
      <c r="D160" s="68" t="s">
        <v>1396</v>
      </c>
      <c r="E160" s="66">
        <v>22</v>
      </c>
      <c r="F160" s="105" t="s">
        <v>146</v>
      </c>
      <c r="G160" s="66">
        <v>2201</v>
      </c>
      <c r="H160" s="68" t="s">
        <v>264</v>
      </c>
      <c r="I160" s="66">
        <v>2201</v>
      </c>
      <c r="J160" s="68" t="s">
        <v>1369</v>
      </c>
      <c r="K160" s="68" t="s">
        <v>712</v>
      </c>
      <c r="L160" s="66">
        <v>2201034</v>
      </c>
      <c r="M160" s="68" t="s">
        <v>718</v>
      </c>
      <c r="N160" s="66">
        <v>2201034</v>
      </c>
      <c r="O160" s="68" t="s">
        <v>718</v>
      </c>
      <c r="P160" s="106">
        <v>220103401</v>
      </c>
      <c r="Q160" s="68" t="s">
        <v>719</v>
      </c>
      <c r="R160" s="106">
        <v>220103401</v>
      </c>
      <c r="S160" s="68" t="s">
        <v>719</v>
      </c>
      <c r="T160" s="72" t="s">
        <v>1449</v>
      </c>
      <c r="U160" s="34">
        <v>54</v>
      </c>
      <c r="V160" s="72" t="s">
        <v>715</v>
      </c>
      <c r="W160" s="67" t="s">
        <v>716</v>
      </c>
      <c r="X160" s="68" t="s">
        <v>717</v>
      </c>
      <c r="Y160" s="107"/>
      <c r="Z160" s="107"/>
      <c r="AA160" s="107"/>
      <c r="AB160" s="107"/>
      <c r="AC160" s="107"/>
      <c r="AD160" s="107"/>
      <c r="AE160" s="107"/>
      <c r="AF160" s="107"/>
      <c r="AG160" s="107"/>
      <c r="AH160" s="107"/>
      <c r="AI160" s="138">
        <v>9999999.9800000004</v>
      </c>
      <c r="AJ160" s="107"/>
      <c r="AK160" s="107"/>
      <c r="AL160" s="107"/>
      <c r="AM160" s="91">
        <f t="shared" si="3"/>
        <v>9999999.9800000004</v>
      </c>
      <c r="AN160" s="81" t="s">
        <v>1434</v>
      </c>
      <c r="AO160" s="6"/>
    </row>
    <row r="161" spans="1:41" s="1" customFormat="1" ht="93.75" hidden="1" customHeight="1" x14ac:dyDescent="0.2">
      <c r="A161" s="69">
        <v>314</v>
      </c>
      <c r="B161" s="68" t="s">
        <v>1407</v>
      </c>
      <c r="C161" s="66">
        <v>1</v>
      </c>
      <c r="D161" s="68" t="s">
        <v>1396</v>
      </c>
      <c r="E161" s="66">
        <v>22</v>
      </c>
      <c r="F161" s="105" t="s">
        <v>146</v>
      </c>
      <c r="G161" s="66">
        <v>2201</v>
      </c>
      <c r="H161" s="68" t="s">
        <v>264</v>
      </c>
      <c r="I161" s="66">
        <v>2201</v>
      </c>
      <c r="J161" s="68" t="s">
        <v>1369</v>
      </c>
      <c r="K161" s="68" t="s">
        <v>712</v>
      </c>
      <c r="L161" s="66">
        <v>2201060</v>
      </c>
      <c r="M161" s="68" t="s">
        <v>720</v>
      </c>
      <c r="N161" s="66">
        <v>2201060</v>
      </c>
      <c r="O161" s="68" t="s">
        <v>720</v>
      </c>
      <c r="P161" s="145">
        <v>220106000</v>
      </c>
      <c r="Q161" s="68" t="s">
        <v>721</v>
      </c>
      <c r="R161" s="145">
        <v>220106000</v>
      </c>
      <c r="S161" s="68" t="s">
        <v>721</v>
      </c>
      <c r="T161" s="72" t="s">
        <v>1451</v>
      </c>
      <c r="U161" s="34">
        <v>200</v>
      </c>
      <c r="V161" s="72" t="s">
        <v>715</v>
      </c>
      <c r="W161" s="67" t="s">
        <v>716</v>
      </c>
      <c r="X161" s="68" t="s">
        <v>717</v>
      </c>
      <c r="Y161" s="107"/>
      <c r="Z161" s="107"/>
      <c r="AA161" s="107"/>
      <c r="AB161" s="107"/>
      <c r="AC161" s="107"/>
      <c r="AD161" s="107"/>
      <c r="AE161" s="107"/>
      <c r="AF161" s="107"/>
      <c r="AG161" s="107"/>
      <c r="AH161" s="107"/>
      <c r="AI161" s="138">
        <f>10000000.01-10000000.01</f>
        <v>0</v>
      </c>
      <c r="AJ161" s="107"/>
      <c r="AK161" s="107"/>
      <c r="AL161" s="107"/>
      <c r="AM161" s="91">
        <f t="shared" si="3"/>
        <v>0</v>
      </c>
      <c r="AN161" s="81" t="s">
        <v>1434</v>
      </c>
      <c r="AO161" s="6"/>
    </row>
    <row r="162" spans="1:41" s="1" customFormat="1" ht="159.75" hidden="1" customHeight="1" x14ac:dyDescent="0.2">
      <c r="A162" s="69">
        <v>314</v>
      </c>
      <c r="B162" s="68" t="s">
        <v>1407</v>
      </c>
      <c r="C162" s="66">
        <v>1</v>
      </c>
      <c r="D162" s="68" t="s">
        <v>1396</v>
      </c>
      <c r="E162" s="66">
        <v>22</v>
      </c>
      <c r="F162" s="105" t="s">
        <v>146</v>
      </c>
      <c r="G162" s="66">
        <v>2201</v>
      </c>
      <c r="H162" s="68" t="s">
        <v>264</v>
      </c>
      <c r="I162" s="66">
        <v>2201</v>
      </c>
      <c r="J162" s="68" t="s">
        <v>1369</v>
      </c>
      <c r="K162" s="68" t="s">
        <v>690</v>
      </c>
      <c r="L162" s="66">
        <v>2201001</v>
      </c>
      <c r="M162" s="68" t="s">
        <v>221</v>
      </c>
      <c r="N162" s="66">
        <v>2201001</v>
      </c>
      <c r="O162" s="68" t="s">
        <v>221</v>
      </c>
      <c r="P162" s="66">
        <v>2201001</v>
      </c>
      <c r="Q162" s="68" t="s">
        <v>711</v>
      </c>
      <c r="R162" s="66">
        <v>220100100</v>
      </c>
      <c r="S162" s="68" t="s">
        <v>711</v>
      </c>
      <c r="T162" s="72" t="s">
        <v>1449</v>
      </c>
      <c r="U162" s="34">
        <v>5</v>
      </c>
      <c r="V162" s="72" t="s">
        <v>722</v>
      </c>
      <c r="W162" s="67" t="s">
        <v>1443</v>
      </c>
      <c r="X162" s="68" t="s">
        <v>1444</v>
      </c>
      <c r="Y162" s="107"/>
      <c r="Z162" s="107"/>
      <c r="AA162" s="107"/>
      <c r="AB162" s="107"/>
      <c r="AC162" s="107"/>
      <c r="AD162" s="107"/>
      <c r="AE162" s="107"/>
      <c r="AF162" s="107"/>
      <c r="AG162" s="107"/>
      <c r="AH162" s="107"/>
      <c r="AI162" s="180">
        <f>9000000+5100000</f>
        <v>14100000</v>
      </c>
      <c r="AJ162" s="107"/>
      <c r="AK162" s="107"/>
      <c r="AL162" s="107"/>
      <c r="AM162" s="91">
        <f t="shared" si="3"/>
        <v>14100000</v>
      </c>
      <c r="AN162" s="81" t="s">
        <v>1434</v>
      </c>
      <c r="AO162" s="6"/>
    </row>
    <row r="163" spans="1:41" s="1" customFormat="1" ht="122.25" hidden="1" customHeight="1" x14ac:dyDescent="0.2">
      <c r="A163" s="69">
        <v>314</v>
      </c>
      <c r="B163" s="68" t="s">
        <v>1407</v>
      </c>
      <c r="C163" s="66">
        <v>1</v>
      </c>
      <c r="D163" s="68" t="s">
        <v>1396</v>
      </c>
      <c r="E163" s="66">
        <v>22</v>
      </c>
      <c r="F163" s="105" t="s">
        <v>146</v>
      </c>
      <c r="G163" s="66">
        <v>2201</v>
      </c>
      <c r="H163" s="68" t="s">
        <v>264</v>
      </c>
      <c r="I163" s="66">
        <v>2201</v>
      </c>
      <c r="J163" s="68" t="s">
        <v>1369</v>
      </c>
      <c r="K163" s="68" t="s">
        <v>641</v>
      </c>
      <c r="L163" s="66">
        <v>2201048</v>
      </c>
      <c r="M163" s="68" t="s">
        <v>723</v>
      </c>
      <c r="N163" s="66">
        <v>2201048</v>
      </c>
      <c r="O163" s="68" t="s">
        <v>723</v>
      </c>
      <c r="P163" s="106">
        <v>220104801</v>
      </c>
      <c r="Q163" s="68" t="s">
        <v>724</v>
      </c>
      <c r="R163" s="106">
        <v>220104801</v>
      </c>
      <c r="S163" s="68" t="s">
        <v>724</v>
      </c>
      <c r="T163" s="72" t="s">
        <v>1449</v>
      </c>
      <c r="U163" s="34">
        <v>1</v>
      </c>
      <c r="V163" s="72" t="s">
        <v>722</v>
      </c>
      <c r="W163" s="67" t="s">
        <v>1443</v>
      </c>
      <c r="X163" s="68" t="s">
        <v>1444</v>
      </c>
      <c r="Y163" s="107"/>
      <c r="Z163" s="107"/>
      <c r="AA163" s="107"/>
      <c r="AB163" s="107"/>
      <c r="AC163" s="107"/>
      <c r="AD163" s="107"/>
      <c r="AE163" s="107"/>
      <c r="AF163" s="107"/>
      <c r="AG163" s="107"/>
      <c r="AH163" s="107"/>
      <c r="AI163" s="138">
        <f>9000000-9000000</f>
        <v>0</v>
      </c>
      <c r="AJ163" s="107"/>
      <c r="AK163" s="107"/>
      <c r="AL163" s="107"/>
      <c r="AM163" s="91">
        <f t="shared" si="3"/>
        <v>0</v>
      </c>
      <c r="AN163" s="81" t="s">
        <v>1434</v>
      </c>
      <c r="AO163" s="6"/>
    </row>
    <row r="164" spans="1:41" s="28" customFormat="1" ht="156" hidden="1" customHeight="1" x14ac:dyDescent="0.25">
      <c r="A164" s="69">
        <v>314</v>
      </c>
      <c r="B164" s="68" t="s">
        <v>1407</v>
      </c>
      <c r="C164" s="66">
        <v>1</v>
      </c>
      <c r="D164" s="68" t="s">
        <v>1396</v>
      </c>
      <c r="E164" s="66">
        <v>22</v>
      </c>
      <c r="F164" s="105" t="s">
        <v>146</v>
      </c>
      <c r="G164" s="66" t="s">
        <v>38</v>
      </c>
      <c r="H164" s="68" t="s">
        <v>1341</v>
      </c>
      <c r="I164" s="157">
        <v>2202</v>
      </c>
      <c r="J164" s="68" t="s">
        <v>1342</v>
      </c>
      <c r="K164" s="68" t="s">
        <v>725</v>
      </c>
      <c r="L164" s="66" t="s">
        <v>38</v>
      </c>
      <c r="M164" s="68" t="s">
        <v>726</v>
      </c>
      <c r="N164" s="66">
        <v>2202006</v>
      </c>
      <c r="O164" s="68" t="s">
        <v>726</v>
      </c>
      <c r="P164" s="66" t="s">
        <v>38</v>
      </c>
      <c r="Q164" s="68" t="s">
        <v>727</v>
      </c>
      <c r="R164" s="66">
        <v>220200604</v>
      </c>
      <c r="S164" s="68" t="s">
        <v>728</v>
      </c>
      <c r="T164" s="72" t="s">
        <v>1449</v>
      </c>
      <c r="U164" s="34">
        <v>2</v>
      </c>
      <c r="V164" s="72" t="s">
        <v>729</v>
      </c>
      <c r="W164" s="67" t="s">
        <v>730</v>
      </c>
      <c r="X164" s="68" t="s">
        <v>731</v>
      </c>
      <c r="Y164" s="107"/>
      <c r="Z164" s="107"/>
      <c r="AA164" s="107"/>
      <c r="AB164" s="108">
        <v>1818304</v>
      </c>
      <c r="AC164" s="107"/>
      <c r="AD164" s="107"/>
      <c r="AE164" s="134"/>
      <c r="AF164" s="134"/>
      <c r="AG164" s="107"/>
      <c r="AH164" s="107"/>
      <c r="AI164" s="176">
        <v>437239948</v>
      </c>
      <c r="AJ164" s="107"/>
      <c r="AK164" s="107"/>
      <c r="AL164" s="107"/>
      <c r="AM164" s="91">
        <f t="shared" si="3"/>
        <v>439058252</v>
      </c>
      <c r="AN164" s="81" t="s">
        <v>1434</v>
      </c>
      <c r="AO164" s="6"/>
    </row>
    <row r="165" spans="1:41" s="28" customFormat="1" ht="147.75" hidden="1" customHeight="1" x14ac:dyDescent="0.25">
      <c r="A165" s="69">
        <v>314</v>
      </c>
      <c r="B165" s="68" t="s">
        <v>1407</v>
      </c>
      <c r="C165" s="66">
        <v>2</v>
      </c>
      <c r="D165" s="68" t="s">
        <v>1403</v>
      </c>
      <c r="E165" s="66">
        <v>39</v>
      </c>
      <c r="F165" s="68" t="s">
        <v>1328</v>
      </c>
      <c r="G165" s="66">
        <v>3904</v>
      </c>
      <c r="H165" s="68" t="s">
        <v>1384</v>
      </c>
      <c r="I165" s="66">
        <v>3904</v>
      </c>
      <c r="J165" s="68" t="s">
        <v>1384</v>
      </c>
      <c r="K165" s="68" t="s">
        <v>732</v>
      </c>
      <c r="L165" s="66">
        <v>3904006</v>
      </c>
      <c r="M165" s="68" t="s">
        <v>733</v>
      </c>
      <c r="N165" s="66">
        <v>3904006</v>
      </c>
      <c r="O165" s="68" t="s">
        <v>733</v>
      </c>
      <c r="P165" s="34">
        <v>390400604</v>
      </c>
      <c r="Q165" s="126" t="s">
        <v>734</v>
      </c>
      <c r="R165" s="34">
        <v>390400604</v>
      </c>
      <c r="S165" s="126" t="s">
        <v>735</v>
      </c>
      <c r="T165" s="72" t="s">
        <v>1451</v>
      </c>
      <c r="U165" s="34">
        <v>18</v>
      </c>
      <c r="V165" s="157" t="s">
        <v>736</v>
      </c>
      <c r="W165" s="67" t="s">
        <v>737</v>
      </c>
      <c r="X165" s="68" t="s">
        <v>738</v>
      </c>
      <c r="Y165" s="107"/>
      <c r="Z165" s="107"/>
      <c r="AA165" s="107"/>
      <c r="AB165" s="89"/>
      <c r="AC165" s="107"/>
      <c r="AD165" s="107"/>
      <c r="AE165" s="134"/>
      <c r="AF165" s="134"/>
      <c r="AG165" s="107"/>
      <c r="AH165" s="107"/>
      <c r="AI165" s="111">
        <v>7500000</v>
      </c>
      <c r="AJ165" s="107"/>
      <c r="AK165" s="107"/>
      <c r="AL165" s="107"/>
      <c r="AM165" s="91">
        <f t="shared" ref="AM165:AM228" si="4">+Y165+Z165+AA165+AB165+AC165+AD165+AE165+AF165+AG165+AH165+AI165+AJ165+AK165</f>
        <v>7500000</v>
      </c>
      <c r="AN165" s="81" t="s">
        <v>1434</v>
      </c>
      <c r="AO165" s="6"/>
    </row>
    <row r="166" spans="1:41" s="1" customFormat="1" ht="222.75" hidden="1" customHeight="1" x14ac:dyDescent="0.2">
      <c r="A166" s="69">
        <v>316</v>
      </c>
      <c r="B166" s="68" t="s">
        <v>1408</v>
      </c>
      <c r="C166" s="66">
        <v>1</v>
      </c>
      <c r="D166" s="68" t="s">
        <v>1396</v>
      </c>
      <c r="E166" s="66">
        <v>19</v>
      </c>
      <c r="F166" s="68" t="s">
        <v>138</v>
      </c>
      <c r="G166" s="66">
        <v>1905</v>
      </c>
      <c r="H166" s="68" t="s">
        <v>739</v>
      </c>
      <c r="I166" s="66">
        <v>1905</v>
      </c>
      <c r="J166" s="68" t="s">
        <v>1368</v>
      </c>
      <c r="K166" s="68" t="s">
        <v>740</v>
      </c>
      <c r="L166" s="106">
        <v>1905021</v>
      </c>
      <c r="M166" s="68" t="s">
        <v>741</v>
      </c>
      <c r="N166" s="106">
        <v>1905021</v>
      </c>
      <c r="O166" s="68" t="s">
        <v>741</v>
      </c>
      <c r="P166" s="106">
        <v>190502100</v>
      </c>
      <c r="Q166" s="68" t="s">
        <v>742</v>
      </c>
      <c r="R166" s="66">
        <v>190502100</v>
      </c>
      <c r="S166" s="68" t="s">
        <v>742</v>
      </c>
      <c r="T166" s="72" t="s">
        <v>1449</v>
      </c>
      <c r="U166" s="34">
        <v>12</v>
      </c>
      <c r="V166" s="72" t="s">
        <v>743</v>
      </c>
      <c r="W166" s="67" t="s">
        <v>744</v>
      </c>
      <c r="X166" s="68" t="s">
        <v>745</v>
      </c>
      <c r="Y166" s="107">
        <v>0</v>
      </c>
      <c r="Z166" s="107">
        <v>0</v>
      </c>
      <c r="AA166" s="107">
        <v>0</v>
      </c>
      <c r="AB166" s="107">
        <v>0</v>
      </c>
      <c r="AC166" s="107">
        <v>0</v>
      </c>
      <c r="AD166" s="107">
        <v>0</v>
      </c>
      <c r="AE166" s="107">
        <v>0</v>
      </c>
      <c r="AF166" s="107">
        <v>0</v>
      </c>
      <c r="AG166" s="107">
        <v>0</v>
      </c>
      <c r="AH166" s="107">
        <v>0</v>
      </c>
      <c r="AI166" s="111">
        <f>100000000+15386000</f>
        <v>115386000</v>
      </c>
      <c r="AJ166" s="107">
        <v>0</v>
      </c>
      <c r="AK166" s="107">
        <v>0</v>
      </c>
      <c r="AL166" s="107"/>
      <c r="AM166" s="91">
        <f t="shared" si="4"/>
        <v>115386000</v>
      </c>
      <c r="AN166" s="81" t="s">
        <v>1435</v>
      </c>
      <c r="AO166" s="6"/>
    </row>
    <row r="167" spans="1:41" s="1" customFormat="1" ht="186" hidden="1" customHeight="1" x14ac:dyDescent="0.2">
      <c r="A167" s="69">
        <v>316</v>
      </c>
      <c r="B167" s="68" t="s">
        <v>1408</v>
      </c>
      <c r="C167" s="66">
        <v>1</v>
      </c>
      <c r="D167" s="68" t="s">
        <v>1396</v>
      </c>
      <c r="E167" s="66">
        <v>19</v>
      </c>
      <c r="F167" s="68" t="s">
        <v>138</v>
      </c>
      <c r="G167" s="66">
        <v>1905</v>
      </c>
      <c r="H167" s="68" t="s">
        <v>739</v>
      </c>
      <c r="I167" s="66">
        <v>1905</v>
      </c>
      <c r="J167" s="68" t="s">
        <v>1368</v>
      </c>
      <c r="K167" s="68" t="s">
        <v>746</v>
      </c>
      <c r="L167" s="115">
        <v>1905022</v>
      </c>
      <c r="M167" s="114" t="s">
        <v>747</v>
      </c>
      <c r="N167" s="115">
        <v>1905022</v>
      </c>
      <c r="O167" s="114" t="s">
        <v>747</v>
      </c>
      <c r="P167" s="34">
        <v>190502200</v>
      </c>
      <c r="Q167" s="68" t="s">
        <v>748</v>
      </c>
      <c r="R167" s="34">
        <v>190502200</v>
      </c>
      <c r="S167" s="68" t="s">
        <v>748</v>
      </c>
      <c r="T167" s="72" t="s">
        <v>1449</v>
      </c>
      <c r="U167" s="34">
        <v>12</v>
      </c>
      <c r="V167" s="72" t="s">
        <v>743</v>
      </c>
      <c r="W167" s="67" t="s">
        <v>744</v>
      </c>
      <c r="X167" s="68" t="s">
        <v>745</v>
      </c>
      <c r="Y167" s="107">
        <v>0</v>
      </c>
      <c r="Z167" s="107"/>
      <c r="AA167" s="107"/>
      <c r="AB167" s="107"/>
      <c r="AC167" s="107"/>
      <c r="AD167" s="107"/>
      <c r="AE167" s="107"/>
      <c r="AF167" s="107"/>
      <c r="AG167" s="107"/>
      <c r="AH167" s="107"/>
      <c r="AI167" s="111">
        <f>75000000-15386000-5000000</f>
        <v>54614000</v>
      </c>
      <c r="AJ167" s="107"/>
      <c r="AK167" s="107"/>
      <c r="AL167" s="107"/>
      <c r="AM167" s="91">
        <f t="shared" si="4"/>
        <v>54614000</v>
      </c>
      <c r="AN167" s="81" t="s">
        <v>1435</v>
      </c>
      <c r="AO167" s="6"/>
    </row>
    <row r="168" spans="1:41" s="1" customFormat="1" ht="183" hidden="1" customHeight="1" x14ac:dyDescent="0.2">
      <c r="A168" s="69">
        <v>316</v>
      </c>
      <c r="B168" s="68" t="s">
        <v>1408</v>
      </c>
      <c r="C168" s="66">
        <v>1</v>
      </c>
      <c r="D168" s="68" t="s">
        <v>1396</v>
      </c>
      <c r="E168" s="66">
        <v>33</v>
      </c>
      <c r="F168" s="105" t="s">
        <v>155</v>
      </c>
      <c r="G168" s="66">
        <v>3301</v>
      </c>
      <c r="H168" s="68" t="s">
        <v>156</v>
      </c>
      <c r="I168" s="66">
        <v>3301</v>
      </c>
      <c r="J168" s="68" t="s">
        <v>1380</v>
      </c>
      <c r="K168" s="68" t="s">
        <v>749</v>
      </c>
      <c r="L168" s="106">
        <v>3301051</v>
      </c>
      <c r="M168" s="68" t="s">
        <v>750</v>
      </c>
      <c r="N168" s="106">
        <v>3301051</v>
      </c>
      <c r="O168" s="68" t="s">
        <v>750</v>
      </c>
      <c r="P168" s="106">
        <v>330105110</v>
      </c>
      <c r="Q168" s="68" t="s">
        <v>751</v>
      </c>
      <c r="R168" s="106">
        <v>330105110</v>
      </c>
      <c r="S168" s="68" t="s">
        <v>751</v>
      </c>
      <c r="T168" s="72" t="s">
        <v>1451</v>
      </c>
      <c r="U168" s="34">
        <v>250</v>
      </c>
      <c r="V168" s="72" t="s">
        <v>752</v>
      </c>
      <c r="W168" s="67" t="s">
        <v>753</v>
      </c>
      <c r="X168" s="68" t="s">
        <v>754</v>
      </c>
      <c r="Y168" s="107"/>
      <c r="Z168" s="107"/>
      <c r="AA168" s="107"/>
      <c r="AB168" s="107"/>
      <c r="AC168" s="107"/>
      <c r="AD168" s="107"/>
      <c r="AE168" s="107"/>
      <c r="AF168" s="107"/>
      <c r="AG168" s="107"/>
      <c r="AH168" s="107"/>
      <c r="AI168" s="111">
        <v>14250000</v>
      </c>
      <c r="AJ168" s="107"/>
      <c r="AK168" s="107"/>
      <c r="AL168" s="107"/>
      <c r="AM168" s="91">
        <f t="shared" si="4"/>
        <v>14250000</v>
      </c>
      <c r="AN168" s="81" t="s">
        <v>1435</v>
      </c>
      <c r="AO168" s="6"/>
    </row>
    <row r="169" spans="1:41" s="1" customFormat="1" ht="127.5" hidden="1" customHeight="1" x14ac:dyDescent="0.2">
      <c r="A169" s="69">
        <v>316</v>
      </c>
      <c r="B169" s="68" t="s">
        <v>1408</v>
      </c>
      <c r="C169" s="66">
        <v>1</v>
      </c>
      <c r="D169" s="68" t="s">
        <v>1396</v>
      </c>
      <c r="E169" s="66">
        <v>41</v>
      </c>
      <c r="F169" s="68" t="s">
        <v>755</v>
      </c>
      <c r="G169" s="66">
        <v>4102</v>
      </c>
      <c r="H169" s="68" t="s">
        <v>756</v>
      </c>
      <c r="I169" s="66">
        <v>4102</v>
      </c>
      <c r="J169" s="68" t="s">
        <v>1345</v>
      </c>
      <c r="K169" s="68" t="s">
        <v>757</v>
      </c>
      <c r="L169" s="66" t="s">
        <v>38</v>
      </c>
      <c r="M169" s="68" t="s">
        <v>758</v>
      </c>
      <c r="N169" s="106">
        <v>4102035</v>
      </c>
      <c r="O169" s="68" t="s">
        <v>79</v>
      </c>
      <c r="P169" s="66" t="s">
        <v>38</v>
      </c>
      <c r="Q169" s="68" t="s">
        <v>759</v>
      </c>
      <c r="R169" s="33">
        <v>410203500</v>
      </c>
      <c r="S169" s="68" t="s">
        <v>81</v>
      </c>
      <c r="T169" s="72" t="s">
        <v>1449</v>
      </c>
      <c r="U169" s="33">
        <v>1</v>
      </c>
      <c r="V169" s="72" t="s">
        <v>760</v>
      </c>
      <c r="W169" s="67" t="s">
        <v>1329</v>
      </c>
      <c r="X169" s="68" t="s">
        <v>761</v>
      </c>
      <c r="Y169" s="107"/>
      <c r="Z169" s="107"/>
      <c r="AA169" s="107"/>
      <c r="AB169" s="107"/>
      <c r="AC169" s="107"/>
      <c r="AD169" s="107"/>
      <c r="AE169" s="107"/>
      <c r="AF169" s="107"/>
      <c r="AG169" s="107"/>
      <c r="AH169" s="107"/>
      <c r="AI169" s="111">
        <f>20000000+30000000</f>
        <v>50000000</v>
      </c>
      <c r="AJ169" s="107"/>
      <c r="AK169" s="107"/>
      <c r="AL169" s="107"/>
      <c r="AM169" s="91">
        <f t="shared" si="4"/>
        <v>50000000</v>
      </c>
      <c r="AN169" s="81" t="s">
        <v>1435</v>
      </c>
      <c r="AO169" s="6"/>
    </row>
    <row r="170" spans="1:41" s="1" customFormat="1" ht="92.25" hidden="1" customHeight="1" x14ac:dyDescent="0.2">
      <c r="A170" s="69">
        <v>316</v>
      </c>
      <c r="B170" s="68" t="s">
        <v>1408</v>
      </c>
      <c r="C170" s="66">
        <v>1</v>
      </c>
      <c r="D170" s="68" t="s">
        <v>1396</v>
      </c>
      <c r="E170" s="66">
        <v>41</v>
      </c>
      <c r="F170" s="68" t="s">
        <v>755</v>
      </c>
      <c r="G170" s="66">
        <v>4102</v>
      </c>
      <c r="H170" s="68" t="s">
        <v>756</v>
      </c>
      <c r="I170" s="66">
        <v>4102</v>
      </c>
      <c r="J170" s="68" t="s">
        <v>1345</v>
      </c>
      <c r="K170" s="68" t="s">
        <v>762</v>
      </c>
      <c r="L170" s="66" t="s">
        <v>38</v>
      </c>
      <c r="M170" s="68" t="s">
        <v>763</v>
      </c>
      <c r="N170" s="106">
        <v>4102001</v>
      </c>
      <c r="O170" s="68" t="s">
        <v>764</v>
      </c>
      <c r="P170" s="66" t="s">
        <v>38</v>
      </c>
      <c r="Q170" s="126" t="s">
        <v>765</v>
      </c>
      <c r="R170" s="106">
        <v>410200100</v>
      </c>
      <c r="S170" s="126" t="s">
        <v>766</v>
      </c>
      <c r="T170" s="72" t="s">
        <v>1449</v>
      </c>
      <c r="U170" s="33">
        <v>12</v>
      </c>
      <c r="V170" s="72" t="s">
        <v>760</v>
      </c>
      <c r="W170" s="67" t="s">
        <v>1329</v>
      </c>
      <c r="X170" s="68" t="s">
        <v>761</v>
      </c>
      <c r="Y170" s="107"/>
      <c r="Z170" s="107"/>
      <c r="AA170" s="107"/>
      <c r="AB170" s="107"/>
      <c r="AC170" s="107"/>
      <c r="AD170" s="107"/>
      <c r="AE170" s="107"/>
      <c r="AF170" s="107"/>
      <c r="AG170" s="107"/>
      <c r="AH170" s="107"/>
      <c r="AI170" s="111">
        <f>50000000+1930000</f>
        <v>51930000</v>
      </c>
      <c r="AJ170" s="107"/>
      <c r="AK170" s="107"/>
      <c r="AL170" s="107"/>
      <c r="AM170" s="91">
        <f t="shared" si="4"/>
        <v>51930000</v>
      </c>
      <c r="AN170" s="81" t="s">
        <v>1435</v>
      </c>
      <c r="AO170" s="6"/>
    </row>
    <row r="171" spans="1:41" s="1" customFormat="1" ht="270.75" hidden="1" customHeight="1" x14ac:dyDescent="0.2">
      <c r="A171" s="69">
        <v>316</v>
      </c>
      <c r="B171" s="68" t="s">
        <v>1408</v>
      </c>
      <c r="C171" s="66">
        <v>1</v>
      </c>
      <c r="D171" s="68" t="s">
        <v>1396</v>
      </c>
      <c r="E171" s="66">
        <v>41</v>
      </c>
      <c r="F171" s="68" t="s">
        <v>755</v>
      </c>
      <c r="G171" s="66">
        <v>4102</v>
      </c>
      <c r="H171" s="68" t="s">
        <v>756</v>
      </c>
      <c r="I171" s="66">
        <v>4102</v>
      </c>
      <c r="J171" s="68" t="s">
        <v>1345</v>
      </c>
      <c r="K171" s="68" t="s">
        <v>767</v>
      </c>
      <c r="L171" s="66" t="s">
        <v>38</v>
      </c>
      <c r="M171" s="68" t="s">
        <v>768</v>
      </c>
      <c r="N171" s="90" t="s">
        <v>769</v>
      </c>
      <c r="O171" s="68" t="s">
        <v>770</v>
      </c>
      <c r="P171" s="66" t="s">
        <v>38</v>
      </c>
      <c r="Q171" s="68" t="s">
        <v>771</v>
      </c>
      <c r="R171" s="90" t="s">
        <v>772</v>
      </c>
      <c r="S171" s="126" t="s">
        <v>773</v>
      </c>
      <c r="T171" s="72" t="s">
        <v>1449</v>
      </c>
      <c r="U171" s="33">
        <v>1</v>
      </c>
      <c r="V171" s="72" t="s">
        <v>774</v>
      </c>
      <c r="W171" s="67" t="s">
        <v>775</v>
      </c>
      <c r="X171" s="68" t="s">
        <v>776</v>
      </c>
      <c r="Y171" s="107"/>
      <c r="Z171" s="107"/>
      <c r="AA171" s="107"/>
      <c r="AB171" s="107"/>
      <c r="AC171" s="107"/>
      <c r="AD171" s="107"/>
      <c r="AE171" s="107"/>
      <c r="AF171" s="107"/>
      <c r="AG171" s="107"/>
      <c r="AH171" s="107"/>
      <c r="AI171" s="111">
        <f>135000000-3000000</f>
        <v>132000000</v>
      </c>
      <c r="AJ171" s="107"/>
      <c r="AK171" s="107"/>
      <c r="AL171" s="107"/>
      <c r="AM171" s="91">
        <f t="shared" si="4"/>
        <v>132000000</v>
      </c>
      <c r="AN171" s="81" t="s">
        <v>1435</v>
      </c>
      <c r="AO171" s="6"/>
    </row>
    <row r="172" spans="1:41" s="1" customFormat="1" ht="237" hidden="1" customHeight="1" x14ac:dyDescent="0.2">
      <c r="A172" s="69">
        <v>316</v>
      </c>
      <c r="B172" s="68" t="s">
        <v>1408</v>
      </c>
      <c r="C172" s="66">
        <v>1</v>
      </c>
      <c r="D172" s="68" t="s">
        <v>1396</v>
      </c>
      <c r="E172" s="66">
        <v>41</v>
      </c>
      <c r="F172" s="68" t="s">
        <v>755</v>
      </c>
      <c r="G172" s="66">
        <v>4102</v>
      </c>
      <c r="H172" s="68" t="s">
        <v>756</v>
      </c>
      <c r="I172" s="66">
        <v>4102</v>
      </c>
      <c r="J172" s="68" t="s">
        <v>1345</v>
      </c>
      <c r="K172" s="68" t="s">
        <v>777</v>
      </c>
      <c r="L172" s="66" t="s">
        <v>38</v>
      </c>
      <c r="M172" s="68" t="s">
        <v>778</v>
      </c>
      <c r="N172" s="90" t="s">
        <v>779</v>
      </c>
      <c r="O172" s="68" t="s">
        <v>79</v>
      </c>
      <c r="P172" s="66" t="s">
        <v>38</v>
      </c>
      <c r="Q172" s="68" t="s">
        <v>780</v>
      </c>
      <c r="R172" s="106" t="s">
        <v>781</v>
      </c>
      <c r="S172" s="68" t="s">
        <v>782</v>
      </c>
      <c r="T172" s="72" t="s">
        <v>1451</v>
      </c>
      <c r="U172" s="33">
        <v>1</v>
      </c>
      <c r="V172" s="72" t="s">
        <v>783</v>
      </c>
      <c r="W172" s="67" t="s">
        <v>784</v>
      </c>
      <c r="X172" s="68" t="s">
        <v>785</v>
      </c>
      <c r="Y172" s="107"/>
      <c r="Z172" s="107"/>
      <c r="AA172" s="107"/>
      <c r="AB172" s="107"/>
      <c r="AC172" s="107"/>
      <c r="AD172" s="107"/>
      <c r="AE172" s="107"/>
      <c r="AF172" s="107"/>
      <c r="AG172" s="107"/>
      <c r="AH172" s="107"/>
      <c r="AI172" s="111">
        <f>36000000-12460000</f>
        <v>23540000</v>
      </c>
      <c r="AJ172" s="107"/>
      <c r="AK172" s="107"/>
      <c r="AL172" s="107"/>
      <c r="AM172" s="91">
        <f t="shared" si="4"/>
        <v>23540000</v>
      </c>
      <c r="AN172" s="81" t="s">
        <v>1435</v>
      </c>
      <c r="AO172" s="6"/>
    </row>
    <row r="173" spans="1:41" s="1" customFormat="1" ht="234" hidden="1" customHeight="1" x14ac:dyDescent="0.2">
      <c r="A173" s="69">
        <v>316</v>
      </c>
      <c r="B173" s="68" t="s">
        <v>1408</v>
      </c>
      <c r="C173" s="66">
        <v>1</v>
      </c>
      <c r="D173" s="68" t="s">
        <v>1396</v>
      </c>
      <c r="E173" s="66">
        <v>41</v>
      </c>
      <c r="F173" s="68" t="s">
        <v>755</v>
      </c>
      <c r="G173" s="66">
        <v>4102</v>
      </c>
      <c r="H173" s="68" t="s">
        <v>756</v>
      </c>
      <c r="I173" s="66">
        <v>4102</v>
      </c>
      <c r="J173" s="68" t="s">
        <v>1345</v>
      </c>
      <c r="K173" s="68" t="s">
        <v>777</v>
      </c>
      <c r="L173" s="66" t="s">
        <v>38</v>
      </c>
      <c r="M173" s="68" t="s">
        <v>786</v>
      </c>
      <c r="N173" s="90" t="s">
        <v>769</v>
      </c>
      <c r="O173" s="68" t="s">
        <v>787</v>
      </c>
      <c r="P173" s="66" t="s">
        <v>38</v>
      </c>
      <c r="Q173" s="68" t="s">
        <v>788</v>
      </c>
      <c r="R173" s="106">
        <v>410204301</v>
      </c>
      <c r="S173" s="68" t="s">
        <v>789</v>
      </c>
      <c r="T173" s="72" t="s">
        <v>1449</v>
      </c>
      <c r="U173" s="33">
        <v>1</v>
      </c>
      <c r="V173" s="72" t="s">
        <v>783</v>
      </c>
      <c r="W173" s="67" t="s">
        <v>784</v>
      </c>
      <c r="X173" s="68" t="s">
        <v>785</v>
      </c>
      <c r="Y173" s="107"/>
      <c r="Z173" s="107"/>
      <c r="AA173" s="107"/>
      <c r="AB173" s="107"/>
      <c r="AC173" s="107"/>
      <c r="AD173" s="107"/>
      <c r="AE173" s="107"/>
      <c r="AF173" s="107"/>
      <c r="AG173" s="107"/>
      <c r="AH173" s="107"/>
      <c r="AI173" s="111">
        <v>601107889</v>
      </c>
      <c r="AJ173" s="107"/>
      <c r="AK173" s="107"/>
      <c r="AL173" s="107"/>
      <c r="AM173" s="91">
        <f t="shared" si="4"/>
        <v>601107889</v>
      </c>
      <c r="AN173" s="81" t="s">
        <v>1435</v>
      </c>
      <c r="AO173" s="6"/>
    </row>
    <row r="174" spans="1:41" s="1" customFormat="1" ht="246.75" hidden="1" customHeight="1" x14ac:dyDescent="0.2">
      <c r="A174" s="69">
        <v>316</v>
      </c>
      <c r="B174" s="68" t="s">
        <v>1408</v>
      </c>
      <c r="C174" s="66">
        <v>1</v>
      </c>
      <c r="D174" s="68" t="s">
        <v>1396</v>
      </c>
      <c r="E174" s="66">
        <v>41</v>
      </c>
      <c r="F174" s="68" t="s">
        <v>755</v>
      </c>
      <c r="G174" s="66">
        <v>4102</v>
      </c>
      <c r="H174" s="68" t="s">
        <v>756</v>
      </c>
      <c r="I174" s="66">
        <v>4102</v>
      </c>
      <c r="J174" s="68" t="s">
        <v>1345</v>
      </c>
      <c r="K174" s="68" t="s">
        <v>790</v>
      </c>
      <c r="L174" s="66" t="s">
        <v>38</v>
      </c>
      <c r="M174" s="68" t="s">
        <v>791</v>
      </c>
      <c r="N174" s="106">
        <v>4102038</v>
      </c>
      <c r="O174" s="68" t="s">
        <v>792</v>
      </c>
      <c r="P174" s="66" t="s">
        <v>38</v>
      </c>
      <c r="Q174" s="68" t="s">
        <v>793</v>
      </c>
      <c r="R174" s="106">
        <v>410203800</v>
      </c>
      <c r="S174" s="68" t="s">
        <v>821</v>
      </c>
      <c r="T174" s="72" t="s">
        <v>1449</v>
      </c>
      <c r="U174" s="33">
        <v>1</v>
      </c>
      <c r="V174" s="72" t="s">
        <v>794</v>
      </c>
      <c r="W174" s="67" t="s">
        <v>795</v>
      </c>
      <c r="X174" s="68" t="s">
        <v>796</v>
      </c>
      <c r="Y174" s="107"/>
      <c r="Z174" s="107"/>
      <c r="AA174" s="107"/>
      <c r="AB174" s="107"/>
      <c r="AC174" s="107"/>
      <c r="AD174" s="107"/>
      <c r="AE174" s="107"/>
      <c r="AF174" s="107"/>
      <c r="AG174" s="107"/>
      <c r="AH174" s="107"/>
      <c r="AI174" s="111">
        <f>210000000-10000000</f>
        <v>200000000</v>
      </c>
      <c r="AJ174" s="107"/>
      <c r="AK174" s="107"/>
      <c r="AL174" s="107"/>
      <c r="AM174" s="91">
        <f t="shared" si="4"/>
        <v>200000000</v>
      </c>
      <c r="AN174" s="81" t="s">
        <v>1435</v>
      </c>
      <c r="AO174" s="6"/>
    </row>
    <row r="175" spans="1:41" s="1" customFormat="1" ht="189.75" hidden="1" customHeight="1" x14ac:dyDescent="0.2">
      <c r="A175" s="69">
        <v>316</v>
      </c>
      <c r="B175" s="68" t="s">
        <v>1408</v>
      </c>
      <c r="C175" s="66">
        <v>1</v>
      </c>
      <c r="D175" s="68" t="s">
        <v>1396</v>
      </c>
      <c r="E175" s="66">
        <v>41</v>
      </c>
      <c r="F175" s="68" t="s">
        <v>755</v>
      </c>
      <c r="G175" s="66">
        <v>4102</v>
      </c>
      <c r="H175" s="68" t="s">
        <v>756</v>
      </c>
      <c r="I175" s="66">
        <v>4102</v>
      </c>
      <c r="J175" s="68" t="s">
        <v>1345</v>
      </c>
      <c r="K175" s="68" t="s">
        <v>797</v>
      </c>
      <c r="L175" s="66" t="s">
        <v>38</v>
      </c>
      <c r="M175" s="68" t="s">
        <v>798</v>
      </c>
      <c r="N175" s="106">
        <v>4102042</v>
      </c>
      <c r="O175" s="68" t="s">
        <v>799</v>
      </c>
      <c r="P175" s="66" t="s">
        <v>38</v>
      </c>
      <c r="Q175" s="68" t="s">
        <v>800</v>
      </c>
      <c r="R175" s="106">
        <v>410204200</v>
      </c>
      <c r="S175" s="67" t="s">
        <v>801</v>
      </c>
      <c r="T175" s="72" t="s">
        <v>1449</v>
      </c>
      <c r="U175" s="33">
        <v>12</v>
      </c>
      <c r="V175" s="72" t="s">
        <v>802</v>
      </c>
      <c r="W175" s="158" t="s">
        <v>803</v>
      </c>
      <c r="X175" s="114" t="s">
        <v>804</v>
      </c>
      <c r="Y175" s="107"/>
      <c r="Z175" s="107"/>
      <c r="AA175" s="107"/>
      <c r="AB175" s="107"/>
      <c r="AC175" s="107"/>
      <c r="AD175" s="107"/>
      <c r="AE175" s="107"/>
      <c r="AF175" s="107"/>
      <c r="AG175" s="107"/>
      <c r="AH175" s="107"/>
      <c r="AI175" s="111">
        <f>18000000+10000000</f>
        <v>28000000</v>
      </c>
      <c r="AJ175" s="107"/>
      <c r="AK175" s="107"/>
      <c r="AL175" s="107"/>
      <c r="AM175" s="91">
        <f t="shared" si="4"/>
        <v>28000000</v>
      </c>
      <c r="AN175" s="81" t="s">
        <v>1435</v>
      </c>
      <c r="AO175" s="6"/>
    </row>
    <row r="176" spans="1:41" s="1" customFormat="1" ht="136.5" hidden="1" customHeight="1" x14ac:dyDescent="0.2">
      <c r="A176" s="69">
        <v>316</v>
      </c>
      <c r="B176" s="68" t="s">
        <v>1408</v>
      </c>
      <c r="C176" s="66">
        <v>1</v>
      </c>
      <c r="D176" s="68" t="s">
        <v>1396</v>
      </c>
      <c r="E176" s="66">
        <v>41</v>
      </c>
      <c r="F176" s="68" t="s">
        <v>755</v>
      </c>
      <c r="G176" s="66">
        <v>4102</v>
      </c>
      <c r="H176" s="68" t="s">
        <v>756</v>
      </c>
      <c r="I176" s="66">
        <v>4102</v>
      </c>
      <c r="J176" s="68" t="s">
        <v>1345</v>
      </c>
      <c r="K176" s="68" t="s">
        <v>805</v>
      </c>
      <c r="L176" s="66" t="s">
        <v>38</v>
      </c>
      <c r="M176" s="119" t="s">
        <v>806</v>
      </c>
      <c r="N176" s="106">
        <v>4102001</v>
      </c>
      <c r="O176" s="119" t="s">
        <v>807</v>
      </c>
      <c r="P176" s="66" t="s">
        <v>38</v>
      </c>
      <c r="Q176" s="68" t="s">
        <v>808</v>
      </c>
      <c r="R176" s="106">
        <v>410200100</v>
      </c>
      <c r="S176" s="68" t="s">
        <v>809</v>
      </c>
      <c r="T176" s="72" t="s">
        <v>1449</v>
      </c>
      <c r="U176" s="33">
        <v>1</v>
      </c>
      <c r="V176" s="72" t="s">
        <v>810</v>
      </c>
      <c r="W176" s="158" t="s">
        <v>811</v>
      </c>
      <c r="X176" s="114" t="s">
        <v>812</v>
      </c>
      <c r="Y176" s="107"/>
      <c r="Z176" s="107"/>
      <c r="AA176" s="107"/>
      <c r="AB176" s="107"/>
      <c r="AC176" s="107"/>
      <c r="AD176" s="107"/>
      <c r="AE176" s="107"/>
      <c r="AF176" s="107"/>
      <c r="AG176" s="107"/>
      <c r="AH176" s="107"/>
      <c r="AI176" s="111">
        <f>20000000+12985000</f>
        <v>32985000</v>
      </c>
      <c r="AJ176" s="107"/>
      <c r="AK176" s="107"/>
      <c r="AL176" s="107"/>
      <c r="AM176" s="91">
        <f t="shared" si="4"/>
        <v>32985000</v>
      </c>
      <c r="AN176" s="81" t="s">
        <v>1435</v>
      </c>
      <c r="AO176" s="6"/>
    </row>
    <row r="177" spans="1:41" s="1" customFormat="1" ht="248.25" hidden="1" customHeight="1" x14ac:dyDescent="0.2">
      <c r="A177" s="69">
        <v>316</v>
      </c>
      <c r="B177" s="68" t="s">
        <v>1408</v>
      </c>
      <c r="C177" s="66">
        <v>1</v>
      </c>
      <c r="D177" s="68" t="s">
        <v>1396</v>
      </c>
      <c r="E177" s="66">
        <v>41</v>
      </c>
      <c r="F177" s="68" t="s">
        <v>755</v>
      </c>
      <c r="G177" s="66">
        <v>4102</v>
      </c>
      <c r="H177" s="68" t="s">
        <v>756</v>
      </c>
      <c r="I177" s="66">
        <v>4102</v>
      </c>
      <c r="J177" s="68" t="s">
        <v>1345</v>
      </c>
      <c r="K177" s="68" t="s">
        <v>813</v>
      </c>
      <c r="L177" s="66">
        <v>4102022</v>
      </c>
      <c r="M177" s="114" t="s">
        <v>814</v>
      </c>
      <c r="N177" s="115">
        <v>4102046</v>
      </c>
      <c r="O177" s="114" t="s">
        <v>815</v>
      </c>
      <c r="P177" s="115" t="s">
        <v>816</v>
      </c>
      <c r="Q177" s="68" t="s">
        <v>817</v>
      </c>
      <c r="R177" s="115">
        <v>410204600</v>
      </c>
      <c r="S177" s="68" t="s">
        <v>818</v>
      </c>
      <c r="T177" s="72" t="s">
        <v>1451</v>
      </c>
      <c r="U177" s="33">
        <v>16</v>
      </c>
      <c r="V177" s="72" t="s">
        <v>810</v>
      </c>
      <c r="W177" s="158" t="s">
        <v>811</v>
      </c>
      <c r="X177" s="114" t="s">
        <v>812</v>
      </c>
      <c r="Y177" s="107"/>
      <c r="Z177" s="107"/>
      <c r="AA177" s="107"/>
      <c r="AB177" s="107"/>
      <c r="AC177" s="107"/>
      <c r="AD177" s="107"/>
      <c r="AE177" s="107"/>
      <c r="AF177" s="107"/>
      <c r="AG177" s="107"/>
      <c r="AH177" s="107"/>
      <c r="AI177" s="111">
        <v>18000000</v>
      </c>
      <c r="AJ177" s="107"/>
      <c r="AK177" s="107"/>
      <c r="AL177" s="107"/>
      <c r="AM177" s="91">
        <f t="shared" si="4"/>
        <v>18000000</v>
      </c>
      <c r="AN177" s="81" t="s">
        <v>1435</v>
      </c>
      <c r="AO177" s="6"/>
    </row>
    <row r="178" spans="1:41" s="1" customFormat="1" ht="174" hidden="1" customHeight="1" x14ac:dyDescent="0.2">
      <c r="A178" s="69">
        <v>316</v>
      </c>
      <c r="B178" s="68" t="s">
        <v>1408</v>
      </c>
      <c r="C178" s="66">
        <v>1</v>
      </c>
      <c r="D178" s="68" t="s">
        <v>1396</v>
      </c>
      <c r="E178" s="66">
        <v>41</v>
      </c>
      <c r="F178" s="68" t="s">
        <v>755</v>
      </c>
      <c r="G178" s="66">
        <v>4102</v>
      </c>
      <c r="H178" s="68" t="s">
        <v>756</v>
      </c>
      <c r="I178" s="66">
        <v>4102</v>
      </c>
      <c r="J178" s="68" t="s">
        <v>1345</v>
      </c>
      <c r="K178" s="68" t="s">
        <v>819</v>
      </c>
      <c r="L178" s="66">
        <v>4102038</v>
      </c>
      <c r="M178" s="68" t="s">
        <v>820</v>
      </c>
      <c r="N178" s="66">
        <v>4102038</v>
      </c>
      <c r="O178" s="68" t="s">
        <v>820</v>
      </c>
      <c r="P178" s="34">
        <v>410203800</v>
      </c>
      <c r="Q178" s="126" t="s">
        <v>821</v>
      </c>
      <c r="R178" s="34">
        <v>410203800</v>
      </c>
      <c r="S178" s="126" t="s">
        <v>821</v>
      </c>
      <c r="T178" s="72" t="s">
        <v>1451</v>
      </c>
      <c r="U178" s="33">
        <v>10</v>
      </c>
      <c r="V178" s="72" t="s">
        <v>822</v>
      </c>
      <c r="W178" s="158" t="s">
        <v>823</v>
      </c>
      <c r="X178" s="114" t="s">
        <v>824</v>
      </c>
      <c r="Y178" s="107"/>
      <c r="Z178" s="107"/>
      <c r="AA178" s="107"/>
      <c r="AB178" s="107"/>
      <c r="AC178" s="107"/>
      <c r="AD178" s="107"/>
      <c r="AE178" s="107"/>
      <c r="AF178" s="107"/>
      <c r="AG178" s="107"/>
      <c r="AH178" s="107"/>
      <c r="AI178" s="111">
        <v>37000000</v>
      </c>
      <c r="AJ178" s="107"/>
      <c r="AK178" s="107"/>
      <c r="AL178" s="107"/>
      <c r="AM178" s="91">
        <f t="shared" si="4"/>
        <v>37000000</v>
      </c>
      <c r="AN178" s="81" t="s">
        <v>1435</v>
      </c>
      <c r="AO178" s="6"/>
    </row>
    <row r="179" spans="1:41" s="1" customFormat="1" ht="141" hidden="1" customHeight="1" x14ac:dyDescent="0.2">
      <c r="A179" s="69">
        <v>316</v>
      </c>
      <c r="B179" s="68" t="s">
        <v>1408</v>
      </c>
      <c r="C179" s="66">
        <v>1</v>
      </c>
      <c r="D179" s="68" t="s">
        <v>1396</v>
      </c>
      <c r="E179" s="66">
        <v>41</v>
      </c>
      <c r="F179" s="68" t="s">
        <v>755</v>
      </c>
      <c r="G179" s="66">
        <v>4103</v>
      </c>
      <c r="H179" s="68" t="s">
        <v>289</v>
      </c>
      <c r="I179" s="66">
        <v>4103</v>
      </c>
      <c r="J179" s="68" t="s">
        <v>1388</v>
      </c>
      <c r="K179" s="68" t="s">
        <v>825</v>
      </c>
      <c r="L179" s="106">
        <v>4103059</v>
      </c>
      <c r="M179" s="68" t="s">
        <v>826</v>
      </c>
      <c r="N179" s="106">
        <v>4103059</v>
      </c>
      <c r="O179" s="68" t="s">
        <v>826</v>
      </c>
      <c r="P179" s="33">
        <v>410305900</v>
      </c>
      <c r="Q179" s="126" t="s">
        <v>827</v>
      </c>
      <c r="R179" s="33">
        <v>410305900</v>
      </c>
      <c r="S179" s="126" t="s">
        <v>827</v>
      </c>
      <c r="T179" s="72" t="s">
        <v>1451</v>
      </c>
      <c r="U179" s="34">
        <v>10</v>
      </c>
      <c r="V179" s="72" t="s">
        <v>828</v>
      </c>
      <c r="W179" s="68" t="s">
        <v>829</v>
      </c>
      <c r="X179" s="68" t="s">
        <v>830</v>
      </c>
      <c r="Y179" s="107"/>
      <c r="Z179" s="107"/>
      <c r="AA179" s="107"/>
      <c r="AB179" s="107"/>
      <c r="AC179" s="107"/>
      <c r="AD179" s="107"/>
      <c r="AE179" s="107"/>
      <c r="AF179" s="107"/>
      <c r="AG179" s="107"/>
      <c r="AH179" s="107"/>
      <c r="AI179" s="111">
        <v>15000000</v>
      </c>
      <c r="AJ179" s="107"/>
      <c r="AK179" s="107"/>
      <c r="AL179" s="107"/>
      <c r="AM179" s="91">
        <f t="shared" si="4"/>
        <v>15000000</v>
      </c>
      <c r="AN179" s="81" t="s">
        <v>1435</v>
      </c>
      <c r="AO179" s="6"/>
    </row>
    <row r="180" spans="1:41" s="1" customFormat="1" ht="150.75" hidden="1" customHeight="1" x14ac:dyDescent="0.2">
      <c r="A180" s="69">
        <v>316</v>
      </c>
      <c r="B180" s="68" t="s">
        <v>1408</v>
      </c>
      <c r="C180" s="66">
        <v>1</v>
      </c>
      <c r="D180" s="68" t="s">
        <v>1396</v>
      </c>
      <c r="E180" s="66">
        <v>41</v>
      </c>
      <c r="F180" s="68" t="s">
        <v>755</v>
      </c>
      <c r="G180" s="66">
        <v>4103</v>
      </c>
      <c r="H180" s="68" t="s">
        <v>289</v>
      </c>
      <c r="I180" s="66">
        <v>4103</v>
      </c>
      <c r="J180" s="68" t="s">
        <v>1388</v>
      </c>
      <c r="K180" s="68" t="s">
        <v>831</v>
      </c>
      <c r="L180" s="66">
        <v>4103052</v>
      </c>
      <c r="M180" s="68" t="s">
        <v>292</v>
      </c>
      <c r="N180" s="66">
        <v>4103052</v>
      </c>
      <c r="O180" s="68" t="s">
        <v>292</v>
      </c>
      <c r="P180" s="34">
        <v>410305202</v>
      </c>
      <c r="Q180" s="126" t="s">
        <v>832</v>
      </c>
      <c r="R180" s="34">
        <v>410305202</v>
      </c>
      <c r="S180" s="126" t="s">
        <v>832</v>
      </c>
      <c r="T180" s="72" t="s">
        <v>1449</v>
      </c>
      <c r="U180" s="34">
        <v>1</v>
      </c>
      <c r="V180" s="72" t="s">
        <v>833</v>
      </c>
      <c r="W180" s="68" t="s">
        <v>834</v>
      </c>
      <c r="X180" s="68" t="s">
        <v>835</v>
      </c>
      <c r="Y180" s="107"/>
      <c r="Z180" s="107"/>
      <c r="AA180" s="107"/>
      <c r="AB180" s="107"/>
      <c r="AC180" s="107"/>
      <c r="AD180" s="107"/>
      <c r="AE180" s="107"/>
      <c r="AF180" s="107"/>
      <c r="AG180" s="107"/>
      <c r="AH180" s="107"/>
      <c r="AI180" s="111">
        <v>20000000</v>
      </c>
      <c r="AJ180" s="107"/>
      <c r="AK180" s="107"/>
      <c r="AL180" s="107"/>
      <c r="AM180" s="91">
        <f t="shared" si="4"/>
        <v>20000000</v>
      </c>
      <c r="AN180" s="81" t="s">
        <v>1435</v>
      </c>
      <c r="AO180" s="6"/>
    </row>
    <row r="181" spans="1:41" s="1" customFormat="1" ht="271.5" hidden="1" customHeight="1" x14ac:dyDescent="0.2">
      <c r="A181" s="69">
        <v>316</v>
      </c>
      <c r="B181" s="68" t="s">
        <v>1408</v>
      </c>
      <c r="C181" s="66">
        <v>1</v>
      </c>
      <c r="D181" s="68" t="s">
        <v>1396</v>
      </c>
      <c r="E181" s="66">
        <v>41</v>
      </c>
      <c r="F181" s="68" t="s">
        <v>755</v>
      </c>
      <c r="G181" s="66">
        <v>4103</v>
      </c>
      <c r="H181" s="68" t="s">
        <v>289</v>
      </c>
      <c r="I181" s="66">
        <v>4103</v>
      </c>
      <c r="J181" s="68" t="s">
        <v>1388</v>
      </c>
      <c r="K181" s="68" t="s">
        <v>813</v>
      </c>
      <c r="L181" s="66">
        <v>4103050</v>
      </c>
      <c r="M181" s="68" t="s">
        <v>836</v>
      </c>
      <c r="N181" s="66">
        <v>4103050</v>
      </c>
      <c r="O181" s="68" t="s">
        <v>836</v>
      </c>
      <c r="P181" s="34">
        <v>410305001</v>
      </c>
      <c r="Q181" s="126" t="s">
        <v>837</v>
      </c>
      <c r="R181" s="34">
        <v>410305001</v>
      </c>
      <c r="S181" s="126" t="s">
        <v>837</v>
      </c>
      <c r="T181" s="72" t="s">
        <v>1449</v>
      </c>
      <c r="U181" s="34">
        <v>12</v>
      </c>
      <c r="V181" s="72" t="s">
        <v>838</v>
      </c>
      <c r="W181" s="68" t="s">
        <v>839</v>
      </c>
      <c r="X181" s="68" t="s">
        <v>840</v>
      </c>
      <c r="Y181" s="107"/>
      <c r="Z181" s="107"/>
      <c r="AA181" s="107"/>
      <c r="AB181" s="107"/>
      <c r="AC181" s="107"/>
      <c r="AD181" s="107"/>
      <c r="AE181" s="107"/>
      <c r="AF181" s="107"/>
      <c r="AG181" s="107"/>
      <c r="AH181" s="107"/>
      <c r="AI181" s="111">
        <v>25000000</v>
      </c>
      <c r="AJ181" s="107"/>
      <c r="AK181" s="107"/>
      <c r="AL181" s="107"/>
      <c r="AM181" s="91">
        <f t="shared" si="4"/>
        <v>25000000</v>
      </c>
      <c r="AN181" s="81" t="s">
        <v>1435</v>
      </c>
      <c r="AO181" s="6"/>
    </row>
    <row r="182" spans="1:41" s="1" customFormat="1" ht="149.25" hidden="1" customHeight="1" x14ac:dyDescent="0.2">
      <c r="A182" s="69">
        <v>316</v>
      </c>
      <c r="B182" s="68" t="s">
        <v>1408</v>
      </c>
      <c r="C182" s="66">
        <v>1</v>
      </c>
      <c r="D182" s="68" t="s">
        <v>1396</v>
      </c>
      <c r="E182" s="66">
        <v>41</v>
      </c>
      <c r="F182" s="68" t="s">
        <v>755</v>
      </c>
      <c r="G182" s="66">
        <v>4103</v>
      </c>
      <c r="H182" s="68" t="s">
        <v>289</v>
      </c>
      <c r="I182" s="66">
        <v>4103</v>
      </c>
      <c r="J182" s="68" t="s">
        <v>1388</v>
      </c>
      <c r="K182" s="68" t="s">
        <v>841</v>
      </c>
      <c r="L182" s="106">
        <v>4103058</v>
      </c>
      <c r="M182" s="68" t="s">
        <v>842</v>
      </c>
      <c r="N182" s="106">
        <v>4103058</v>
      </c>
      <c r="O182" s="68" t="s">
        <v>842</v>
      </c>
      <c r="P182" s="33">
        <v>410305800</v>
      </c>
      <c r="Q182" s="126" t="s">
        <v>843</v>
      </c>
      <c r="R182" s="33">
        <v>410305800</v>
      </c>
      <c r="S182" s="126" t="s">
        <v>843</v>
      </c>
      <c r="T182" s="72" t="s">
        <v>1451</v>
      </c>
      <c r="U182" s="34">
        <v>2</v>
      </c>
      <c r="V182" s="72" t="s">
        <v>844</v>
      </c>
      <c r="W182" s="68" t="s">
        <v>845</v>
      </c>
      <c r="X182" s="68" t="s">
        <v>846</v>
      </c>
      <c r="Y182" s="107"/>
      <c r="Z182" s="107"/>
      <c r="AA182" s="107"/>
      <c r="AB182" s="107"/>
      <c r="AC182" s="107"/>
      <c r="AD182" s="107"/>
      <c r="AE182" s="107"/>
      <c r="AF182" s="107"/>
      <c r="AG182" s="107"/>
      <c r="AH182" s="107"/>
      <c r="AI182" s="111">
        <f>28000000+47112368</f>
        <v>75112368</v>
      </c>
      <c r="AJ182" s="107"/>
      <c r="AK182" s="107"/>
      <c r="AL182" s="107"/>
      <c r="AM182" s="91">
        <f t="shared" si="4"/>
        <v>75112368</v>
      </c>
      <c r="AN182" s="81" t="s">
        <v>1435</v>
      </c>
      <c r="AO182" s="6"/>
    </row>
    <row r="183" spans="1:41" s="1" customFormat="1" ht="96" hidden="1" customHeight="1" x14ac:dyDescent="0.2">
      <c r="A183" s="69">
        <v>316</v>
      </c>
      <c r="B183" s="68" t="s">
        <v>1408</v>
      </c>
      <c r="C183" s="66">
        <v>1</v>
      </c>
      <c r="D183" s="68" t="s">
        <v>1396</v>
      </c>
      <c r="E183" s="66">
        <v>41</v>
      </c>
      <c r="F183" s="68" t="s">
        <v>755</v>
      </c>
      <c r="G183" s="66">
        <v>4103</v>
      </c>
      <c r="H183" s="68" t="s">
        <v>289</v>
      </c>
      <c r="I183" s="66">
        <v>4103</v>
      </c>
      <c r="J183" s="68" t="s">
        <v>1388</v>
      </c>
      <c r="K183" s="119" t="s">
        <v>847</v>
      </c>
      <c r="L183" s="66" t="s">
        <v>38</v>
      </c>
      <c r="M183" s="68" t="s">
        <v>848</v>
      </c>
      <c r="N183" s="106">
        <v>4103060</v>
      </c>
      <c r="O183" s="68" t="s">
        <v>849</v>
      </c>
      <c r="P183" s="66" t="s">
        <v>38</v>
      </c>
      <c r="Q183" s="126" t="s">
        <v>850</v>
      </c>
      <c r="R183" s="106">
        <v>410306000</v>
      </c>
      <c r="S183" s="126" t="s">
        <v>851</v>
      </c>
      <c r="T183" s="72" t="s">
        <v>1451</v>
      </c>
      <c r="U183" s="34">
        <v>5</v>
      </c>
      <c r="V183" s="72" t="s">
        <v>852</v>
      </c>
      <c r="W183" s="68" t="s">
        <v>853</v>
      </c>
      <c r="X183" s="68" t="s">
        <v>854</v>
      </c>
      <c r="Y183" s="107"/>
      <c r="Z183" s="107"/>
      <c r="AA183" s="107"/>
      <c r="AB183" s="107"/>
      <c r="AC183" s="107"/>
      <c r="AD183" s="107"/>
      <c r="AE183" s="107"/>
      <c r="AF183" s="107"/>
      <c r="AG183" s="107"/>
      <c r="AH183" s="107"/>
      <c r="AI183" s="111">
        <v>27000000</v>
      </c>
      <c r="AJ183" s="107"/>
      <c r="AK183" s="107"/>
      <c r="AL183" s="107"/>
      <c r="AM183" s="91">
        <f t="shared" si="4"/>
        <v>27000000</v>
      </c>
      <c r="AN183" s="81" t="s">
        <v>1435</v>
      </c>
      <c r="AO183" s="6"/>
    </row>
    <row r="184" spans="1:41" s="1" customFormat="1" ht="98.25" hidden="1" customHeight="1" x14ac:dyDescent="0.2">
      <c r="A184" s="69">
        <v>316</v>
      </c>
      <c r="B184" s="68" t="s">
        <v>1408</v>
      </c>
      <c r="C184" s="66">
        <v>1</v>
      </c>
      <c r="D184" s="68" t="s">
        <v>1396</v>
      </c>
      <c r="E184" s="66">
        <v>41</v>
      </c>
      <c r="F184" s="68" t="s">
        <v>755</v>
      </c>
      <c r="G184" s="66">
        <v>4103</v>
      </c>
      <c r="H184" s="68" t="s">
        <v>289</v>
      </c>
      <c r="I184" s="66">
        <v>4103</v>
      </c>
      <c r="J184" s="68" t="s">
        <v>1388</v>
      </c>
      <c r="K184" s="119" t="s">
        <v>855</v>
      </c>
      <c r="L184" s="66" t="s">
        <v>38</v>
      </c>
      <c r="M184" s="68" t="s">
        <v>856</v>
      </c>
      <c r="N184" s="106">
        <v>4103060</v>
      </c>
      <c r="O184" s="68" t="s">
        <v>849</v>
      </c>
      <c r="P184" s="66" t="s">
        <v>38</v>
      </c>
      <c r="Q184" s="68" t="s">
        <v>857</v>
      </c>
      <c r="R184" s="106">
        <v>410306000</v>
      </c>
      <c r="S184" s="68" t="s">
        <v>851</v>
      </c>
      <c r="T184" s="72" t="s">
        <v>1449</v>
      </c>
      <c r="U184" s="34">
        <v>2</v>
      </c>
      <c r="V184" s="72" t="s">
        <v>852</v>
      </c>
      <c r="W184" s="68" t="s">
        <v>853</v>
      </c>
      <c r="X184" s="68" t="s">
        <v>854</v>
      </c>
      <c r="Y184" s="107"/>
      <c r="Z184" s="107"/>
      <c r="AA184" s="107"/>
      <c r="AB184" s="107"/>
      <c r="AC184" s="107"/>
      <c r="AD184" s="107"/>
      <c r="AE184" s="107"/>
      <c r="AF184" s="107"/>
      <c r="AG184" s="107"/>
      <c r="AH184" s="107"/>
      <c r="AI184" s="111">
        <v>20000000</v>
      </c>
      <c r="AJ184" s="107"/>
      <c r="AK184" s="107"/>
      <c r="AL184" s="107"/>
      <c r="AM184" s="91">
        <f t="shared" si="4"/>
        <v>20000000</v>
      </c>
      <c r="AN184" s="81" t="s">
        <v>1435</v>
      </c>
      <c r="AO184" s="6"/>
    </row>
    <row r="185" spans="1:41" s="1" customFormat="1" ht="152.25" hidden="1" customHeight="1" x14ac:dyDescent="0.2">
      <c r="A185" s="69">
        <v>316</v>
      </c>
      <c r="B185" s="68" t="s">
        <v>1408</v>
      </c>
      <c r="C185" s="66">
        <v>1</v>
      </c>
      <c r="D185" s="68" t="s">
        <v>1396</v>
      </c>
      <c r="E185" s="66">
        <v>41</v>
      </c>
      <c r="F185" s="68" t="s">
        <v>755</v>
      </c>
      <c r="G185" s="66">
        <v>4103</v>
      </c>
      <c r="H185" s="68" t="s">
        <v>289</v>
      </c>
      <c r="I185" s="66">
        <v>4103</v>
      </c>
      <c r="J185" s="68" t="s">
        <v>1388</v>
      </c>
      <c r="K185" s="68" t="s">
        <v>858</v>
      </c>
      <c r="L185" s="66" t="s">
        <v>38</v>
      </c>
      <c r="M185" s="68" t="s">
        <v>859</v>
      </c>
      <c r="N185" s="106">
        <v>4103052</v>
      </c>
      <c r="O185" s="68" t="s">
        <v>292</v>
      </c>
      <c r="P185" s="66" t="s">
        <v>38</v>
      </c>
      <c r="Q185" s="126" t="s">
        <v>860</v>
      </c>
      <c r="R185" s="106">
        <v>410305202</v>
      </c>
      <c r="S185" s="126" t="s">
        <v>832</v>
      </c>
      <c r="T185" s="72" t="s">
        <v>1449</v>
      </c>
      <c r="U185" s="34">
        <v>1</v>
      </c>
      <c r="V185" s="72" t="s">
        <v>861</v>
      </c>
      <c r="W185" s="68" t="s">
        <v>862</v>
      </c>
      <c r="X185" s="68" t="s">
        <v>863</v>
      </c>
      <c r="Y185" s="107"/>
      <c r="Z185" s="107"/>
      <c r="AA185" s="107"/>
      <c r="AB185" s="107"/>
      <c r="AC185" s="107"/>
      <c r="AD185" s="107"/>
      <c r="AE185" s="107"/>
      <c r="AF185" s="107"/>
      <c r="AG185" s="107"/>
      <c r="AH185" s="107"/>
      <c r="AI185" s="111">
        <f>40000000+11681346</f>
        <v>51681346</v>
      </c>
      <c r="AJ185" s="107"/>
      <c r="AK185" s="107"/>
      <c r="AL185" s="107"/>
      <c r="AM185" s="91">
        <f t="shared" si="4"/>
        <v>51681346</v>
      </c>
      <c r="AN185" s="81" t="s">
        <v>1435</v>
      </c>
      <c r="AO185" s="6"/>
    </row>
    <row r="186" spans="1:41" s="1" customFormat="1" ht="152.25" hidden="1" customHeight="1" x14ac:dyDescent="0.2">
      <c r="A186" s="69">
        <v>316</v>
      </c>
      <c r="B186" s="68" t="s">
        <v>1408</v>
      </c>
      <c r="C186" s="66">
        <v>1</v>
      </c>
      <c r="D186" s="68" t="s">
        <v>1396</v>
      </c>
      <c r="E186" s="66">
        <v>41</v>
      </c>
      <c r="F186" s="68" t="s">
        <v>755</v>
      </c>
      <c r="G186" s="66">
        <v>4104</v>
      </c>
      <c r="H186" s="68" t="s">
        <v>864</v>
      </c>
      <c r="I186" s="66">
        <v>4104</v>
      </c>
      <c r="J186" s="68" t="s">
        <v>1389</v>
      </c>
      <c r="K186" s="68" t="s">
        <v>865</v>
      </c>
      <c r="L186" s="66">
        <v>4104035</v>
      </c>
      <c r="M186" s="68" t="s">
        <v>866</v>
      </c>
      <c r="N186" s="106">
        <v>4104020</v>
      </c>
      <c r="O186" s="68" t="s">
        <v>867</v>
      </c>
      <c r="P186" s="33">
        <v>410403500</v>
      </c>
      <c r="Q186" s="68" t="s">
        <v>868</v>
      </c>
      <c r="R186" s="106">
        <v>410402000</v>
      </c>
      <c r="S186" s="68" t="s">
        <v>869</v>
      </c>
      <c r="T186" s="72" t="s">
        <v>1451</v>
      </c>
      <c r="U186" s="34">
        <f>50+20</f>
        <v>70</v>
      </c>
      <c r="V186" s="72" t="s">
        <v>870</v>
      </c>
      <c r="W186" s="68" t="s">
        <v>871</v>
      </c>
      <c r="X186" s="68" t="s">
        <v>872</v>
      </c>
      <c r="Y186" s="107"/>
      <c r="Z186" s="107"/>
      <c r="AA186" s="107"/>
      <c r="AB186" s="107"/>
      <c r="AC186" s="107"/>
      <c r="AD186" s="107"/>
      <c r="AE186" s="107"/>
      <c r="AF186" s="107"/>
      <c r="AG186" s="107"/>
      <c r="AH186" s="107"/>
      <c r="AI186" s="111">
        <f>25000000+54000000-11540000</f>
        <v>67460000</v>
      </c>
      <c r="AJ186" s="107"/>
      <c r="AK186" s="107"/>
      <c r="AL186" s="107"/>
      <c r="AM186" s="91">
        <f t="shared" si="4"/>
        <v>67460000</v>
      </c>
      <c r="AN186" s="81" t="s">
        <v>1435</v>
      </c>
      <c r="AO186" s="6"/>
    </row>
    <row r="187" spans="1:41" s="1" customFormat="1" ht="134.25" hidden="1" customHeight="1" x14ac:dyDescent="0.2">
      <c r="A187" s="69">
        <v>316</v>
      </c>
      <c r="B187" s="68" t="s">
        <v>1408</v>
      </c>
      <c r="C187" s="66">
        <v>1</v>
      </c>
      <c r="D187" s="68" t="s">
        <v>1396</v>
      </c>
      <c r="E187" s="66">
        <v>41</v>
      </c>
      <c r="F187" s="68" t="s">
        <v>755</v>
      </c>
      <c r="G187" s="66">
        <v>4104</v>
      </c>
      <c r="H187" s="68" t="s">
        <v>864</v>
      </c>
      <c r="I187" s="66">
        <v>4104</v>
      </c>
      <c r="J187" s="68" t="s">
        <v>1389</v>
      </c>
      <c r="K187" s="68" t="s">
        <v>873</v>
      </c>
      <c r="L187" s="66">
        <v>4104035</v>
      </c>
      <c r="M187" s="68" t="s">
        <v>866</v>
      </c>
      <c r="N187" s="106">
        <v>4104020</v>
      </c>
      <c r="O187" s="68" t="s">
        <v>867</v>
      </c>
      <c r="P187" s="66" t="s">
        <v>38</v>
      </c>
      <c r="Q187" s="68" t="s">
        <v>874</v>
      </c>
      <c r="R187" s="106">
        <v>410402000</v>
      </c>
      <c r="S187" s="68" t="s">
        <v>869</v>
      </c>
      <c r="T187" s="72" t="s">
        <v>1449</v>
      </c>
      <c r="U187" s="34">
        <v>12</v>
      </c>
      <c r="V187" s="72" t="s">
        <v>870</v>
      </c>
      <c r="W187" s="68" t="s">
        <v>871</v>
      </c>
      <c r="X187" s="68" t="s">
        <v>872</v>
      </c>
      <c r="Y187" s="107"/>
      <c r="Z187" s="107"/>
      <c r="AA187" s="107"/>
      <c r="AB187" s="107"/>
      <c r="AC187" s="107"/>
      <c r="AD187" s="107"/>
      <c r="AE187" s="107"/>
      <c r="AF187" s="107"/>
      <c r="AG187" s="107"/>
      <c r="AH187" s="107"/>
      <c r="AI187" s="111">
        <f>19000000+4080000+11540000</f>
        <v>34620000</v>
      </c>
      <c r="AJ187" s="107"/>
      <c r="AK187" s="107"/>
      <c r="AL187" s="107"/>
      <c r="AM187" s="91">
        <f t="shared" si="4"/>
        <v>34620000</v>
      </c>
      <c r="AN187" s="81" t="s">
        <v>1435</v>
      </c>
      <c r="AO187" s="6"/>
    </row>
    <row r="188" spans="1:41" s="1" customFormat="1" ht="108.75" hidden="1" customHeight="1" x14ac:dyDescent="0.2">
      <c r="A188" s="69">
        <v>316</v>
      </c>
      <c r="B188" s="68" t="s">
        <v>1408</v>
      </c>
      <c r="C188" s="66">
        <v>1</v>
      </c>
      <c r="D188" s="68" t="s">
        <v>1396</v>
      </c>
      <c r="E188" s="66">
        <v>41</v>
      </c>
      <c r="F188" s="68" t="s">
        <v>755</v>
      </c>
      <c r="G188" s="66">
        <v>4104</v>
      </c>
      <c r="H188" s="68" t="s">
        <v>864</v>
      </c>
      <c r="I188" s="66">
        <v>4104</v>
      </c>
      <c r="J188" s="68" t="s">
        <v>1389</v>
      </c>
      <c r="K188" s="68" t="s">
        <v>875</v>
      </c>
      <c r="L188" s="33">
        <v>4104026</v>
      </c>
      <c r="M188" s="68" t="s">
        <v>876</v>
      </c>
      <c r="N188" s="106">
        <v>4104027</v>
      </c>
      <c r="O188" s="68" t="s">
        <v>877</v>
      </c>
      <c r="P188" s="66" t="s">
        <v>38</v>
      </c>
      <c r="Q188" s="68" t="s">
        <v>878</v>
      </c>
      <c r="R188" s="106">
        <v>410402700</v>
      </c>
      <c r="S188" s="68" t="s">
        <v>879</v>
      </c>
      <c r="T188" s="72" t="s">
        <v>1449</v>
      </c>
      <c r="U188" s="34">
        <v>12</v>
      </c>
      <c r="V188" s="72" t="s">
        <v>880</v>
      </c>
      <c r="W188" s="68" t="s">
        <v>881</v>
      </c>
      <c r="X188" s="68" t="s">
        <v>882</v>
      </c>
      <c r="Y188" s="107"/>
      <c r="Z188" s="107"/>
      <c r="AA188" s="107"/>
      <c r="AB188" s="107"/>
      <c r="AC188" s="107"/>
      <c r="AD188" s="107"/>
      <c r="AE188" s="107"/>
      <c r="AF188" s="107"/>
      <c r="AG188" s="107"/>
      <c r="AH188" s="107"/>
      <c r="AI188" s="111">
        <v>35000000</v>
      </c>
      <c r="AJ188" s="107"/>
      <c r="AK188" s="107"/>
      <c r="AL188" s="107"/>
      <c r="AM188" s="91">
        <f t="shared" si="4"/>
        <v>35000000</v>
      </c>
      <c r="AN188" s="81" t="s">
        <v>1435</v>
      </c>
      <c r="AO188" s="6"/>
    </row>
    <row r="189" spans="1:41" s="1" customFormat="1" ht="131.25" hidden="1" customHeight="1" x14ac:dyDescent="0.2">
      <c r="A189" s="69">
        <v>316</v>
      </c>
      <c r="B189" s="68" t="s">
        <v>1408</v>
      </c>
      <c r="C189" s="66">
        <v>1</v>
      </c>
      <c r="D189" s="68" t="s">
        <v>1396</v>
      </c>
      <c r="E189" s="66">
        <v>41</v>
      </c>
      <c r="F189" s="68" t="s">
        <v>755</v>
      </c>
      <c r="G189" s="66">
        <v>4104</v>
      </c>
      <c r="H189" s="68" t="s">
        <v>864</v>
      </c>
      <c r="I189" s="66">
        <v>4104</v>
      </c>
      <c r="J189" s="68" t="s">
        <v>1389</v>
      </c>
      <c r="K189" s="68" t="s">
        <v>883</v>
      </c>
      <c r="L189" s="106">
        <v>4104015</v>
      </c>
      <c r="M189" s="114" t="s">
        <v>884</v>
      </c>
      <c r="N189" s="106">
        <v>4104015</v>
      </c>
      <c r="O189" s="114" t="s">
        <v>885</v>
      </c>
      <c r="P189" s="33">
        <v>410401500</v>
      </c>
      <c r="Q189" s="126" t="s">
        <v>886</v>
      </c>
      <c r="R189" s="33">
        <v>410401500</v>
      </c>
      <c r="S189" s="126" t="s">
        <v>887</v>
      </c>
      <c r="T189" s="72" t="s">
        <v>1449</v>
      </c>
      <c r="U189" s="34">
        <v>7500</v>
      </c>
      <c r="V189" s="72" t="s">
        <v>888</v>
      </c>
      <c r="W189" s="68" t="s">
        <v>889</v>
      </c>
      <c r="X189" s="68" t="s">
        <v>890</v>
      </c>
      <c r="Y189" s="107"/>
      <c r="Z189" s="107"/>
      <c r="AA189" s="107"/>
      <c r="AB189" s="107"/>
      <c r="AC189" s="107"/>
      <c r="AD189" s="107"/>
      <c r="AE189" s="107"/>
      <c r="AF189" s="107"/>
      <c r="AG189" s="107"/>
      <c r="AH189" s="107"/>
      <c r="AI189" s="111">
        <f>20000000-1000000+11800000</f>
        <v>30800000</v>
      </c>
      <c r="AJ189" s="107"/>
      <c r="AK189" s="107"/>
      <c r="AL189" s="107"/>
      <c r="AM189" s="91">
        <f t="shared" si="4"/>
        <v>30800000</v>
      </c>
      <c r="AN189" s="81" t="s">
        <v>1435</v>
      </c>
      <c r="AO189" s="6"/>
    </row>
    <row r="190" spans="1:41" s="1" customFormat="1" ht="203.25" hidden="1" customHeight="1" x14ac:dyDescent="0.2">
      <c r="A190" s="69">
        <v>316</v>
      </c>
      <c r="B190" s="68" t="s">
        <v>1408</v>
      </c>
      <c r="C190" s="66">
        <v>1</v>
      </c>
      <c r="D190" s="68" t="s">
        <v>1396</v>
      </c>
      <c r="E190" s="66">
        <v>41</v>
      </c>
      <c r="F190" s="68" t="s">
        <v>755</v>
      </c>
      <c r="G190" s="66">
        <v>4104</v>
      </c>
      <c r="H190" s="68" t="s">
        <v>864</v>
      </c>
      <c r="I190" s="66">
        <v>4104</v>
      </c>
      <c r="J190" s="68" t="s">
        <v>1389</v>
      </c>
      <c r="K190" s="68" t="s">
        <v>891</v>
      </c>
      <c r="L190" s="66" t="s">
        <v>38</v>
      </c>
      <c r="M190" s="114" t="s">
        <v>892</v>
      </c>
      <c r="N190" s="66">
        <v>4104008</v>
      </c>
      <c r="O190" s="114" t="s">
        <v>893</v>
      </c>
      <c r="P190" s="66" t="s">
        <v>38</v>
      </c>
      <c r="Q190" s="159" t="s">
        <v>894</v>
      </c>
      <c r="R190" s="66">
        <v>410400800</v>
      </c>
      <c r="S190" s="159" t="s">
        <v>895</v>
      </c>
      <c r="T190" s="72" t="s">
        <v>1449</v>
      </c>
      <c r="U190" s="34">
        <v>12</v>
      </c>
      <c r="V190" s="72" t="s">
        <v>888</v>
      </c>
      <c r="W190" s="68" t="s">
        <v>889</v>
      </c>
      <c r="X190" s="68" t="s">
        <v>890</v>
      </c>
      <c r="Y190" s="182">
        <v>4621490244.0100002</v>
      </c>
      <c r="Z190" s="160"/>
      <c r="AA190" s="107"/>
      <c r="AB190" s="107"/>
      <c r="AC190" s="107"/>
      <c r="AD190" s="107"/>
      <c r="AE190" s="107"/>
      <c r="AF190" s="107"/>
      <c r="AG190" s="107"/>
      <c r="AH190" s="107"/>
      <c r="AI190" s="111">
        <v>0</v>
      </c>
      <c r="AJ190" s="107"/>
      <c r="AK190" s="107"/>
      <c r="AL190" s="107"/>
      <c r="AM190" s="91">
        <f t="shared" si="4"/>
        <v>4621490244.0100002</v>
      </c>
      <c r="AN190" s="81" t="s">
        <v>1435</v>
      </c>
      <c r="AO190" s="6"/>
    </row>
    <row r="191" spans="1:41" s="1" customFormat="1" ht="135" hidden="1" customHeight="1" x14ac:dyDescent="0.2">
      <c r="A191" s="69">
        <v>316</v>
      </c>
      <c r="B191" s="68" t="s">
        <v>1408</v>
      </c>
      <c r="C191" s="66">
        <v>2</v>
      </c>
      <c r="D191" s="68" t="s">
        <v>1403</v>
      </c>
      <c r="E191" s="66">
        <v>17</v>
      </c>
      <c r="F191" s="68" t="s">
        <v>433</v>
      </c>
      <c r="G191" s="66">
        <v>1702</v>
      </c>
      <c r="H191" s="68" t="s">
        <v>434</v>
      </c>
      <c r="I191" s="66">
        <v>1702</v>
      </c>
      <c r="J191" s="68" t="s">
        <v>1357</v>
      </c>
      <c r="K191" s="68" t="s">
        <v>896</v>
      </c>
      <c r="L191" s="106">
        <v>1702011</v>
      </c>
      <c r="M191" s="68" t="s">
        <v>897</v>
      </c>
      <c r="N191" s="106">
        <v>1702011</v>
      </c>
      <c r="O191" s="68" t="s">
        <v>897</v>
      </c>
      <c r="P191" s="33" t="s">
        <v>898</v>
      </c>
      <c r="Q191" s="126" t="s">
        <v>899</v>
      </c>
      <c r="R191" s="33" t="s">
        <v>898</v>
      </c>
      <c r="S191" s="126" t="s">
        <v>899</v>
      </c>
      <c r="T191" s="72" t="s">
        <v>1451</v>
      </c>
      <c r="U191" s="34">
        <v>4</v>
      </c>
      <c r="V191" s="72" t="s">
        <v>900</v>
      </c>
      <c r="W191" s="68" t="s">
        <v>901</v>
      </c>
      <c r="X191" s="68" t="s">
        <v>902</v>
      </c>
      <c r="Y191" s="107"/>
      <c r="Z191" s="107"/>
      <c r="AA191" s="107"/>
      <c r="AB191" s="107"/>
      <c r="AC191" s="107"/>
      <c r="AD191" s="107"/>
      <c r="AE191" s="107"/>
      <c r="AF191" s="107"/>
      <c r="AG191" s="107"/>
      <c r="AH191" s="107"/>
      <c r="AI191" s="111">
        <v>18000000</v>
      </c>
      <c r="AJ191" s="107"/>
      <c r="AK191" s="107"/>
      <c r="AL191" s="107"/>
      <c r="AM191" s="91">
        <f t="shared" si="4"/>
        <v>18000000</v>
      </c>
      <c r="AN191" s="81" t="s">
        <v>1435</v>
      </c>
      <c r="AO191" s="6"/>
    </row>
    <row r="192" spans="1:41" s="1" customFormat="1" ht="131.25" hidden="1" customHeight="1" x14ac:dyDescent="0.2">
      <c r="A192" s="69">
        <v>316</v>
      </c>
      <c r="B192" s="68" t="s">
        <v>1408</v>
      </c>
      <c r="C192" s="66">
        <v>2</v>
      </c>
      <c r="D192" s="68" t="s">
        <v>1403</v>
      </c>
      <c r="E192" s="66">
        <v>36</v>
      </c>
      <c r="F192" s="125" t="s">
        <v>416</v>
      </c>
      <c r="G192" s="66">
        <v>3604</v>
      </c>
      <c r="H192" s="68" t="s">
        <v>903</v>
      </c>
      <c r="I192" s="66">
        <v>3604</v>
      </c>
      <c r="J192" s="68" t="s">
        <v>1383</v>
      </c>
      <c r="K192" s="68" t="s">
        <v>904</v>
      </c>
      <c r="L192" s="66">
        <v>3604006</v>
      </c>
      <c r="M192" s="68" t="s">
        <v>905</v>
      </c>
      <c r="N192" s="66">
        <v>3604006</v>
      </c>
      <c r="O192" s="68" t="s">
        <v>905</v>
      </c>
      <c r="P192" s="33">
        <v>360400600</v>
      </c>
      <c r="Q192" s="109" t="s">
        <v>317</v>
      </c>
      <c r="R192" s="33">
        <v>360400600</v>
      </c>
      <c r="S192" s="109" t="s">
        <v>317</v>
      </c>
      <c r="T192" s="72" t="s">
        <v>1451</v>
      </c>
      <c r="U192" s="150">
        <v>200</v>
      </c>
      <c r="V192" s="72" t="s">
        <v>906</v>
      </c>
      <c r="W192" s="114" t="s">
        <v>907</v>
      </c>
      <c r="X192" s="114" t="s">
        <v>908</v>
      </c>
      <c r="Y192" s="107"/>
      <c r="Z192" s="107"/>
      <c r="AA192" s="107"/>
      <c r="AB192" s="107"/>
      <c r="AC192" s="107"/>
      <c r="AD192" s="107"/>
      <c r="AE192" s="107"/>
      <c r="AF192" s="107"/>
      <c r="AG192" s="107"/>
      <c r="AH192" s="107"/>
      <c r="AI192" s="111">
        <f>18000000+20195000</f>
        <v>38195000</v>
      </c>
      <c r="AJ192" s="107"/>
      <c r="AK192" s="107"/>
      <c r="AL192" s="107"/>
      <c r="AM192" s="91">
        <f t="shared" si="4"/>
        <v>38195000</v>
      </c>
      <c r="AN192" s="81" t="s">
        <v>1435</v>
      </c>
      <c r="AO192" s="6"/>
    </row>
    <row r="193" spans="1:42" s="1" customFormat="1" ht="122.25" hidden="1" customHeight="1" x14ac:dyDescent="0.2">
      <c r="A193" s="69">
        <v>316</v>
      </c>
      <c r="B193" s="68" t="s">
        <v>1408</v>
      </c>
      <c r="C193" s="66">
        <v>4</v>
      </c>
      <c r="D193" s="68" t="s">
        <v>1394</v>
      </c>
      <c r="E193" s="66">
        <v>45</v>
      </c>
      <c r="F193" s="68" t="s">
        <v>909</v>
      </c>
      <c r="G193" s="66">
        <v>4502</v>
      </c>
      <c r="H193" s="68" t="s">
        <v>1348</v>
      </c>
      <c r="I193" s="66">
        <v>4502</v>
      </c>
      <c r="J193" s="68" t="s">
        <v>1349</v>
      </c>
      <c r="K193" s="68" t="s">
        <v>910</v>
      </c>
      <c r="L193" s="106">
        <v>4502001</v>
      </c>
      <c r="M193" s="68" t="s">
        <v>67</v>
      </c>
      <c r="N193" s="106">
        <v>4502001</v>
      </c>
      <c r="O193" s="68" t="s">
        <v>67</v>
      </c>
      <c r="P193" s="66" t="s">
        <v>38</v>
      </c>
      <c r="Q193" s="126" t="s">
        <v>911</v>
      </c>
      <c r="R193" s="106">
        <v>450200108</v>
      </c>
      <c r="S193" s="126" t="s">
        <v>912</v>
      </c>
      <c r="T193" s="72" t="s">
        <v>1451</v>
      </c>
      <c r="U193" s="34">
        <v>1</v>
      </c>
      <c r="V193" s="72" t="s">
        <v>913</v>
      </c>
      <c r="W193" s="68" t="s">
        <v>914</v>
      </c>
      <c r="X193" s="68" t="s">
        <v>915</v>
      </c>
      <c r="Y193" s="107"/>
      <c r="Z193" s="107"/>
      <c r="AA193" s="107"/>
      <c r="AB193" s="107"/>
      <c r="AC193" s="107"/>
      <c r="AD193" s="107"/>
      <c r="AE193" s="107"/>
      <c r="AF193" s="107"/>
      <c r="AG193" s="107"/>
      <c r="AH193" s="107"/>
      <c r="AI193" s="111">
        <v>18000000</v>
      </c>
      <c r="AJ193" s="107"/>
      <c r="AK193" s="107"/>
      <c r="AL193" s="107"/>
      <c r="AM193" s="91">
        <f t="shared" si="4"/>
        <v>18000000</v>
      </c>
      <c r="AN193" s="81" t="s">
        <v>1435</v>
      </c>
      <c r="AO193" s="6"/>
    </row>
    <row r="194" spans="1:42" s="1" customFormat="1" ht="224.25" hidden="1" customHeight="1" x14ac:dyDescent="0.2">
      <c r="A194" s="69">
        <v>316</v>
      </c>
      <c r="B194" s="68" t="s">
        <v>1408</v>
      </c>
      <c r="C194" s="66">
        <v>4</v>
      </c>
      <c r="D194" s="68" t="s">
        <v>1394</v>
      </c>
      <c r="E194" s="66">
        <v>45</v>
      </c>
      <c r="F194" s="68" t="s">
        <v>909</v>
      </c>
      <c r="G194" s="66">
        <v>4502</v>
      </c>
      <c r="H194" s="68" t="s">
        <v>1348</v>
      </c>
      <c r="I194" s="66">
        <v>4502</v>
      </c>
      <c r="J194" s="68" t="s">
        <v>1349</v>
      </c>
      <c r="K194" s="68" t="s">
        <v>916</v>
      </c>
      <c r="L194" s="66" t="s">
        <v>38</v>
      </c>
      <c r="M194" s="68" t="s">
        <v>917</v>
      </c>
      <c r="N194" s="115">
        <v>4502038</v>
      </c>
      <c r="O194" s="68" t="s">
        <v>918</v>
      </c>
      <c r="P194" s="66" t="s">
        <v>38</v>
      </c>
      <c r="Q194" s="126" t="s">
        <v>919</v>
      </c>
      <c r="R194" s="34">
        <v>450203800</v>
      </c>
      <c r="S194" s="126" t="s">
        <v>920</v>
      </c>
      <c r="T194" s="72" t="s">
        <v>1449</v>
      </c>
      <c r="U194" s="34">
        <v>1</v>
      </c>
      <c r="V194" s="72" t="s">
        <v>921</v>
      </c>
      <c r="W194" s="68" t="s">
        <v>922</v>
      </c>
      <c r="X194" s="68" t="s">
        <v>923</v>
      </c>
      <c r="Y194" s="107"/>
      <c r="Z194" s="107"/>
      <c r="AA194" s="107"/>
      <c r="AB194" s="107"/>
      <c r="AC194" s="107"/>
      <c r="AD194" s="107"/>
      <c r="AE194" s="107"/>
      <c r="AF194" s="107"/>
      <c r="AG194" s="107"/>
      <c r="AH194" s="107"/>
      <c r="AI194" s="111">
        <f>95000000-18000000</f>
        <v>77000000</v>
      </c>
      <c r="AJ194" s="107"/>
      <c r="AK194" s="107"/>
      <c r="AL194" s="107"/>
      <c r="AM194" s="91">
        <f t="shared" si="4"/>
        <v>77000000</v>
      </c>
      <c r="AN194" s="81" t="s">
        <v>1435</v>
      </c>
      <c r="AO194" s="6"/>
    </row>
    <row r="195" spans="1:42" s="1" customFormat="1" ht="216" hidden="1" customHeight="1" x14ac:dyDescent="0.2">
      <c r="A195" s="69">
        <v>316</v>
      </c>
      <c r="B195" s="68" t="s">
        <v>1408</v>
      </c>
      <c r="C195" s="66">
        <v>4</v>
      </c>
      <c r="D195" s="68" t="s">
        <v>1394</v>
      </c>
      <c r="E195" s="66">
        <v>45</v>
      </c>
      <c r="F195" s="68" t="s">
        <v>909</v>
      </c>
      <c r="G195" s="66">
        <v>4502</v>
      </c>
      <c r="H195" s="68" t="s">
        <v>1348</v>
      </c>
      <c r="I195" s="66">
        <v>4502</v>
      </c>
      <c r="J195" s="68" t="s">
        <v>1349</v>
      </c>
      <c r="K195" s="68" t="s">
        <v>924</v>
      </c>
      <c r="L195" s="66" t="s">
        <v>38</v>
      </c>
      <c r="M195" s="68" t="s">
        <v>925</v>
      </c>
      <c r="N195" s="115">
        <v>4502038</v>
      </c>
      <c r="O195" s="68" t="s">
        <v>918</v>
      </c>
      <c r="P195" s="66" t="s">
        <v>38</v>
      </c>
      <c r="Q195" s="126" t="s">
        <v>926</v>
      </c>
      <c r="R195" s="34">
        <v>450203800</v>
      </c>
      <c r="S195" s="126" t="s">
        <v>920</v>
      </c>
      <c r="T195" s="72" t="s">
        <v>1449</v>
      </c>
      <c r="U195" s="34">
        <v>1</v>
      </c>
      <c r="V195" s="72" t="s">
        <v>927</v>
      </c>
      <c r="W195" s="68" t="s">
        <v>928</v>
      </c>
      <c r="X195" s="68" t="s">
        <v>929</v>
      </c>
      <c r="Y195" s="107"/>
      <c r="Z195" s="107"/>
      <c r="AA195" s="107"/>
      <c r="AB195" s="107"/>
      <c r="AC195" s="107"/>
      <c r="AD195" s="107"/>
      <c r="AE195" s="107"/>
      <c r="AF195" s="107"/>
      <c r="AG195" s="107"/>
      <c r="AH195" s="107"/>
      <c r="AI195" s="111">
        <v>90000000</v>
      </c>
      <c r="AJ195" s="107"/>
      <c r="AK195" s="107"/>
      <c r="AL195" s="107"/>
      <c r="AM195" s="91">
        <f t="shared" si="4"/>
        <v>90000000</v>
      </c>
      <c r="AN195" s="81" t="s">
        <v>1435</v>
      </c>
      <c r="AO195" s="6"/>
    </row>
    <row r="196" spans="1:42" s="1" customFormat="1" ht="180" hidden="1" customHeight="1" x14ac:dyDescent="0.2">
      <c r="A196" s="69">
        <v>316</v>
      </c>
      <c r="B196" s="68" t="s">
        <v>1408</v>
      </c>
      <c r="C196" s="66">
        <v>4</v>
      </c>
      <c r="D196" s="68" t="s">
        <v>1394</v>
      </c>
      <c r="E196" s="66">
        <v>45</v>
      </c>
      <c r="F196" s="68" t="s">
        <v>909</v>
      </c>
      <c r="G196" s="66">
        <v>4502</v>
      </c>
      <c r="H196" s="68" t="s">
        <v>1348</v>
      </c>
      <c r="I196" s="66">
        <v>4502</v>
      </c>
      <c r="J196" s="68" t="s">
        <v>1349</v>
      </c>
      <c r="K196" s="68" t="s">
        <v>930</v>
      </c>
      <c r="L196" s="106">
        <v>4501024</v>
      </c>
      <c r="M196" s="68" t="s">
        <v>328</v>
      </c>
      <c r="N196" s="106">
        <v>4502024</v>
      </c>
      <c r="O196" s="68" t="s">
        <v>328</v>
      </c>
      <c r="P196" s="66" t="s">
        <v>38</v>
      </c>
      <c r="Q196" s="68" t="s">
        <v>931</v>
      </c>
      <c r="R196" s="106">
        <v>450202401</v>
      </c>
      <c r="S196" s="68" t="s">
        <v>932</v>
      </c>
      <c r="T196" s="72" t="s">
        <v>1449</v>
      </c>
      <c r="U196" s="34">
        <v>1</v>
      </c>
      <c r="V196" s="72" t="s">
        <v>933</v>
      </c>
      <c r="W196" s="68" t="s">
        <v>934</v>
      </c>
      <c r="X196" s="68" t="s">
        <v>935</v>
      </c>
      <c r="Y196" s="107">
        <v>0</v>
      </c>
      <c r="Z196" s="107">
        <v>0</v>
      </c>
      <c r="AA196" s="107">
        <v>0</v>
      </c>
      <c r="AB196" s="107">
        <v>0</v>
      </c>
      <c r="AC196" s="107">
        <v>0</v>
      </c>
      <c r="AD196" s="107">
        <v>0</v>
      </c>
      <c r="AE196" s="107">
        <v>0</v>
      </c>
      <c r="AF196" s="107">
        <v>0</v>
      </c>
      <c r="AG196" s="107">
        <v>0</v>
      </c>
      <c r="AH196" s="107">
        <v>0</v>
      </c>
      <c r="AI196" s="111">
        <v>33000000</v>
      </c>
      <c r="AJ196" s="107"/>
      <c r="AK196" s="107"/>
      <c r="AL196" s="107"/>
      <c r="AM196" s="91">
        <f t="shared" si="4"/>
        <v>33000000</v>
      </c>
      <c r="AN196" s="81" t="s">
        <v>1435</v>
      </c>
      <c r="AO196" s="6"/>
    </row>
    <row r="197" spans="1:42" s="1" customFormat="1" ht="178.5" hidden="1" customHeight="1" x14ac:dyDescent="0.2">
      <c r="A197" s="69">
        <v>316</v>
      </c>
      <c r="B197" s="68" t="s">
        <v>1408</v>
      </c>
      <c r="C197" s="66">
        <v>4</v>
      </c>
      <c r="D197" s="68" t="s">
        <v>1394</v>
      </c>
      <c r="E197" s="66">
        <v>45</v>
      </c>
      <c r="F197" s="68" t="s">
        <v>909</v>
      </c>
      <c r="G197" s="66">
        <v>4502</v>
      </c>
      <c r="H197" s="68" t="s">
        <v>1348</v>
      </c>
      <c r="I197" s="66">
        <v>4502</v>
      </c>
      <c r="J197" s="68" t="s">
        <v>1349</v>
      </c>
      <c r="K197" s="68" t="s">
        <v>930</v>
      </c>
      <c r="L197" s="106">
        <v>4501024</v>
      </c>
      <c r="M197" s="68" t="s">
        <v>328</v>
      </c>
      <c r="N197" s="106">
        <v>4502024</v>
      </c>
      <c r="O197" s="68" t="s">
        <v>328</v>
      </c>
      <c r="P197" s="66" t="s">
        <v>38</v>
      </c>
      <c r="Q197" s="68" t="s">
        <v>936</v>
      </c>
      <c r="R197" s="106">
        <v>450202401</v>
      </c>
      <c r="S197" s="68" t="s">
        <v>932</v>
      </c>
      <c r="T197" s="72" t="s">
        <v>1449</v>
      </c>
      <c r="U197" s="34">
        <v>1</v>
      </c>
      <c r="V197" s="72" t="s">
        <v>937</v>
      </c>
      <c r="W197" s="68" t="s">
        <v>938</v>
      </c>
      <c r="X197" s="68" t="s">
        <v>939</v>
      </c>
      <c r="Y197" s="107"/>
      <c r="Z197" s="107"/>
      <c r="AA197" s="107"/>
      <c r="AB197" s="107"/>
      <c r="AC197" s="107"/>
      <c r="AD197" s="107"/>
      <c r="AE197" s="107"/>
      <c r="AF197" s="107"/>
      <c r="AG197" s="107"/>
      <c r="AH197" s="107"/>
      <c r="AI197" s="181">
        <f>33000000+15000000</f>
        <v>48000000</v>
      </c>
      <c r="AJ197" s="107"/>
      <c r="AK197" s="107"/>
      <c r="AL197" s="107"/>
      <c r="AM197" s="91">
        <f t="shared" si="4"/>
        <v>48000000</v>
      </c>
      <c r="AN197" s="81" t="s">
        <v>1435</v>
      </c>
      <c r="AO197" s="6"/>
    </row>
    <row r="198" spans="1:42" s="1" customFormat="1" ht="207" hidden="1" customHeight="1" x14ac:dyDescent="0.2">
      <c r="A198" s="69">
        <v>316</v>
      </c>
      <c r="B198" s="68" t="s">
        <v>1408</v>
      </c>
      <c r="C198" s="66">
        <v>4</v>
      </c>
      <c r="D198" s="68" t="s">
        <v>1394</v>
      </c>
      <c r="E198" s="66">
        <v>45</v>
      </c>
      <c r="F198" s="68" t="s">
        <v>909</v>
      </c>
      <c r="G198" s="66" t="s">
        <v>38</v>
      </c>
      <c r="H198" s="68" t="s">
        <v>1352</v>
      </c>
      <c r="I198" s="66">
        <v>4599</v>
      </c>
      <c r="J198" s="68" t="s">
        <v>1353</v>
      </c>
      <c r="K198" s="68" t="s">
        <v>940</v>
      </c>
      <c r="L198" s="66" t="s">
        <v>38</v>
      </c>
      <c r="M198" s="114" t="s">
        <v>941</v>
      </c>
      <c r="N198" s="161" t="s">
        <v>942</v>
      </c>
      <c r="O198" s="114" t="s">
        <v>343</v>
      </c>
      <c r="P198" s="66" t="s">
        <v>38</v>
      </c>
      <c r="Q198" s="159" t="s">
        <v>943</v>
      </c>
      <c r="R198" s="161" t="s">
        <v>944</v>
      </c>
      <c r="S198" s="159" t="s">
        <v>945</v>
      </c>
      <c r="T198" s="72" t="s">
        <v>1449</v>
      </c>
      <c r="U198" s="34">
        <v>1</v>
      </c>
      <c r="V198" s="72" t="s">
        <v>946</v>
      </c>
      <c r="W198" s="114" t="s">
        <v>1330</v>
      </c>
      <c r="X198" s="68" t="s">
        <v>1331</v>
      </c>
      <c r="Y198" s="107"/>
      <c r="Z198" s="107"/>
      <c r="AA198" s="107"/>
      <c r="AB198" s="107"/>
      <c r="AC198" s="107"/>
      <c r="AD198" s="107"/>
      <c r="AE198" s="107"/>
      <c r="AF198" s="107"/>
      <c r="AG198" s="107"/>
      <c r="AH198" s="107"/>
      <c r="AI198" s="111">
        <v>50000000</v>
      </c>
      <c r="AJ198" s="107"/>
      <c r="AK198" s="107"/>
      <c r="AL198" s="107"/>
      <c r="AM198" s="91">
        <f t="shared" si="4"/>
        <v>50000000</v>
      </c>
      <c r="AN198" s="81" t="s">
        <v>1435</v>
      </c>
      <c r="AO198" s="6"/>
    </row>
    <row r="199" spans="1:42" s="1" customFormat="1" ht="237" hidden="1" customHeight="1" x14ac:dyDescent="0.2">
      <c r="A199" s="69">
        <v>316</v>
      </c>
      <c r="B199" s="68" t="s">
        <v>1408</v>
      </c>
      <c r="C199" s="66">
        <v>4</v>
      </c>
      <c r="D199" s="68" t="s">
        <v>1394</v>
      </c>
      <c r="E199" s="66">
        <v>45</v>
      </c>
      <c r="F199" s="68" t="s">
        <v>909</v>
      </c>
      <c r="G199" s="66" t="s">
        <v>38</v>
      </c>
      <c r="H199" s="68" t="s">
        <v>1352</v>
      </c>
      <c r="I199" s="66">
        <v>4599</v>
      </c>
      <c r="J199" s="68" t="s">
        <v>1353</v>
      </c>
      <c r="K199" s="68" t="s">
        <v>916</v>
      </c>
      <c r="L199" s="66" t="s">
        <v>38</v>
      </c>
      <c r="M199" s="68" t="s">
        <v>947</v>
      </c>
      <c r="N199" s="161" t="s">
        <v>942</v>
      </c>
      <c r="O199" s="114" t="s">
        <v>343</v>
      </c>
      <c r="P199" s="66" t="s">
        <v>38</v>
      </c>
      <c r="Q199" s="126" t="s">
        <v>948</v>
      </c>
      <c r="R199" s="161" t="s">
        <v>944</v>
      </c>
      <c r="S199" s="159" t="s">
        <v>945</v>
      </c>
      <c r="T199" s="72" t="s">
        <v>1449</v>
      </c>
      <c r="U199" s="34">
        <v>1</v>
      </c>
      <c r="V199" s="72" t="s">
        <v>949</v>
      </c>
      <c r="W199" s="68" t="s">
        <v>950</v>
      </c>
      <c r="X199" s="68" t="s">
        <v>923</v>
      </c>
      <c r="Y199" s="107"/>
      <c r="Z199" s="107"/>
      <c r="AA199" s="107"/>
      <c r="AB199" s="107"/>
      <c r="AC199" s="107"/>
      <c r="AD199" s="107"/>
      <c r="AE199" s="107"/>
      <c r="AF199" s="107"/>
      <c r="AG199" s="107"/>
      <c r="AH199" s="107"/>
      <c r="AI199" s="111">
        <f>95000000-36000000-41000000</f>
        <v>18000000</v>
      </c>
      <c r="AJ199" s="107"/>
      <c r="AK199" s="107"/>
      <c r="AL199" s="107"/>
      <c r="AM199" s="91">
        <f t="shared" si="4"/>
        <v>18000000</v>
      </c>
      <c r="AN199" s="81" t="s">
        <v>1435</v>
      </c>
      <c r="AO199" s="6"/>
    </row>
    <row r="200" spans="1:42" s="1" customFormat="1" ht="189" hidden="1" customHeight="1" x14ac:dyDescent="0.2">
      <c r="A200" s="69">
        <v>316</v>
      </c>
      <c r="B200" s="68" t="s">
        <v>1408</v>
      </c>
      <c r="C200" s="66">
        <v>4</v>
      </c>
      <c r="D200" s="68" t="s">
        <v>1394</v>
      </c>
      <c r="E200" s="66">
        <v>45</v>
      </c>
      <c r="F200" s="68" t="s">
        <v>909</v>
      </c>
      <c r="G200" s="66" t="s">
        <v>38</v>
      </c>
      <c r="H200" s="68" t="s">
        <v>1352</v>
      </c>
      <c r="I200" s="66">
        <v>4599</v>
      </c>
      <c r="J200" s="68" t="s">
        <v>1353</v>
      </c>
      <c r="K200" s="68" t="s">
        <v>951</v>
      </c>
      <c r="L200" s="66" t="s">
        <v>38</v>
      </c>
      <c r="M200" s="114" t="s">
        <v>952</v>
      </c>
      <c r="N200" s="161" t="s">
        <v>942</v>
      </c>
      <c r="O200" s="114" t="s">
        <v>343</v>
      </c>
      <c r="P200" s="66" t="s">
        <v>38</v>
      </c>
      <c r="Q200" s="126" t="s">
        <v>953</v>
      </c>
      <c r="R200" s="161" t="s">
        <v>944</v>
      </c>
      <c r="S200" s="159" t="s">
        <v>945</v>
      </c>
      <c r="T200" s="72" t="s">
        <v>1449</v>
      </c>
      <c r="U200" s="34">
        <v>1</v>
      </c>
      <c r="V200" s="72" t="s">
        <v>954</v>
      </c>
      <c r="W200" s="68" t="s">
        <v>955</v>
      </c>
      <c r="X200" s="68" t="s">
        <v>956</v>
      </c>
      <c r="Y200" s="107"/>
      <c r="Z200" s="107"/>
      <c r="AA200" s="107"/>
      <c r="AB200" s="107"/>
      <c r="AC200" s="107"/>
      <c r="AD200" s="107"/>
      <c r="AE200" s="107"/>
      <c r="AF200" s="107"/>
      <c r="AG200" s="107"/>
      <c r="AH200" s="107"/>
      <c r="AI200" s="111">
        <f>36000000+109894503-2800000</f>
        <v>143094503</v>
      </c>
      <c r="AJ200" s="107"/>
      <c r="AK200" s="107"/>
      <c r="AL200" s="107"/>
      <c r="AM200" s="91">
        <f t="shared" si="4"/>
        <v>143094503</v>
      </c>
      <c r="AN200" s="81" t="s">
        <v>1435</v>
      </c>
      <c r="AO200" s="6"/>
    </row>
    <row r="201" spans="1:42" s="1" customFormat="1" ht="108" hidden="1" customHeight="1" x14ac:dyDescent="0.2">
      <c r="A201" s="69">
        <v>318</v>
      </c>
      <c r="B201" s="125" t="s">
        <v>1409</v>
      </c>
      <c r="C201" s="66">
        <v>1</v>
      </c>
      <c r="D201" s="105" t="s">
        <v>1396</v>
      </c>
      <c r="E201" s="66">
        <v>19</v>
      </c>
      <c r="F201" s="68" t="s">
        <v>138</v>
      </c>
      <c r="G201" s="66">
        <v>1903</v>
      </c>
      <c r="H201" s="68" t="s">
        <v>1366</v>
      </c>
      <c r="I201" s="66">
        <v>1903</v>
      </c>
      <c r="J201" s="68" t="s">
        <v>1367</v>
      </c>
      <c r="K201" s="68" t="s">
        <v>957</v>
      </c>
      <c r="L201" s="66">
        <v>1903009</v>
      </c>
      <c r="M201" s="68" t="s">
        <v>958</v>
      </c>
      <c r="N201" s="66">
        <v>1903009</v>
      </c>
      <c r="O201" s="68" t="s">
        <v>959</v>
      </c>
      <c r="P201" s="34">
        <v>190300900</v>
      </c>
      <c r="Q201" s="126" t="s">
        <v>960</v>
      </c>
      <c r="R201" s="34">
        <v>190300900</v>
      </c>
      <c r="S201" s="126" t="s">
        <v>1336</v>
      </c>
      <c r="T201" s="72" t="s">
        <v>1451</v>
      </c>
      <c r="U201" s="203">
        <f>600+28</f>
        <v>628</v>
      </c>
      <c r="V201" s="72" t="s">
        <v>961</v>
      </c>
      <c r="W201" s="68" t="s">
        <v>962</v>
      </c>
      <c r="X201" s="68" t="s">
        <v>963</v>
      </c>
      <c r="Y201" s="107"/>
      <c r="Z201" s="107"/>
      <c r="AA201" s="107"/>
      <c r="AB201" s="107"/>
      <c r="AC201" s="107">
        <v>65489500</v>
      </c>
      <c r="AD201" s="107"/>
      <c r="AE201" s="107"/>
      <c r="AF201" s="107"/>
      <c r="AG201" s="107"/>
      <c r="AH201" s="107"/>
      <c r="AI201" s="111">
        <f>40000000-40000000</f>
        <v>0</v>
      </c>
      <c r="AJ201" s="107"/>
      <c r="AK201" s="107"/>
      <c r="AL201" s="107"/>
      <c r="AM201" s="91">
        <f t="shared" si="4"/>
        <v>65489500</v>
      </c>
      <c r="AN201" s="81" t="s">
        <v>1436</v>
      </c>
      <c r="AO201" s="6"/>
      <c r="AP201" s="202"/>
    </row>
    <row r="202" spans="1:42" s="1" customFormat="1" ht="85.5" hidden="1" customHeight="1" x14ac:dyDescent="0.2">
      <c r="A202" s="69">
        <v>318</v>
      </c>
      <c r="B202" s="125" t="s">
        <v>1409</v>
      </c>
      <c r="C202" s="66">
        <v>1</v>
      </c>
      <c r="D202" s="105" t="s">
        <v>1396</v>
      </c>
      <c r="E202" s="66">
        <v>19</v>
      </c>
      <c r="F202" s="68" t="s">
        <v>138</v>
      </c>
      <c r="G202" s="66">
        <v>1903</v>
      </c>
      <c r="H202" s="68" t="s">
        <v>1366</v>
      </c>
      <c r="I202" s="66">
        <v>1903</v>
      </c>
      <c r="J202" s="68" t="s">
        <v>1367</v>
      </c>
      <c r="K202" s="68" t="s">
        <v>964</v>
      </c>
      <c r="L202" s="66">
        <v>1903031</v>
      </c>
      <c r="M202" s="68" t="s">
        <v>958</v>
      </c>
      <c r="N202" s="66">
        <v>1903031</v>
      </c>
      <c r="O202" s="68" t="s">
        <v>965</v>
      </c>
      <c r="P202" s="34">
        <v>190303100</v>
      </c>
      <c r="Q202" s="126" t="s">
        <v>966</v>
      </c>
      <c r="R202" s="34">
        <v>190303100</v>
      </c>
      <c r="S202" s="126" t="s">
        <v>966</v>
      </c>
      <c r="T202" s="72" t="s">
        <v>1449</v>
      </c>
      <c r="U202" s="34">
        <v>12</v>
      </c>
      <c r="V202" s="72" t="s">
        <v>961</v>
      </c>
      <c r="W202" s="68" t="s">
        <v>962</v>
      </c>
      <c r="X202" s="68" t="s">
        <v>963</v>
      </c>
      <c r="Y202" s="107"/>
      <c r="Z202" s="107"/>
      <c r="AA202" s="107"/>
      <c r="AB202" s="107"/>
      <c r="AC202" s="134">
        <v>74000000</v>
      </c>
      <c r="AD202" s="107"/>
      <c r="AE202" s="107"/>
      <c r="AF202" s="107"/>
      <c r="AG202" s="107"/>
      <c r="AH202" s="107"/>
      <c r="AI202" s="111"/>
      <c r="AJ202" s="107"/>
      <c r="AK202" s="107"/>
      <c r="AL202" s="107"/>
      <c r="AM202" s="91">
        <f t="shared" si="4"/>
        <v>74000000</v>
      </c>
      <c r="AN202" s="81" t="s">
        <v>1436</v>
      </c>
      <c r="AO202" s="6"/>
    </row>
    <row r="203" spans="1:42" s="1" customFormat="1" ht="83.25" hidden="1" customHeight="1" x14ac:dyDescent="0.2">
      <c r="A203" s="69">
        <v>318</v>
      </c>
      <c r="B203" s="125" t="s">
        <v>1409</v>
      </c>
      <c r="C203" s="66">
        <v>1</v>
      </c>
      <c r="D203" s="105" t="s">
        <v>1396</v>
      </c>
      <c r="E203" s="66">
        <v>19</v>
      </c>
      <c r="F203" s="68" t="s">
        <v>138</v>
      </c>
      <c r="G203" s="66">
        <v>1903</v>
      </c>
      <c r="H203" s="68" t="s">
        <v>1366</v>
      </c>
      <c r="I203" s="66">
        <v>1903</v>
      </c>
      <c r="J203" s="68" t="s">
        <v>1367</v>
      </c>
      <c r="K203" s="68" t="s">
        <v>967</v>
      </c>
      <c r="L203" s="66">
        <v>1903023</v>
      </c>
      <c r="M203" s="68" t="s">
        <v>958</v>
      </c>
      <c r="N203" s="66">
        <v>1903023</v>
      </c>
      <c r="O203" s="68" t="s">
        <v>968</v>
      </c>
      <c r="P203" s="34">
        <v>190302300</v>
      </c>
      <c r="Q203" s="68" t="s">
        <v>969</v>
      </c>
      <c r="R203" s="34">
        <v>190302300</v>
      </c>
      <c r="S203" s="68" t="s">
        <v>969</v>
      </c>
      <c r="T203" s="72" t="s">
        <v>1449</v>
      </c>
      <c r="U203" s="34">
        <v>12</v>
      </c>
      <c r="V203" s="72" t="s">
        <v>961</v>
      </c>
      <c r="W203" s="68" t="s">
        <v>962</v>
      </c>
      <c r="X203" s="68" t="s">
        <v>963</v>
      </c>
      <c r="Y203" s="107"/>
      <c r="Z203" s="107"/>
      <c r="AA203" s="107"/>
      <c r="AB203" s="107"/>
      <c r="AC203" s="134">
        <v>25676500</v>
      </c>
      <c r="AD203" s="107"/>
      <c r="AE203" s="107"/>
      <c r="AF203" s="107"/>
      <c r="AG203" s="107"/>
      <c r="AH203" s="107"/>
      <c r="AI203" s="162"/>
      <c r="AJ203" s="107"/>
      <c r="AK203" s="107"/>
      <c r="AL203" s="107"/>
      <c r="AM203" s="91">
        <f t="shared" si="4"/>
        <v>25676500</v>
      </c>
      <c r="AN203" s="81" t="s">
        <v>1436</v>
      </c>
      <c r="AO203" s="6"/>
    </row>
    <row r="204" spans="1:42" s="1" customFormat="1" ht="175.5" hidden="1" customHeight="1" x14ac:dyDescent="0.2">
      <c r="A204" s="69">
        <v>318</v>
      </c>
      <c r="B204" s="125" t="s">
        <v>1409</v>
      </c>
      <c r="C204" s="66">
        <v>1</v>
      </c>
      <c r="D204" s="105" t="s">
        <v>1396</v>
      </c>
      <c r="E204" s="66">
        <v>19</v>
      </c>
      <c r="F204" s="68" t="s">
        <v>138</v>
      </c>
      <c r="G204" s="66">
        <v>1903</v>
      </c>
      <c r="H204" s="68" t="s">
        <v>1366</v>
      </c>
      <c r="I204" s="66">
        <v>1903</v>
      </c>
      <c r="J204" s="68" t="s">
        <v>1367</v>
      </c>
      <c r="K204" s="68" t="s">
        <v>970</v>
      </c>
      <c r="L204" s="66" t="s">
        <v>38</v>
      </c>
      <c r="M204" s="68" t="s">
        <v>958</v>
      </c>
      <c r="N204" s="66">
        <v>1903050</v>
      </c>
      <c r="O204" s="68" t="s">
        <v>971</v>
      </c>
      <c r="P204" s="66" t="s">
        <v>38</v>
      </c>
      <c r="Q204" s="126" t="s">
        <v>972</v>
      </c>
      <c r="R204" s="34">
        <v>190305000</v>
      </c>
      <c r="S204" s="126" t="s">
        <v>973</v>
      </c>
      <c r="T204" s="72" t="s">
        <v>1449</v>
      </c>
      <c r="U204" s="34">
        <v>12</v>
      </c>
      <c r="V204" s="72" t="s">
        <v>961</v>
      </c>
      <c r="W204" s="68" t="s">
        <v>962</v>
      </c>
      <c r="X204" s="68" t="s">
        <v>963</v>
      </c>
      <c r="Y204" s="107"/>
      <c r="Z204" s="107"/>
      <c r="AA204" s="107"/>
      <c r="AB204" s="107"/>
      <c r="AC204" s="107">
        <v>27216500</v>
      </c>
      <c r="AD204" s="163"/>
      <c r="AE204" s="107"/>
      <c r="AF204" s="107"/>
      <c r="AG204" s="107"/>
      <c r="AH204" s="107"/>
      <c r="AI204" s="162"/>
      <c r="AJ204" s="107"/>
      <c r="AK204" s="107"/>
      <c r="AL204" s="107"/>
      <c r="AM204" s="91">
        <f t="shared" si="4"/>
        <v>27216500</v>
      </c>
      <c r="AN204" s="81" t="s">
        <v>1436</v>
      </c>
      <c r="AO204" s="6"/>
    </row>
    <row r="205" spans="1:42" s="1" customFormat="1" ht="144" hidden="1" customHeight="1" x14ac:dyDescent="0.2">
      <c r="A205" s="69">
        <v>318</v>
      </c>
      <c r="B205" s="125" t="s">
        <v>1409</v>
      </c>
      <c r="C205" s="66">
        <v>1</v>
      </c>
      <c r="D205" s="105" t="s">
        <v>1396</v>
      </c>
      <c r="E205" s="66">
        <v>19</v>
      </c>
      <c r="F205" s="68" t="s">
        <v>138</v>
      </c>
      <c r="G205" s="66">
        <v>1903</v>
      </c>
      <c r="H205" s="68" t="s">
        <v>1366</v>
      </c>
      <c r="I205" s="66">
        <v>1903</v>
      </c>
      <c r="J205" s="68" t="s">
        <v>1367</v>
      </c>
      <c r="K205" s="68" t="s">
        <v>957</v>
      </c>
      <c r="L205" s="66" t="s">
        <v>38</v>
      </c>
      <c r="M205" s="68" t="s">
        <v>958</v>
      </c>
      <c r="N205" s="66">
        <v>1903038</v>
      </c>
      <c r="O205" s="68" t="s">
        <v>974</v>
      </c>
      <c r="P205" s="66" t="s">
        <v>38</v>
      </c>
      <c r="Q205" s="68" t="s">
        <v>975</v>
      </c>
      <c r="R205" s="66">
        <v>190303801</v>
      </c>
      <c r="S205" s="68" t="s">
        <v>976</v>
      </c>
      <c r="T205" s="72" t="s">
        <v>1449</v>
      </c>
      <c r="U205" s="66">
        <v>1</v>
      </c>
      <c r="V205" s="72" t="s">
        <v>961</v>
      </c>
      <c r="W205" s="68" t="s">
        <v>962</v>
      </c>
      <c r="X205" s="68" t="s">
        <v>963</v>
      </c>
      <c r="Y205" s="107"/>
      <c r="Z205" s="107"/>
      <c r="AA205" s="107"/>
      <c r="AB205" s="107"/>
      <c r="AC205" s="107">
        <f>48000000-47618500</f>
        <v>381500</v>
      </c>
      <c r="AD205" s="107"/>
      <c r="AE205" s="107"/>
      <c r="AF205" s="107"/>
      <c r="AG205" s="107"/>
      <c r="AH205" s="107"/>
      <c r="AI205" s="162"/>
      <c r="AJ205" s="107"/>
      <c r="AK205" s="75">
        <f>842700000+2000000+571581421.21</f>
        <v>1416281421.21</v>
      </c>
      <c r="AL205" s="75"/>
      <c r="AM205" s="91">
        <f t="shared" si="4"/>
        <v>1416662921.21</v>
      </c>
      <c r="AN205" s="81" t="s">
        <v>1436</v>
      </c>
      <c r="AO205" s="6"/>
    </row>
    <row r="206" spans="1:42" s="1" customFormat="1" ht="120.75" hidden="1" customHeight="1" x14ac:dyDescent="0.2">
      <c r="A206" s="69">
        <v>318</v>
      </c>
      <c r="B206" s="125" t="s">
        <v>1409</v>
      </c>
      <c r="C206" s="66">
        <v>1</v>
      </c>
      <c r="D206" s="105" t="s">
        <v>1396</v>
      </c>
      <c r="E206" s="66">
        <v>19</v>
      </c>
      <c r="F206" s="68" t="s">
        <v>138</v>
      </c>
      <c r="G206" s="66">
        <v>1903</v>
      </c>
      <c r="H206" s="68" t="s">
        <v>1366</v>
      </c>
      <c r="I206" s="66">
        <v>1903</v>
      </c>
      <c r="J206" s="68" t="s">
        <v>1367</v>
      </c>
      <c r="K206" s="68" t="s">
        <v>977</v>
      </c>
      <c r="L206" s="66">
        <v>1903038</v>
      </c>
      <c r="M206" s="68" t="s">
        <v>958</v>
      </c>
      <c r="N206" s="66">
        <v>1903038</v>
      </c>
      <c r="O206" s="68" t="s">
        <v>974</v>
      </c>
      <c r="P206" s="34">
        <v>190303801</v>
      </c>
      <c r="Q206" s="68" t="s">
        <v>978</v>
      </c>
      <c r="R206" s="34">
        <v>190303801</v>
      </c>
      <c r="S206" s="68" t="s">
        <v>978</v>
      </c>
      <c r="T206" s="72" t="s">
        <v>1449</v>
      </c>
      <c r="U206" s="34">
        <v>11</v>
      </c>
      <c r="V206" s="72" t="s">
        <v>961</v>
      </c>
      <c r="W206" s="68" t="s">
        <v>962</v>
      </c>
      <c r="X206" s="68" t="s">
        <v>963</v>
      </c>
      <c r="Y206" s="107"/>
      <c r="Z206" s="107"/>
      <c r="AA206" s="107"/>
      <c r="AB206" s="107"/>
      <c r="AC206" s="75">
        <v>28050000</v>
      </c>
      <c r="AD206" s="107"/>
      <c r="AE206" s="107"/>
      <c r="AF206" s="107"/>
      <c r="AG206" s="107"/>
      <c r="AH206" s="107"/>
      <c r="AI206" s="162"/>
      <c r="AJ206" s="107"/>
      <c r="AK206" s="107"/>
      <c r="AL206" s="107"/>
      <c r="AM206" s="91">
        <f t="shared" si="4"/>
        <v>28050000</v>
      </c>
      <c r="AN206" s="81" t="s">
        <v>1436</v>
      </c>
      <c r="AO206" s="6"/>
    </row>
    <row r="207" spans="1:42" s="1" customFormat="1" ht="78.75" hidden="1" customHeight="1" x14ac:dyDescent="0.2">
      <c r="A207" s="69">
        <v>318</v>
      </c>
      <c r="B207" s="125" t="s">
        <v>1409</v>
      </c>
      <c r="C207" s="66">
        <v>1</v>
      </c>
      <c r="D207" s="105" t="s">
        <v>1396</v>
      </c>
      <c r="E207" s="66">
        <v>19</v>
      </c>
      <c r="F207" s="68" t="s">
        <v>138</v>
      </c>
      <c r="G207" s="66">
        <v>1903</v>
      </c>
      <c r="H207" s="68" t="s">
        <v>1366</v>
      </c>
      <c r="I207" s="66">
        <v>1903</v>
      </c>
      <c r="J207" s="68" t="s">
        <v>1367</v>
      </c>
      <c r="K207" s="68" t="s">
        <v>964</v>
      </c>
      <c r="L207" s="66">
        <v>1903027</v>
      </c>
      <c r="M207" s="68" t="s">
        <v>958</v>
      </c>
      <c r="N207" s="66">
        <v>1903027</v>
      </c>
      <c r="O207" s="68" t="s">
        <v>979</v>
      </c>
      <c r="P207" s="34">
        <v>190302700</v>
      </c>
      <c r="Q207" s="126" t="s">
        <v>980</v>
      </c>
      <c r="R207" s="34">
        <v>190302700</v>
      </c>
      <c r="S207" s="68" t="s">
        <v>980</v>
      </c>
      <c r="T207" s="72" t="s">
        <v>1449</v>
      </c>
      <c r="U207" s="34">
        <v>5</v>
      </c>
      <c r="V207" s="72" t="s">
        <v>961</v>
      </c>
      <c r="W207" s="68" t="s">
        <v>962</v>
      </c>
      <c r="X207" s="68" t="s">
        <v>963</v>
      </c>
      <c r="Y207" s="107"/>
      <c r="Z207" s="107"/>
      <c r="AA207" s="107"/>
      <c r="AB207" s="107"/>
      <c r="AC207" s="75">
        <f>19000000-7460000</f>
        <v>11540000</v>
      </c>
      <c r="AD207" s="107"/>
      <c r="AE207" s="107"/>
      <c r="AF207" s="107"/>
      <c r="AG207" s="107"/>
      <c r="AH207" s="107"/>
      <c r="AI207" s="162"/>
      <c r="AJ207" s="107"/>
      <c r="AK207" s="107"/>
      <c r="AL207" s="107"/>
      <c r="AM207" s="91">
        <f t="shared" si="4"/>
        <v>11540000</v>
      </c>
      <c r="AN207" s="81" t="s">
        <v>1436</v>
      </c>
      <c r="AO207" s="6"/>
    </row>
    <row r="208" spans="1:42" s="1" customFormat="1" ht="96.75" hidden="1" customHeight="1" x14ac:dyDescent="0.2">
      <c r="A208" s="69">
        <v>318</v>
      </c>
      <c r="B208" s="125" t="s">
        <v>1409</v>
      </c>
      <c r="C208" s="66">
        <v>1</v>
      </c>
      <c r="D208" s="105" t="s">
        <v>1396</v>
      </c>
      <c r="E208" s="66">
        <v>19</v>
      </c>
      <c r="F208" s="68" t="s">
        <v>138</v>
      </c>
      <c r="G208" s="66">
        <v>1903</v>
      </c>
      <c r="H208" s="68" t="s">
        <v>1366</v>
      </c>
      <c r="I208" s="66">
        <v>1903</v>
      </c>
      <c r="J208" s="68" t="s">
        <v>1367</v>
      </c>
      <c r="K208" s="68" t="s">
        <v>981</v>
      </c>
      <c r="L208" s="66">
        <v>1903011</v>
      </c>
      <c r="M208" s="68" t="s">
        <v>958</v>
      </c>
      <c r="N208" s="66">
        <v>1903011</v>
      </c>
      <c r="O208" s="68" t="s">
        <v>982</v>
      </c>
      <c r="P208" s="34">
        <v>190301100</v>
      </c>
      <c r="Q208" s="68" t="s">
        <v>983</v>
      </c>
      <c r="R208" s="34">
        <v>190301100</v>
      </c>
      <c r="S208" s="68" t="s">
        <v>984</v>
      </c>
      <c r="T208" s="72" t="s">
        <v>1449</v>
      </c>
      <c r="U208" s="34">
        <v>140</v>
      </c>
      <c r="V208" s="72" t="s">
        <v>961</v>
      </c>
      <c r="W208" s="68" t="s">
        <v>962</v>
      </c>
      <c r="X208" s="68" t="s">
        <v>963</v>
      </c>
      <c r="Y208" s="107"/>
      <c r="Z208" s="107"/>
      <c r="AA208" s="107"/>
      <c r="AB208" s="107"/>
      <c r="AC208" s="107">
        <v>40646000</v>
      </c>
      <c r="AD208" s="107"/>
      <c r="AE208" s="107"/>
      <c r="AF208" s="107"/>
      <c r="AG208" s="107"/>
      <c r="AH208" s="107"/>
      <c r="AI208" s="162"/>
      <c r="AJ208" s="107"/>
      <c r="AK208" s="107"/>
      <c r="AL208" s="107"/>
      <c r="AM208" s="91">
        <f t="shared" si="4"/>
        <v>40646000</v>
      </c>
      <c r="AN208" s="81" t="s">
        <v>1436</v>
      </c>
      <c r="AO208" s="6"/>
    </row>
    <row r="209" spans="1:41" s="1" customFormat="1" ht="110.25" hidden="1" customHeight="1" x14ac:dyDescent="0.2">
      <c r="A209" s="69">
        <v>318</v>
      </c>
      <c r="B209" s="125" t="s">
        <v>1409</v>
      </c>
      <c r="C209" s="66">
        <v>1</v>
      </c>
      <c r="D209" s="105" t="s">
        <v>1396</v>
      </c>
      <c r="E209" s="66">
        <v>19</v>
      </c>
      <c r="F209" s="68" t="s">
        <v>138</v>
      </c>
      <c r="G209" s="66">
        <v>1903</v>
      </c>
      <c r="H209" s="68" t="s">
        <v>1366</v>
      </c>
      <c r="I209" s="66">
        <v>1903</v>
      </c>
      <c r="J209" s="68" t="s">
        <v>1367</v>
      </c>
      <c r="K209" s="68" t="s">
        <v>985</v>
      </c>
      <c r="L209" s="66">
        <v>1903001</v>
      </c>
      <c r="M209" s="68" t="s">
        <v>79</v>
      </c>
      <c r="N209" s="66">
        <v>1903001</v>
      </c>
      <c r="O209" s="68" t="s">
        <v>79</v>
      </c>
      <c r="P209" s="34">
        <v>190300100</v>
      </c>
      <c r="Q209" s="126" t="s">
        <v>986</v>
      </c>
      <c r="R209" s="34">
        <v>190300100</v>
      </c>
      <c r="S209" s="126" t="s">
        <v>986</v>
      </c>
      <c r="T209" s="72" t="s">
        <v>1449</v>
      </c>
      <c r="U209" s="34">
        <v>1</v>
      </c>
      <c r="V209" s="72" t="s">
        <v>987</v>
      </c>
      <c r="W209" s="68" t="s">
        <v>988</v>
      </c>
      <c r="X209" s="68" t="s">
        <v>989</v>
      </c>
      <c r="Y209" s="107"/>
      <c r="Z209" s="107"/>
      <c r="AA209" s="107"/>
      <c r="AB209" s="107"/>
      <c r="AC209" s="107">
        <v>81470000</v>
      </c>
      <c r="AD209" s="107"/>
      <c r="AE209" s="107"/>
      <c r="AF209" s="107"/>
      <c r="AG209" s="107"/>
      <c r="AH209" s="107"/>
      <c r="AI209" s="111"/>
      <c r="AJ209" s="107"/>
      <c r="AK209" s="107"/>
      <c r="AL209" s="107"/>
      <c r="AM209" s="91">
        <f t="shared" si="4"/>
        <v>81470000</v>
      </c>
      <c r="AN209" s="81" t="s">
        <v>1436</v>
      </c>
      <c r="AO209" s="6"/>
    </row>
    <row r="210" spans="1:41" s="1" customFormat="1" ht="81.75" hidden="1" customHeight="1" x14ac:dyDescent="0.2">
      <c r="A210" s="69">
        <v>318</v>
      </c>
      <c r="B210" s="125" t="s">
        <v>1409</v>
      </c>
      <c r="C210" s="66">
        <v>1</v>
      </c>
      <c r="D210" s="105" t="s">
        <v>1396</v>
      </c>
      <c r="E210" s="66">
        <v>19</v>
      </c>
      <c r="F210" s="68" t="s">
        <v>138</v>
      </c>
      <c r="G210" s="66">
        <v>1903</v>
      </c>
      <c r="H210" s="68" t="s">
        <v>1366</v>
      </c>
      <c r="I210" s="66">
        <v>1903</v>
      </c>
      <c r="J210" s="68" t="s">
        <v>1367</v>
      </c>
      <c r="K210" s="68" t="s">
        <v>990</v>
      </c>
      <c r="L210" s="66">
        <v>1903015</v>
      </c>
      <c r="M210" s="68" t="s">
        <v>991</v>
      </c>
      <c r="N210" s="66">
        <v>1903015</v>
      </c>
      <c r="O210" s="68" t="s">
        <v>991</v>
      </c>
      <c r="P210" s="34">
        <v>190301500</v>
      </c>
      <c r="Q210" s="68" t="s">
        <v>992</v>
      </c>
      <c r="R210" s="34">
        <v>190301500</v>
      </c>
      <c r="S210" s="68" t="s">
        <v>992</v>
      </c>
      <c r="T210" s="72" t="s">
        <v>1449</v>
      </c>
      <c r="U210" s="34">
        <v>12</v>
      </c>
      <c r="V210" s="72" t="s">
        <v>987</v>
      </c>
      <c r="W210" s="68" t="s">
        <v>988</v>
      </c>
      <c r="X210" s="68" t="s">
        <v>989</v>
      </c>
      <c r="Y210" s="107"/>
      <c r="Z210" s="107"/>
      <c r="AA210" s="107"/>
      <c r="AB210" s="107"/>
      <c r="AC210" s="107">
        <v>211530000</v>
      </c>
      <c r="AD210" s="107"/>
      <c r="AE210" s="107"/>
      <c r="AF210" s="107"/>
      <c r="AG210" s="107"/>
      <c r="AH210" s="107"/>
      <c r="AI210" s="111"/>
      <c r="AJ210" s="107"/>
      <c r="AK210" s="107"/>
      <c r="AL210" s="107"/>
      <c r="AM210" s="91">
        <f t="shared" si="4"/>
        <v>211530000</v>
      </c>
      <c r="AN210" s="81" t="s">
        <v>1436</v>
      </c>
      <c r="AO210" s="6"/>
    </row>
    <row r="211" spans="1:41" s="1" customFormat="1" ht="134.25" hidden="1" customHeight="1" x14ac:dyDescent="0.2">
      <c r="A211" s="69">
        <v>318</v>
      </c>
      <c r="B211" s="125" t="s">
        <v>1409</v>
      </c>
      <c r="C211" s="66">
        <v>1</v>
      </c>
      <c r="D211" s="105" t="s">
        <v>1396</v>
      </c>
      <c r="E211" s="66">
        <v>19</v>
      </c>
      <c r="F211" s="68" t="s">
        <v>138</v>
      </c>
      <c r="G211" s="66">
        <v>1903</v>
      </c>
      <c r="H211" s="68" t="s">
        <v>1366</v>
      </c>
      <c r="I211" s="66">
        <v>1903</v>
      </c>
      <c r="J211" s="68" t="s">
        <v>1367</v>
      </c>
      <c r="K211" s="68" t="s">
        <v>993</v>
      </c>
      <c r="L211" s="66">
        <v>1903012</v>
      </c>
      <c r="M211" s="68" t="s">
        <v>994</v>
      </c>
      <c r="N211" s="66">
        <v>1903012</v>
      </c>
      <c r="O211" s="68" t="s">
        <v>994</v>
      </c>
      <c r="P211" s="34">
        <v>190301200</v>
      </c>
      <c r="Q211" s="68" t="s">
        <v>995</v>
      </c>
      <c r="R211" s="34">
        <v>190301200</v>
      </c>
      <c r="S211" s="68" t="s">
        <v>995</v>
      </c>
      <c r="T211" s="72" t="s">
        <v>1449</v>
      </c>
      <c r="U211" s="34">
        <v>4000</v>
      </c>
      <c r="V211" s="72" t="s">
        <v>996</v>
      </c>
      <c r="W211" s="68" t="s">
        <v>997</v>
      </c>
      <c r="X211" s="68" t="s">
        <v>998</v>
      </c>
      <c r="Y211" s="107"/>
      <c r="Z211" s="107"/>
      <c r="AA211" s="107"/>
      <c r="AB211" s="107">
        <f>100000000-100000000</f>
        <v>0</v>
      </c>
      <c r="AC211" s="134">
        <v>605090036</v>
      </c>
      <c r="AD211" s="134"/>
      <c r="AE211" s="107"/>
      <c r="AF211" s="107"/>
      <c r="AG211" s="107"/>
      <c r="AH211" s="107"/>
      <c r="AI211" s="111">
        <f>243062000-243062000+90734569</f>
        <v>90734569</v>
      </c>
      <c r="AJ211" s="107"/>
      <c r="AK211" s="71">
        <v>33078292</v>
      </c>
      <c r="AL211" s="71"/>
      <c r="AM211" s="91">
        <f t="shared" si="4"/>
        <v>728902897</v>
      </c>
      <c r="AN211" s="81" t="s">
        <v>1436</v>
      </c>
      <c r="AO211" s="6"/>
    </row>
    <row r="212" spans="1:41" s="1" customFormat="1" ht="77.25" hidden="1" customHeight="1" x14ac:dyDescent="0.2">
      <c r="A212" s="69">
        <v>318</v>
      </c>
      <c r="B212" s="125" t="s">
        <v>1409</v>
      </c>
      <c r="C212" s="66">
        <v>1</v>
      </c>
      <c r="D212" s="105" t="s">
        <v>1396</v>
      </c>
      <c r="E212" s="66">
        <v>19</v>
      </c>
      <c r="F212" s="68" t="s">
        <v>138</v>
      </c>
      <c r="G212" s="66">
        <v>1903</v>
      </c>
      <c r="H212" s="68" t="s">
        <v>1366</v>
      </c>
      <c r="I212" s="66">
        <v>1903</v>
      </c>
      <c r="J212" s="68" t="s">
        <v>1367</v>
      </c>
      <c r="K212" s="68" t="s">
        <v>999</v>
      </c>
      <c r="L212" s="66">
        <v>1903016</v>
      </c>
      <c r="M212" s="68" t="s">
        <v>1000</v>
      </c>
      <c r="N212" s="66">
        <v>1903016</v>
      </c>
      <c r="O212" s="68" t="s">
        <v>1000</v>
      </c>
      <c r="P212" s="34">
        <v>190301600</v>
      </c>
      <c r="Q212" s="126" t="s">
        <v>1001</v>
      </c>
      <c r="R212" s="34">
        <v>190301600</v>
      </c>
      <c r="S212" s="126" t="s">
        <v>1001</v>
      </c>
      <c r="T212" s="72" t="s">
        <v>1449</v>
      </c>
      <c r="U212" s="34">
        <v>240</v>
      </c>
      <c r="V212" s="72" t="s">
        <v>996</v>
      </c>
      <c r="W212" s="68" t="s">
        <v>997</v>
      </c>
      <c r="X212" s="68" t="s">
        <v>998</v>
      </c>
      <c r="Y212" s="107"/>
      <c r="Z212" s="107"/>
      <c r="AA212" s="107"/>
      <c r="AB212" s="107"/>
      <c r="AC212" s="134">
        <v>94000000</v>
      </c>
      <c r="AD212" s="107"/>
      <c r="AE212" s="107"/>
      <c r="AF212" s="107"/>
      <c r="AG212" s="107"/>
      <c r="AH212" s="107"/>
      <c r="AI212" s="111"/>
      <c r="AJ212" s="107"/>
      <c r="AK212" s="107"/>
      <c r="AL212" s="107"/>
      <c r="AM212" s="91">
        <f t="shared" si="4"/>
        <v>94000000</v>
      </c>
      <c r="AN212" s="81" t="s">
        <v>1436</v>
      </c>
      <c r="AO212" s="6"/>
    </row>
    <row r="213" spans="1:41" s="1" customFormat="1" ht="75" hidden="1" customHeight="1" x14ac:dyDescent="0.2">
      <c r="A213" s="69">
        <v>318</v>
      </c>
      <c r="B213" s="125" t="s">
        <v>1409</v>
      </c>
      <c r="C213" s="66">
        <v>1</v>
      </c>
      <c r="D213" s="105" t="s">
        <v>1396</v>
      </c>
      <c r="E213" s="66">
        <v>19</v>
      </c>
      <c r="F213" s="68" t="s">
        <v>138</v>
      </c>
      <c r="G213" s="66">
        <v>1903</v>
      </c>
      <c r="H213" s="68" t="s">
        <v>1366</v>
      </c>
      <c r="I213" s="66">
        <v>1903</v>
      </c>
      <c r="J213" s="68" t="s">
        <v>1367</v>
      </c>
      <c r="K213" s="68" t="s">
        <v>981</v>
      </c>
      <c r="L213" s="66">
        <v>1903011</v>
      </c>
      <c r="M213" s="68" t="s">
        <v>982</v>
      </c>
      <c r="N213" s="66">
        <v>1903011</v>
      </c>
      <c r="O213" s="68" t="s">
        <v>982</v>
      </c>
      <c r="P213" s="34">
        <v>190301101</v>
      </c>
      <c r="Q213" s="68" t="s">
        <v>1002</v>
      </c>
      <c r="R213" s="34">
        <v>190301101</v>
      </c>
      <c r="S213" s="68" t="s">
        <v>1002</v>
      </c>
      <c r="T213" s="72" t="s">
        <v>1449</v>
      </c>
      <c r="U213" s="34">
        <v>12</v>
      </c>
      <c r="V213" s="72" t="s">
        <v>996</v>
      </c>
      <c r="W213" s="68" t="s">
        <v>997</v>
      </c>
      <c r="X213" s="68" t="s">
        <v>998</v>
      </c>
      <c r="Y213" s="107"/>
      <c r="Z213" s="107"/>
      <c r="AA213" s="107"/>
      <c r="AB213" s="107"/>
      <c r="AC213" s="134">
        <v>124811412</v>
      </c>
      <c r="AD213" s="107"/>
      <c r="AE213" s="107"/>
      <c r="AF213" s="107"/>
      <c r="AG213" s="107"/>
      <c r="AH213" s="107"/>
      <c r="AI213" s="111"/>
      <c r="AJ213" s="107"/>
      <c r="AK213" s="107"/>
      <c r="AL213" s="107"/>
      <c r="AM213" s="91">
        <f t="shared" si="4"/>
        <v>124811412</v>
      </c>
      <c r="AN213" s="81" t="s">
        <v>1436</v>
      </c>
      <c r="AO213" s="6"/>
    </row>
    <row r="214" spans="1:41" s="1" customFormat="1" ht="86.25" hidden="1" customHeight="1" x14ac:dyDescent="0.2">
      <c r="A214" s="69">
        <v>318</v>
      </c>
      <c r="B214" s="125" t="s">
        <v>1409</v>
      </c>
      <c r="C214" s="66">
        <v>1</v>
      </c>
      <c r="D214" s="105" t="s">
        <v>1396</v>
      </c>
      <c r="E214" s="66">
        <v>19</v>
      </c>
      <c r="F214" s="68" t="s">
        <v>138</v>
      </c>
      <c r="G214" s="66">
        <v>1903</v>
      </c>
      <c r="H214" s="68" t="s">
        <v>1366</v>
      </c>
      <c r="I214" s="66">
        <v>1903</v>
      </c>
      <c r="J214" s="68" t="s">
        <v>1367</v>
      </c>
      <c r="K214" s="68" t="s">
        <v>981</v>
      </c>
      <c r="L214" s="66">
        <v>1903034</v>
      </c>
      <c r="M214" s="68" t="s">
        <v>98</v>
      </c>
      <c r="N214" s="66">
        <v>1903034</v>
      </c>
      <c r="O214" s="68" t="s">
        <v>98</v>
      </c>
      <c r="P214" s="34">
        <v>190303400</v>
      </c>
      <c r="Q214" s="68" t="s">
        <v>1003</v>
      </c>
      <c r="R214" s="34">
        <v>190303400</v>
      </c>
      <c r="S214" s="68" t="s">
        <v>1003</v>
      </c>
      <c r="T214" s="72" t="s">
        <v>1449</v>
      </c>
      <c r="U214" s="34">
        <v>12</v>
      </c>
      <c r="V214" s="72" t="s">
        <v>1004</v>
      </c>
      <c r="W214" s="67" t="s">
        <v>1005</v>
      </c>
      <c r="X214" s="67" t="s">
        <v>1006</v>
      </c>
      <c r="Y214" s="107"/>
      <c r="Z214" s="107"/>
      <c r="AA214" s="107"/>
      <c r="AB214" s="107"/>
      <c r="AC214" s="107"/>
      <c r="AD214" s="134"/>
      <c r="AE214" s="107"/>
      <c r="AF214" s="107"/>
      <c r="AG214" s="107"/>
      <c r="AH214" s="107"/>
      <c r="AI214" s="111">
        <v>96954000</v>
      </c>
      <c r="AJ214" s="107"/>
      <c r="AK214" s="107"/>
      <c r="AL214" s="107"/>
      <c r="AM214" s="91">
        <f t="shared" si="4"/>
        <v>96954000</v>
      </c>
      <c r="AN214" s="81" t="s">
        <v>1436</v>
      </c>
      <c r="AO214" s="6"/>
    </row>
    <row r="215" spans="1:41" s="1" customFormat="1" ht="75" hidden="1" customHeight="1" x14ac:dyDescent="0.2">
      <c r="A215" s="69">
        <v>318</v>
      </c>
      <c r="B215" s="125" t="s">
        <v>1409</v>
      </c>
      <c r="C215" s="66">
        <v>1</v>
      </c>
      <c r="D215" s="105" t="s">
        <v>1396</v>
      </c>
      <c r="E215" s="66">
        <v>19</v>
      </c>
      <c r="F215" s="68" t="s">
        <v>138</v>
      </c>
      <c r="G215" s="66">
        <v>1903</v>
      </c>
      <c r="H215" s="68" t="s">
        <v>1366</v>
      </c>
      <c r="I215" s="66">
        <v>1903</v>
      </c>
      <c r="J215" s="68" t="s">
        <v>1367</v>
      </c>
      <c r="K215" s="68" t="s">
        <v>1007</v>
      </c>
      <c r="L215" s="66">
        <v>1903045</v>
      </c>
      <c r="M215" s="68" t="s">
        <v>1008</v>
      </c>
      <c r="N215" s="66">
        <v>1903045</v>
      </c>
      <c r="O215" s="68" t="s">
        <v>1008</v>
      </c>
      <c r="P215" s="34">
        <v>190304500</v>
      </c>
      <c r="Q215" s="126" t="s">
        <v>1009</v>
      </c>
      <c r="R215" s="34">
        <v>190304500</v>
      </c>
      <c r="S215" s="126" t="s">
        <v>1009</v>
      </c>
      <c r="T215" s="72" t="s">
        <v>1451</v>
      </c>
      <c r="U215" s="34">
        <f>725+3</f>
        <v>728</v>
      </c>
      <c r="V215" s="72" t="s">
        <v>1010</v>
      </c>
      <c r="W215" s="67" t="s">
        <v>1011</v>
      </c>
      <c r="X215" s="67" t="s">
        <v>1012</v>
      </c>
      <c r="Y215" s="107"/>
      <c r="Z215" s="107"/>
      <c r="AA215" s="107"/>
      <c r="AB215" s="107"/>
      <c r="AC215" s="107"/>
      <c r="AD215" s="134"/>
      <c r="AE215" s="107"/>
      <c r="AF215" s="107"/>
      <c r="AG215" s="107"/>
      <c r="AH215" s="107"/>
      <c r="AI215" s="111">
        <v>19636000</v>
      </c>
      <c r="AJ215" s="107"/>
      <c r="AK215" s="107"/>
      <c r="AL215" s="107"/>
      <c r="AM215" s="91">
        <f t="shared" si="4"/>
        <v>19636000</v>
      </c>
      <c r="AN215" s="81" t="s">
        <v>1436</v>
      </c>
      <c r="AO215" s="6"/>
    </row>
    <row r="216" spans="1:41" s="1" customFormat="1" ht="95.25" hidden="1" customHeight="1" x14ac:dyDescent="0.2">
      <c r="A216" s="69">
        <v>318</v>
      </c>
      <c r="B216" s="125" t="s">
        <v>1409</v>
      </c>
      <c r="C216" s="66">
        <v>1</v>
      </c>
      <c r="D216" s="105" t="s">
        <v>1396</v>
      </c>
      <c r="E216" s="66">
        <v>19</v>
      </c>
      <c r="F216" s="68" t="s">
        <v>138</v>
      </c>
      <c r="G216" s="66">
        <v>1903</v>
      </c>
      <c r="H216" s="68" t="s">
        <v>1366</v>
      </c>
      <c r="I216" s="66">
        <v>1903</v>
      </c>
      <c r="J216" s="68" t="s">
        <v>1367</v>
      </c>
      <c r="K216" s="68" t="s">
        <v>985</v>
      </c>
      <c r="L216" s="66">
        <v>1903001</v>
      </c>
      <c r="M216" s="68" t="s">
        <v>79</v>
      </c>
      <c r="N216" s="66">
        <v>1903001</v>
      </c>
      <c r="O216" s="68" t="s">
        <v>79</v>
      </c>
      <c r="P216" s="34">
        <v>190300100</v>
      </c>
      <c r="Q216" s="126" t="s">
        <v>986</v>
      </c>
      <c r="R216" s="34">
        <v>190300100</v>
      </c>
      <c r="S216" s="126" t="s">
        <v>986</v>
      </c>
      <c r="T216" s="72" t="s">
        <v>1449</v>
      </c>
      <c r="U216" s="66">
        <v>1</v>
      </c>
      <c r="V216" s="72" t="s">
        <v>1010</v>
      </c>
      <c r="W216" s="67" t="s">
        <v>1011</v>
      </c>
      <c r="X216" s="67" t="s">
        <v>1012</v>
      </c>
      <c r="Y216" s="107"/>
      <c r="Z216" s="107"/>
      <c r="AA216" s="107"/>
      <c r="AB216" s="107"/>
      <c r="AC216" s="107"/>
      <c r="AD216" s="134"/>
      <c r="AE216" s="107"/>
      <c r="AF216" s="107"/>
      <c r="AG216" s="107"/>
      <c r="AH216" s="107"/>
      <c r="AI216" s="111">
        <v>15000000</v>
      </c>
      <c r="AJ216" s="107"/>
      <c r="AK216" s="107"/>
      <c r="AL216" s="107"/>
      <c r="AM216" s="91">
        <f t="shared" si="4"/>
        <v>15000000</v>
      </c>
      <c r="AN216" s="81" t="s">
        <v>1436</v>
      </c>
      <c r="AO216" s="6"/>
    </row>
    <row r="217" spans="1:41" s="1" customFormat="1" ht="71.25" hidden="1" customHeight="1" x14ac:dyDescent="0.2">
      <c r="A217" s="69">
        <v>318</v>
      </c>
      <c r="B217" s="125" t="s">
        <v>1409</v>
      </c>
      <c r="C217" s="66">
        <v>1</v>
      </c>
      <c r="D217" s="105" t="s">
        <v>1396</v>
      </c>
      <c r="E217" s="66">
        <v>19</v>
      </c>
      <c r="F217" s="68" t="s">
        <v>138</v>
      </c>
      <c r="G217" s="66">
        <v>1903</v>
      </c>
      <c r="H217" s="68" t="s">
        <v>1366</v>
      </c>
      <c r="I217" s="66">
        <v>1903</v>
      </c>
      <c r="J217" s="68" t="s">
        <v>1367</v>
      </c>
      <c r="K217" s="126" t="s">
        <v>1013</v>
      </c>
      <c r="L217" s="34">
        <v>1903010</v>
      </c>
      <c r="M217" s="126" t="s">
        <v>1014</v>
      </c>
      <c r="N217" s="34">
        <v>1903010</v>
      </c>
      <c r="O217" s="126" t="s">
        <v>1014</v>
      </c>
      <c r="P217" s="34">
        <v>190301000</v>
      </c>
      <c r="Q217" s="126" t="s">
        <v>1015</v>
      </c>
      <c r="R217" s="34">
        <v>190301000</v>
      </c>
      <c r="S217" s="126" t="s">
        <v>1015</v>
      </c>
      <c r="T217" s="72" t="s">
        <v>1449</v>
      </c>
      <c r="U217" s="34">
        <v>12</v>
      </c>
      <c r="V217" s="72" t="s">
        <v>1010</v>
      </c>
      <c r="W217" s="67" t="s">
        <v>1011</v>
      </c>
      <c r="X217" s="67" t="s">
        <v>1012</v>
      </c>
      <c r="Y217" s="107"/>
      <c r="Z217" s="107"/>
      <c r="AA217" s="107"/>
      <c r="AB217" s="107"/>
      <c r="AC217" s="107"/>
      <c r="AD217" s="134"/>
      <c r="AE217" s="107"/>
      <c r="AF217" s="107"/>
      <c r="AG217" s="107"/>
      <c r="AH217" s="107"/>
      <c r="AI217" s="111">
        <v>15000000</v>
      </c>
      <c r="AJ217" s="107"/>
      <c r="AK217" s="107"/>
      <c r="AL217" s="107"/>
      <c r="AM217" s="91">
        <f t="shared" si="4"/>
        <v>15000000</v>
      </c>
      <c r="AN217" s="81" t="s">
        <v>1436</v>
      </c>
      <c r="AO217" s="6"/>
    </row>
    <row r="218" spans="1:41" s="1" customFormat="1" ht="76.5" hidden="1" customHeight="1" x14ac:dyDescent="0.2">
      <c r="A218" s="69">
        <v>318</v>
      </c>
      <c r="B218" s="125" t="s">
        <v>1409</v>
      </c>
      <c r="C218" s="66">
        <v>1</v>
      </c>
      <c r="D218" s="105" t="s">
        <v>1396</v>
      </c>
      <c r="E218" s="66">
        <v>19</v>
      </c>
      <c r="F218" s="68" t="s">
        <v>138</v>
      </c>
      <c r="G218" s="66">
        <v>1903</v>
      </c>
      <c r="H218" s="68" t="s">
        <v>1366</v>
      </c>
      <c r="I218" s="66">
        <v>1903</v>
      </c>
      <c r="J218" s="68" t="s">
        <v>1367</v>
      </c>
      <c r="K218" s="68" t="s">
        <v>1016</v>
      </c>
      <c r="L218" s="66">
        <v>1903011</v>
      </c>
      <c r="M218" s="68" t="s">
        <v>982</v>
      </c>
      <c r="N218" s="66">
        <v>1903011</v>
      </c>
      <c r="O218" s="68" t="s">
        <v>982</v>
      </c>
      <c r="P218" s="34">
        <v>190301101</v>
      </c>
      <c r="Q218" s="68" t="s">
        <v>1002</v>
      </c>
      <c r="R218" s="34">
        <v>190301101</v>
      </c>
      <c r="S218" s="68" t="s">
        <v>1002</v>
      </c>
      <c r="T218" s="72" t="s">
        <v>1449</v>
      </c>
      <c r="U218" s="34">
        <v>12</v>
      </c>
      <c r="V218" s="72" t="s">
        <v>1010</v>
      </c>
      <c r="W218" s="67" t="s">
        <v>1011</v>
      </c>
      <c r="X218" s="67" t="s">
        <v>1012</v>
      </c>
      <c r="Y218" s="107"/>
      <c r="Z218" s="107"/>
      <c r="AA218" s="107"/>
      <c r="AB218" s="107"/>
      <c r="AC218" s="107"/>
      <c r="AD218" s="134"/>
      <c r="AE218" s="107"/>
      <c r="AF218" s="107"/>
      <c r="AG218" s="107"/>
      <c r="AH218" s="107"/>
      <c r="AI218" s="111">
        <v>15000000</v>
      </c>
      <c r="AJ218" s="107"/>
      <c r="AK218" s="107"/>
      <c r="AL218" s="107"/>
      <c r="AM218" s="91">
        <f t="shared" si="4"/>
        <v>15000000</v>
      </c>
      <c r="AN218" s="81" t="s">
        <v>1436</v>
      </c>
      <c r="AO218" s="6"/>
    </row>
    <row r="219" spans="1:41" s="1" customFormat="1" ht="58.5" hidden="1" customHeight="1" x14ac:dyDescent="0.2">
      <c r="A219" s="69">
        <v>318</v>
      </c>
      <c r="B219" s="125" t="s">
        <v>1409</v>
      </c>
      <c r="C219" s="66">
        <v>1</v>
      </c>
      <c r="D219" s="105" t="s">
        <v>1396</v>
      </c>
      <c r="E219" s="66">
        <v>19</v>
      </c>
      <c r="F219" s="68" t="s">
        <v>138</v>
      </c>
      <c r="G219" s="66">
        <v>1903</v>
      </c>
      <c r="H219" s="68" t="s">
        <v>1366</v>
      </c>
      <c r="I219" s="66">
        <v>1903</v>
      </c>
      <c r="J219" s="68" t="s">
        <v>1367</v>
      </c>
      <c r="K219" s="68" t="s">
        <v>1017</v>
      </c>
      <c r="L219" s="66">
        <v>1903047</v>
      </c>
      <c r="M219" s="68" t="s">
        <v>1018</v>
      </c>
      <c r="N219" s="66">
        <v>1903047</v>
      </c>
      <c r="O219" s="68" t="s">
        <v>1018</v>
      </c>
      <c r="P219" s="34">
        <v>190304701</v>
      </c>
      <c r="Q219" s="126" t="s">
        <v>1019</v>
      </c>
      <c r="R219" s="34">
        <v>190304701</v>
      </c>
      <c r="S219" s="126" t="s">
        <v>1019</v>
      </c>
      <c r="T219" s="72" t="s">
        <v>1449</v>
      </c>
      <c r="U219" s="34">
        <v>1</v>
      </c>
      <c r="V219" s="72" t="s">
        <v>1020</v>
      </c>
      <c r="W219" s="67" t="s">
        <v>1021</v>
      </c>
      <c r="X219" s="67" t="s">
        <v>1022</v>
      </c>
      <c r="Y219" s="107"/>
      <c r="Z219" s="107"/>
      <c r="AA219" s="107"/>
      <c r="AB219" s="107"/>
      <c r="AC219" s="107"/>
      <c r="AD219" s="85">
        <v>10000000</v>
      </c>
      <c r="AE219" s="107"/>
      <c r="AF219" s="107"/>
      <c r="AG219" s="107"/>
      <c r="AH219" s="107"/>
      <c r="AI219" s="111"/>
      <c r="AJ219" s="107"/>
      <c r="AK219" s="107"/>
      <c r="AL219" s="107"/>
      <c r="AM219" s="91">
        <f t="shared" si="4"/>
        <v>10000000</v>
      </c>
      <c r="AN219" s="81" t="s">
        <v>1436</v>
      </c>
      <c r="AO219" s="6"/>
    </row>
    <row r="220" spans="1:41" s="1" customFormat="1" ht="90.75" hidden="1" customHeight="1" x14ac:dyDescent="0.2">
      <c r="A220" s="69">
        <v>318</v>
      </c>
      <c r="B220" s="125" t="s">
        <v>1409</v>
      </c>
      <c r="C220" s="66">
        <v>1</v>
      </c>
      <c r="D220" s="105" t="s">
        <v>1396</v>
      </c>
      <c r="E220" s="66">
        <v>19</v>
      </c>
      <c r="F220" s="68" t="s">
        <v>138</v>
      </c>
      <c r="G220" s="66">
        <v>1903</v>
      </c>
      <c r="H220" s="68" t="s">
        <v>1366</v>
      </c>
      <c r="I220" s="66">
        <v>1903</v>
      </c>
      <c r="J220" s="68" t="s">
        <v>1367</v>
      </c>
      <c r="K220" s="68" t="s">
        <v>1023</v>
      </c>
      <c r="L220" s="66">
        <v>1903019</v>
      </c>
      <c r="M220" s="68" t="s">
        <v>1024</v>
      </c>
      <c r="N220" s="66">
        <v>1903019</v>
      </c>
      <c r="O220" s="68" t="s">
        <v>1024</v>
      </c>
      <c r="P220" s="34">
        <v>190301900</v>
      </c>
      <c r="Q220" s="68" t="s">
        <v>1025</v>
      </c>
      <c r="R220" s="34">
        <v>190301900</v>
      </c>
      <c r="S220" s="68" t="s">
        <v>1025</v>
      </c>
      <c r="T220" s="72" t="s">
        <v>1449</v>
      </c>
      <c r="U220" s="34">
        <v>75</v>
      </c>
      <c r="V220" s="72" t="s">
        <v>1020</v>
      </c>
      <c r="W220" s="67" t="s">
        <v>1021</v>
      </c>
      <c r="X220" s="67" t="s">
        <v>1022</v>
      </c>
      <c r="Y220" s="107"/>
      <c r="Z220" s="107"/>
      <c r="AA220" s="107"/>
      <c r="AB220" s="107"/>
      <c r="AC220" s="107"/>
      <c r="AD220" s="75">
        <f>55000000-27918995</f>
        <v>27081005</v>
      </c>
      <c r="AE220" s="165"/>
      <c r="AF220" s="107"/>
      <c r="AG220" s="107"/>
      <c r="AH220" s="107"/>
      <c r="AI220" s="111"/>
      <c r="AJ220" s="107"/>
      <c r="AK220" s="107"/>
      <c r="AL220" s="107"/>
      <c r="AM220" s="91">
        <f t="shared" si="4"/>
        <v>27081005</v>
      </c>
      <c r="AN220" s="81" t="s">
        <v>1436</v>
      </c>
      <c r="AO220" s="6"/>
    </row>
    <row r="221" spans="1:41" s="1" customFormat="1" ht="88.5" hidden="1" customHeight="1" x14ac:dyDescent="0.2">
      <c r="A221" s="69">
        <v>318</v>
      </c>
      <c r="B221" s="125" t="s">
        <v>1409</v>
      </c>
      <c r="C221" s="66">
        <v>1</v>
      </c>
      <c r="D221" s="105" t="s">
        <v>1396</v>
      </c>
      <c r="E221" s="66">
        <v>19</v>
      </c>
      <c r="F221" s="68" t="s">
        <v>138</v>
      </c>
      <c r="G221" s="66">
        <v>1903</v>
      </c>
      <c r="H221" s="68" t="s">
        <v>1366</v>
      </c>
      <c r="I221" s="66">
        <v>1903</v>
      </c>
      <c r="J221" s="68" t="s">
        <v>1367</v>
      </c>
      <c r="K221" s="68" t="s">
        <v>1026</v>
      </c>
      <c r="L221" s="66">
        <v>1903028</v>
      </c>
      <c r="M221" s="68" t="s">
        <v>1027</v>
      </c>
      <c r="N221" s="66">
        <v>1903028</v>
      </c>
      <c r="O221" s="68" t="s">
        <v>1027</v>
      </c>
      <c r="P221" s="34">
        <v>190302800</v>
      </c>
      <c r="Q221" s="68" t="s">
        <v>1028</v>
      </c>
      <c r="R221" s="34">
        <v>190302800</v>
      </c>
      <c r="S221" s="68" t="s">
        <v>1028</v>
      </c>
      <c r="T221" s="72" t="s">
        <v>1449</v>
      </c>
      <c r="U221" s="34">
        <v>250</v>
      </c>
      <c r="V221" s="72" t="s">
        <v>1020</v>
      </c>
      <c r="W221" s="67" t="s">
        <v>1021</v>
      </c>
      <c r="X221" s="67" t="s">
        <v>1022</v>
      </c>
      <c r="Y221" s="107"/>
      <c r="Z221" s="107"/>
      <c r="AA221" s="107"/>
      <c r="AB221" s="107"/>
      <c r="AC221" s="107"/>
      <c r="AD221" s="75">
        <v>14000000</v>
      </c>
      <c r="AE221" s="107"/>
      <c r="AF221" s="107"/>
      <c r="AG221" s="107"/>
      <c r="AH221" s="107"/>
      <c r="AI221" s="111"/>
      <c r="AJ221" s="107"/>
      <c r="AK221" s="107"/>
      <c r="AL221" s="107"/>
      <c r="AM221" s="91">
        <f t="shared" si="4"/>
        <v>14000000</v>
      </c>
      <c r="AN221" s="81" t="s">
        <v>1436</v>
      </c>
      <c r="AO221" s="6"/>
    </row>
    <row r="222" spans="1:41" s="1" customFormat="1" ht="85.5" hidden="1" customHeight="1" x14ac:dyDescent="0.2">
      <c r="A222" s="69">
        <v>318</v>
      </c>
      <c r="B222" s="125" t="s">
        <v>1409</v>
      </c>
      <c r="C222" s="66">
        <v>1</v>
      </c>
      <c r="D222" s="105" t="s">
        <v>1396</v>
      </c>
      <c r="E222" s="66">
        <v>19</v>
      </c>
      <c r="F222" s="68" t="s">
        <v>138</v>
      </c>
      <c r="G222" s="66">
        <v>1903</v>
      </c>
      <c r="H222" s="68" t="s">
        <v>1366</v>
      </c>
      <c r="I222" s="66">
        <v>1903</v>
      </c>
      <c r="J222" s="68" t="s">
        <v>1367</v>
      </c>
      <c r="K222" s="68" t="s">
        <v>990</v>
      </c>
      <c r="L222" s="66">
        <v>1903025</v>
      </c>
      <c r="M222" s="75" t="s">
        <v>1029</v>
      </c>
      <c r="N222" s="66">
        <v>1903025</v>
      </c>
      <c r="O222" s="68" t="s">
        <v>1029</v>
      </c>
      <c r="P222" s="34">
        <v>190302500</v>
      </c>
      <c r="Q222" s="75" t="s">
        <v>1030</v>
      </c>
      <c r="R222" s="34">
        <v>190302500</v>
      </c>
      <c r="S222" s="68" t="s">
        <v>1030</v>
      </c>
      <c r="T222" s="72" t="s">
        <v>1449</v>
      </c>
      <c r="U222" s="34">
        <v>12</v>
      </c>
      <c r="V222" s="72" t="s">
        <v>1020</v>
      </c>
      <c r="W222" s="67" t="s">
        <v>1021</v>
      </c>
      <c r="X222" s="67" t="s">
        <v>1022</v>
      </c>
      <c r="Y222" s="107"/>
      <c r="Z222" s="107"/>
      <c r="AA222" s="107"/>
      <c r="AB222" s="75"/>
      <c r="AC222" s="75"/>
      <c r="AD222" s="75">
        <v>40000000</v>
      </c>
      <c r="AE222" s="107"/>
      <c r="AF222" s="107"/>
      <c r="AG222" s="107"/>
      <c r="AH222" s="107"/>
      <c r="AI222" s="111"/>
      <c r="AJ222" s="107"/>
      <c r="AK222" s="107"/>
      <c r="AL222" s="107"/>
      <c r="AM222" s="91">
        <f t="shared" si="4"/>
        <v>40000000</v>
      </c>
      <c r="AN222" s="81" t="s">
        <v>1436</v>
      </c>
      <c r="AO222" s="6"/>
    </row>
    <row r="223" spans="1:41" s="1" customFormat="1" ht="159.75" hidden="1" customHeight="1" x14ac:dyDescent="0.2">
      <c r="A223" s="69">
        <v>318</v>
      </c>
      <c r="B223" s="125" t="s">
        <v>1409</v>
      </c>
      <c r="C223" s="66">
        <v>1</v>
      </c>
      <c r="D223" s="105" t="s">
        <v>1396</v>
      </c>
      <c r="E223" s="66">
        <v>19</v>
      </c>
      <c r="F223" s="68" t="s">
        <v>138</v>
      </c>
      <c r="G223" s="66">
        <v>1905</v>
      </c>
      <c r="H223" s="68" t="s">
        <v>739</v>
      </c>
      <c r="I223" s="66">
        <v>1905</v>
      </c>
      <c r="J223" s="68" t="s">
        <v>1368</v>
      </c>
      <c r="K223" s="68" t="s">
        <v>967</v>
      </c>
      <c r="L223" s="66">
        <v>1905028</v>
      </c>
      <c r="M223" s="68" t="s">
        <v>1031</v>
      </c>
      <c r="N223" s="66">
        <v>1905028</v>
      </c>
      <c r="O223" s="68" t="s">
        <v>1031</v>
      </c>
      <c r="P223" s="34">
        <v>190502800</v>
      </c>
      <c r="Q223" s="68" t="s">
        <v>1032</v>
      </c>
      <c r="R223" s="34">
        <v>190502800</v>
      </c>
      <c r="S223" s="68" t="s">
        <v>1032</v>
      </c>
      <c r="T223" s="72" t="s">
        <v>1449</v>
      </c>
      <c r="U223" s="34">
        <v>12</v>
      </c>
      <c r="V223" s="72" t="s">
        <v>1033</v>
      </c>
      <c r="W223" s="67" t="s">
        <v>1034</v>
      </c>
      <c r="X223" s="67" t="s">
        <v>1035</v>
      </c>
      <c r="Y223" s="107"/>
      <c r="Z223" s="107"/>
      <c r="AA223" s="107"/>
      <c r="AB223" s="107"/>
      <c r="AC223" s="107">
        <v>38000000</v>
      </c>
      <c r="AD223" s="107"/>
      <c r="AE223" s="107"/>
      <c r="AF223" s="107"/>
      <c r="AG223" s="107"/>
      <c r="AH223" s="107"/>
      <c r="AI223" s="111"/>
      <c r="AJ223" s="107"/>
      <c r="AK223" s="107"/>
      <c r="AL223" s="107"/>
      <c r="AM223" s="91">
        <f t="shared" si="4"/>
        <v>38000000</v>
      </c>
      <c r="AN223" s="81" t="s">
        <v>1436</v>
      </c>
      <c r="AO223" s="6"/>
    </row>
    <row r="224" spans="1:41" s="1" customFormat="1" ht="114.75" hidden="1" customHeight="1" x14ac:dyDescent="0.2">
      <c r="A224" s="69">
        <v>318</v>
      </c>
      <c r="B224" s="125" t="s">
        <v>1409</v>
      </c>
      <c r="C224" s="66">
        <v>1</v>
      </c>
      <c r="D224" s="105" t="s">
        <v>1396</v>
      </c>
      <c r="E224" s="66">
        <v>19</v>
      </c>
      <c r="F224" s="68" t="s">
        <v>138</v>
      </c>
      <c r="G224" s="66">
        <v>1905</v>
      </c>
      <c r="H224" s="68" t="s">
        <v>739</v>
      </c>
      <c r="I224" s="66">
        <v>1905</v>
      </c>
      <c r="J224" s="68" t="s">
        <v>1368</v>
      </c>
      <c r="K224" s="68" t="s">
        <v>967</v>
      </c>
      <c r="L224" s="66">
        <v>1905031</v>
      </c>
      <c r="M224" s="68" t="s">
        <v>1036</v>
      </c>
      <c r="N224" s="66">
        <v>1905031</v>
      </c>
      <c r="O224" s="68" t="s">
        <v>1036</v>
      </c>
      <c r="P224" s="66">
        <v>190503100</v>
      </c>
      <c r="Q224" s="68" t="s">
        <v>1037</v>
      </c>
      <c r="R224" s="66">
        <v>190503100</v>
      </c>
      <c r="S224" s="68" t="s">
        <v>1037</v>
      </c>
      <c r="T224" s="72" t="s">
        <v>1449</v>
      </c>
      <c r="U224" s="34">
        <v>12</v>
      </c>
      <c r="V224" s="72" t="s">
        <v>1033</v>
      </c>
      <c r="W224" s="67" t="s">
        <v>1034</v>
      </c>
      <c r="X224" s="67" t="s">
        <v>1035</v>
      </c>
      <c r="Y224" s="107"/>
      <c r="Z224" s="107"/>
      <c r="AA224" s="107"/>
      <c r="AB224" s="107"/>
      <c r="AC224" s="107">
        <v>38000000</v>
      </c>
      <c r="AD224" s="107"/>
      <c r="AE224" s="107"/>
      <c r="AF224" s="107"/>
      <c r="AG224" s="107"/>
      <c r="AH224" s="107"/>
      <c r="AI224" s="111"/>
      <c r="AJ224" s="107"/>
      <c r="AK224" s="107"/>
      <c r="AL224" s="107"/>
      <c r="AM224" s="91">
        <f t="shared" si="4"/>
        <v>38000000</v>
      </c>
      <c r="AN224" s="81" t="s">
        <v>1436</v>
      </c>
      <c r="AO224" s="6"/>
    </row>
    <row r="225" spans="1:41" s="1" customFormat="1" ht="73.5" hidden="1" customHeight="1" x14ac:dyDescent="0.2">
      <c r="A225" s="69">
        <v>318</v>
      </c>
      <c r="B225" s="125" t="s">
        <v>1409</v>
      </c>
      <c r="C225" s="66">
        <v>1</v>
      </c>
      <c r="D225" s="105" t="s">
        <v>1396</v>
      </c>
      <c r="E225" s="66">
        <v>19</v>
      </c>
      <c r="F225" s="68" t="s">
        <v>138</v>
      </c>
      <c r="G225" s="66">
        <v>1905</v>
      </c>
      <c r="H225" s="68" t="s">
        <v>739</v>
      </c>
      <c r="I225" s="66">
        <v>1905</v>
      </c>
      <c r="J225" s="68" t="s">
        <v>1368</v>
      </c>
      <c r="K225" s="68" t="s">
        <v>1038</v>
      </c>
      <c r="L225" s="66">
        <v>1905019</v>
      </c>
      <c r="M225" s="68" t="s">
        <v>1039</v>
      </c>
      <c r="N225" s="66">
        <v>1905019</v>
      </c>
      <c r="O225" s="68" t="s">
        <v>1039</v>
      </c>
      <c r="P225" s="66">
        <v>190501900</v>
      </c>
      <c r="Q225" s="68" t="s">
        <v>317</v>
      </c>
      <c r="R225" s="66">
        <v>190501900</v>
      </c>
      <c r="S225" s="68" t="s">
        <v>317</v>
      </c>
      <c r="T225" s="72" t="s">
        <v>1449</v>
      </c>
      <c r="U225" s="34">
        <v>60</v>
      </c>
      <c r="V225" s="72" t="s">
        <v>1040</v>
      </c>
      <c r="W225" s="67" t="s">
        <v>1041</v>
      </c>
      <c r="X225" s="67" t="s">
        <v>1042</v>
      </c>
      <c r="Y225" s="107"/>
      <c r="Z225" s="107"/>
      <c r="AA225" s="107"/>
      <c r="AB225" s="107"/>
      <c r="AC225" s="166">
        <v>20000000</v>
      </c>
      <c r="AD225" s="107"/>
      <c r="AE225" s="107"/>
      <c r="AF225" s="107"/>
      <c r="AG225" s="107"/>
      <c r="AH225" s="107"/>
      <c r="AI225" s="111"/>
      <c r="AJ225" s="107"/>
      <c r="AK225" s="107"/>
      <c r="AL225" s="107"/>
      <c r="AM225" s="91">
        <f t="shared" si="4"/>
        <v>20000000</v>
      </c>
      <c r="AN225" s="81" t="s">
        <v>1436</v>
      </c>
      <c r="AO225" s="6"/>
    </row>
    <row r="226" spans="1:41" s="1" customFormat="1" ht="152.25" hidden="1" customHeight="1" x14ac:dyDescent="0.2">
      <c r="A226" s="69">
        <v>318</v>
      </c>
      <c r="B226" s="125" t="s">
        <v>1409</v>
      </c>
      <c r="C226" s="66">
        <v>1</v>
      </c>
      <c r="D226" s="105" t="s">
        <v>1396</v>
      </c>
      <c r="E226" s="66">
        <v>19</v>
      </c>
      <c r="F226" s="68" t="s">
        <v>138</v>
      </c>
      <c r="G226" s="66">
        <v>1905</v>
      </c>
      <c r="H226" s="68" t="s">
        <v>739</v>
      </c>
      <c r="I226" s="66">
        <v>1905</v>
      </c>
      <c r="J226" s="68" t="s">
        <v>1368</v>
      </c>
      <c r="K226" s="68" t="s">
        <v>1043</v>
      </c>
      <c r="L226" s="66" t="s">
        <v>1044</v>
      </c>
      <c r="M226" s="68" t="s">
        <v>1045</v>
      </c>
      <c r="N226" s="66">
        <v>1905031</v>
      </c>
      <c r="O226" s="68" t="s">
        <v>1046</v>
      </c>
      <c r="P226" s="66" t="s">
        <v>38</v>
      </c>
      <c r="Q226" s="68" t="s">
        <v>1047</v>
      </c>
      <c r="R226" s="66">
        <v>190503100</v>
      </c>
      <c r="S226" s="68" t="s">
        <v>1455</v>
      </c>
      <c r="T226" s="72" t="s">
        <v>1449</v>
      </c>
      <c r="U226" s="34">
        <v>11</v>
      </c>
      <c r="V226" s="72" t="s">
        <v>1040</v>
      </c>
      <c r="W226" s="67" t="s">
        <v>1041</v>
      </c>
      <c r="X226" s="67" t="s">
        <v>1042</v>
      </c>
      <c r="Y226" s="107"/>
      <c r="Z226" s="107"/>
      <c r="AA226" s="107"/>
      <c r="AB226" s="107"/>
      <c r="AC226" s="166">
        <v>20000000</v>
      </c>
      <c r="AD226" s="107"/>
      <c r="AE226" s="107"/>
      <c r="AF226" s="107"/>
      <c r="AG226" s="107"/>
      <c r="AH226" s="107"/>
      <c r="AI226" s="111"/>
      <c r="AJ226" s="107"/>
      <c r="AK226" s="107"/>
      <c r="AL226" s="107"/>
      <c r="AM226" s="91">
        <f t="shared" si="4"/>
        <v>20000000</v>
      </c>
      <c r="AN226" s="81" t="s">
        <v>1436</v>
      </c>
      <c r="AO226" s="6"/>
    </row>
    <row r="227" spans="1:41" s="1" customFormat="1" ht="112.5" hidden="1" customHeight="1" x14ac:dyDescent="0.2">
      <c r="A227" s="69">
        <v>318</v>
      </c>
      <c r="B227" s="125" t="s">
        <v>1409</v>
      </c>
      <c r="C227" s="66">
        <v>1</v>
      </c>
      <c r="D227" s="105" t="s">
        <v>1396</v>
      </c>
      <c r="E227" s="66">
        <v>19</v>
      </c>
      <c r="F227" s="68" t="s">
        <v>138</v>
      </c>
      <c r="G227" s="66">
        <v>1905</v>
      </c>
      <c r="H227" s="68" t="s">
        <v>739</v>
      </c>
      <c r="I227" s="66">
        <v>1905</v>
      </c>
      <c r="J227" s="68" t="s">
        <v>1368</v>
      </c>
      <c r="K227" s="68" t="s">
        <v>1048</v>
      </c>
      <c r="L227" s="66" t="s">
        <v>38</v>
      </c>
      <c r="M227" s="68" t="s">
        <v>1448</v>
      </c>
      <c r="N227" s="66">
        <v>1905015</v>
      </c>
      <c r="O227" s="68" t="s">
        <v>221</v>
      </c>
      <c r="P227" s="66" t="s">
        <v>38</v>
      </c>
      <c r="Q227" s="68" t="s">
        <v>1049</v>
      </c>
      <c r="R227" s="66">
        <v>190501500</v>
      </c>
      <c r="S227" s="68" t="s">
        <v>223</v>
      </c>
      <c r="T227" s="72" t="s">
        <v>1449</v>
      </c>
      <c r="U227" s="34">
        <v>1</v>
      </c>
      <c r="V227" s="72" t="s">
        <v>1040</v>
      </c>
      <c r="W227" s="67" t="s">
        <v>1041</v>
      </c>
      <c r="X227" s="67" t="s">
        <v>1042</v>
      </c>
      <c r="Y227" s="107"/>
      <c r="Z227" s="107"/>
      <c r="AA227" s="107"/>
      <c r="AB227" s="107"/>
      <c r="AC227" s="166">
        <v>20000000</v>
      </c>
      <c r="AD227" s="107"/>
      <c r="AE227" s="107"/>
      <c r="AF227" s="107"/>
      <c r="AG227" s="107"/>
      <c r="AH227" s="107"/>
      <c r="AI227" s="111"/>
      <c r="AJ227" s="107"/>
      <c r="AK227" s="107"/>
      <c r="AL227" s="107"/>
      <c r="AM227" s="91">
        <f t="shared" si="4"/>
        <v>20000000</v>
      </c>
      <c r="AN227" s="81" t="s">
        <v>1436</v>
      </c>
      <c r="AO227" s="6"/>
    </row>
    <row r="228" spans="1:41" s="1" customFormat="1" ht="120.75" hidden="1" customHeight="1" x14ac:dyDescent="0.2">
      <c r="A228" s="69">
        <v>318</v>
      </c>
      <c r="B228" s="125" t="s">
        <v>1409</v>
      </c>
      <c r="C228" s="66">
        <v>1</v>
      </c>
      <c r="D228" s="105" t="s">
        <v>1396</v>
      </c>
      <c r="E228" s="66">
        <v>19</v>
      </c>
      <c r="F228" s="68" t="s">
        <v>138</v>
      </c>
      <c r="G228" s="66">
        <v>1905</v>
      </c>
      <c r="H228" s="68" t="s">
        <v>739</v>
      </c>
      <c r="I228" s="66">
        <v>1905</v>
      </c>
      <c r="J228" s="68" t="s">
        <v>1368</v>
      </c>
      <c r="K228" s="68" t="s">
        <v>970</v>
      </c>
      <c r="L228" s="66" t="s">
        <v>38</v>
      </c>
      <c r="M228" s="68" t="s">
        <v>1050</v>
      </c>
      <c r="N228" s="66">
        <v>1905024</v>
      </c>
      <c r="O228" s="68" t="s">
        <v>1051</v>
      </c>
      <c r="P228" s="66" t="s">
        <v>38</v>
      </c>
      <c r="Q228" s="68" t="s">
        <v>1052</v>
      </c>
      <c r="R228" s="66">
        <v>190502400</v>
      </c>
      <c r="S228" s="126" t="s">
        <v>1053</v>
      </c>
      <c r="T228" s="72" t="s">
        <v>1451</v>
      </c>
      <c r="U228" s="34">
        <f>3</f>
        <v>3</v>
      </c>
      <c r="V228" s="72" t="s">
        <v>1040</v>
      </c>
      <c r="W228" s="67" t="s">
        <v>1041</v>
      </c>
      <c r="X228" s="67" t="s">
        <v>1042</v>
      </c>
      <c r="Y228" s="107"/>
      <c r="Z228" s="107"/>
      <c r="AA228" s="107"/>
      <c r="AB228" s="107"/>
      <c r="AC228" s="166">
        <f>64000000+17000000</f>
        <v>81000000</v>
      </c>
      <c r="AD228" s="107"/>
      <c r="AE228" s="107"/>
      <c r="AF228" s="107"/>
      <c r="AG228" s="107"/>
      <c r="AH228" s="107"/>
      <c r="AI228" s="111"/>
      <c r="AJ228" s="107"/>
      <c r="AK228" s="107"/>
      <c r="AL228" s="107"/>
      <c r="AM228" s="91">
        <f t="shared" si="4"/>
        <v>81000000</v>
      </c>
      <c r="AN228" s="81" t="s">
        <v>1436</v>
      </c>
      <c r="AO228" s="6"/>
    </row>
    <row r="229" spans="1:41" s="1" customFormat="1" ht="78" hidden="1" customHeight="1" x14ac:dyDescent="0.2">
      <c r="A229" s="69">
        <v>318</v>
      </c>
      <c r="B229" s="125" t="s">
        <v>1409</v>
      </c>
      <c r="C229" s="66">
        <v>1</v>
      </c>
      <c r="D229" s="105" t="s">
        <v>1396</v>
      </c>
      <c r="E229" s="66">
        <v>19</v>
      </c>
      <c r="F229" s="68" t="s">
        <v>138</v>
      </c>
      <c r="G229" s="66">
        <v>1905</v>
      </c>
      <c r="H229" s="68" t="s">
        <v>739</v>
      </c>
      <c r="I229" s="66">
        <v>1905</v>
      </c>
      <c r="J229" s="68" t="s">
        <v>1368</v>
      </c>
      <c r="K229" s="68" t="s">
        <v>1054</v>
      </c>
      <c r="L229" s="66" t="s">
        <v>38</v>
      </c>
      <c r="M229" s="68" t="s">
        <v>1055</v>
      </c>
      <c r="N229" s="66">
        <v>1905015</v>
      </c>
      <c r="O229" s="68" t="s">
        <v>221</v>
      </c>
      <c r="P229" s="66" t="s">
        <v>38</v>
      </c>
      <c r="Q229" s="68" t="s">
        <v>1056</v>
      </c>
      <c r="R229" s="66">
        <v>190501500</v>
      </c>
      <c r="S229" s="126" t="s">
        <v>223</v>
      </c>
      <c r="T229" s="72" t="s">
        <v>1451</v>
      </c>
      <c r="U229" s="34">
        <v>4</v>
      </c>
      <c r="V229" s="72" t="s">
        <v>1040</v>
      </c>
      <c r="W229" s="67" t="s">
        <v>1041</v>
      </c>
      <c r="X229" s="67" t="s">
        <v>1042</v>
      </c>
      <c r="Y229" s="107"/>
      <c r="Z229" s="107"/>
      <c r="AA229" s="107"/>
      <c r="AB229" s="107"/>
      <c r="AC229" s="166">
        <f>20000000-17000000</f>
        <v>3000000</v>
      </c>
      <c r="AD229" s="107"/>
      <c r="AE229" s="107"/>
      <c r="AF229" s="107"/>
      <c r="AG229" s="107"/>
      <c r="AH229" s="107"/>
      <c r="AI229" s="111"/>
      <c r="AJ229" s="107"/>
      <c r="AK229" s="107"/>
      <c r="AL229" s="107"/>
      <c r="AM229" s="91">
        <f t="shared" ref="AM229:AM292" si="5">+Y229+Z229+AA229+AB229+AC229+AD229+AE229+AF229+AG229+AH229+AI229+AJ229+AK229</f>
        <v>3000000</v>
      </c>
      <c r="AN229" s="81" t="s">
        <v>1436</v>
      </c>
      <c r="AO229" s="6"/>
    </row>
    <row r="230" spans="1:41" s="1" customFormat="1" ht="126.75" hidden="1" customHeight="1" x14ac:dyDescent="0.2">
      <c r="A230" s="69">
        <v>318</v>
      </c>
      <c r="B230" s="125" t="s">
        <v>1409</v>
      </c>
      <c r="C230" s="66">
        <v>1</v>
      </c>
      <c r="D230" s="105" t="s">
        <v>1396</v>
      </c>
      <c r="E230" s="66">
        <v>19</v>
      </c>
      <c r="F230" s="68" t="s">
        <v>138</v>
      </c>
      <c r="G230" s="66">
        <v>1905</v>
      </c>
      <c r="H230" s="68" t="s">
        <v>739</v>
      </c>
      <c r="I230" s="66">
        <v>1905</v>
      </c>
      <c r="J230" s="68" t="s">
        <v>1368</v>
      </c>
      <c r="K230" s="68" t="s">
        <v>970</v>
      </c>
      <c r="L230" s="66" t="s">
        <v>38</v>
      </c>
      <c r="M230" s="68" t="s">
        <v>1057</v>
      </c>
      <c r="N230" s="66">
        <v>1905024</v>
      </c>
      <c r="O230" s="68" t="s">
        <v>1051</v>
      </c>
      <c r="P230" s="66" t="s">
        <v>38</v>
      </c>
      <c r="Q230" s="126" t="s">
        <v>1058</v>
      </c>
      <c r="R230" s="34">
        <v>190502400</v>
      </c>
      <c r="S230" s="126" t="s">
        <v>1053</v>
      </c>
      <c r="T230" s="72" t="s">
        <v>1449</v>
      </c>
      <c r="U230" s="34">
        <v>12</v>
      </c>
      <c r="V230" s="72" t="s">
        <v>1040</v>
      </c>
      <c r="W230" s="67" t="s">
        <v>1041</v>
      </c>
      <c r="X230" s="67" t="s">
        <v>1042</v>
      </c>
      <c r="Y230" s="107"/>
      <c r="Z230" s="107"/>
      <c r="AA230" s="107"/>
      <c r="AB230" s="107"/>
      <c r="AC230" s="166">
        <v>28000000</v>
      </c>
      <c r="AD230" s="107"/>
      <c r="AE230" s="107"/>
      <c r="AF230" s="107"/>
      <c r="AG230" s="107"/>
      <c r="AH230" s="107"/>
      <c r="AI230" s="111"/>
      <c r="AJ230" s="107"/>
      <c r="AK230" s="107"/>
      <c r="AL230" s="107"/>
      <c r="AM230" s="91">
        <f t="shared" si="5"/>
        <v>28000000</v>
      </c>
      <c r="AN230" s="81" t="s">
        <v>1436</v>
      </c>
      <c r="AO230" s="6"/>
    </row>
    <row r="231" spans="1:41" s="1" customFormat="1" ht="127.5" hidden="1" customHeight="1" x14ac:dyDescent="0.2">
      <c r="A231" s="69">
        <v>318</v>
      </c>
      <c r="B231" s="125" t="s">
        <v>1409</v>
      </c>
      <c r="C231" s="66">
        <v>1</v>
      </c>
      <c r="D231" s="105" t="s">
        <v>1396</v>
      </c>
      <c r="E231" s="66">
        <v>19</v>
      </c>
      <c r="F231" s="68" t="s">
        <v>138</v>
      </c>
      <c r="G231" s="66">
        <v>1905</v>
      </c>
      <c r="H231" s="68" t="s">
        <v>739</v>
      </c>
      <c r="I231" s="66">
        <v>1905</v>
      </c>
      <c r="J231" s="68" t="s">
        <v>1368</v>
      </c>
      <c r="K231" s="68" t="s">
        <v>1007</v>
      </c>
      <c r="L231" s="66" t="s">
        <v>38</v>
      </c>
      <c r="M231" s="68" t="s">
        <v>1059</v>
      </c>
      <c r="N231" s="66">
        <v>1905024</v>
      </c>
      <c r="O231" s="68" t="s">
        <v>1051</v>
      </c>
      <c r="P231" s="66" t="s">
        <v>38</v>
      </c>
      <c r="Q231" s="126" t="s">
        <v>1060</v>
      </c>
      <c r="R231" s="34">
        <v>190502401</v>
      </c>
      <c r="S231" s="126" t="s">
        <v>1061</v>
      </c>
      <c r="T231" s="72" t="s">
        <v>1451</v>
      </c>
      <c r="U231" s="34">
        <v>4</v>
      </c>
      <c r="V231" s="72" t="s">
        <v>1040</v>
      </c>
      <c r="W231" s="67" t="s">
        <v>1041</v>
      </c>
      <c r="X231" s="67" t="s">
        <v>1042</v>
      </c>
      <c r="Y231" s="107"/>
      <c r="Z231" s="107"/>
      <c r="AA231" s="107"/>
      <c r="AB231" s="107"/>
      <c r="AC231" s="166">
        <v>28000000</v>
      </c>
      <c r="AD231" s="107"/>
      <c r="AE231" s="107"/>
      <c r="AF231" s="107"/>
      <c r="AG231" s="107"/>
      <c r="AH231" s="107"/>
      <c r="AI231" s="111"/>
      <c r="AJ231" s="107"/>
      <c r="AK231" s="107"/>
      <c r="AL231" s="107"/>
      <c r="AM231" s="91">
        <f t="shared" si="5"/>
        <v>28000000</v>
      </c>
      <c r="AN231" s="81" t="s">
        <v>1436</v>
      </c>
      <c r="AO231" s="6"/>
    </row>
    <row r="232" spans="1:41" s="1" customFormat="1" ht="171" hidden="1" customHeight="1" x14ac:dyDescent="0.2">
      <c r="A232" s="69">
        <v>318</v>
      </c>
      <c r="B232" s="125" t="s">
        <v>1409</v>
      </c>
      <c r="C232" s="66">
        <v>1</v>
      </c>
      <c r="D232" s="105" t="s">
        <v>1396</v>
      </c>
      <c r="E232" s="66">
        <v>19</v>
      </c>
      <c r="F232" s="68" t="s">
        <v>138</v>
      </c>
      <c r="G232" s="66">
        <v>1905</v>
      </c>
      <c r="H232" s="68" t="s">
        <v>739</v>
      </c>
      <c r="I232" s="66">
        <v>1905</v>
      </c>
      <c r="J232" s="68" t="s">
        <v>1368</v>
      </c>
      <c r="K232" s="68" t="s">
        <v>740</v>
      </c>
      <c r="L232" s="66">
        <v>1905021</v>
      </c>
      <c r="M232" s="68" t="s">
        <v>741</v>
      </c>
      <c r="N232" s="66">
        <v>1905021</v>
      </c>
      <c r="O232" s="68" t="s">
        <v>741</v>
      </c>
      <c r="P232" s="34">
        <v>190502100</v>
      </c>
      <c r="Q232" s="126" t="s">
        <v>742</v>
      </c>
      <c r="R232" s="34">
        <v>190502100</v>
      </c>
      <c r="S232" s="126" t="s">
        <v>742</v>
      </c>
      <c r="T232" s="72" t="s">
        <v>1449</v>
      </c>
      <c r="U232" s="34">
        <v>12</v>
      </c>
      <c r="V232" s="72" t="s">
        <v>1062</v>
      </c>
      <c r="W232" s="67" t="s">
        <v>1063</v>
      </c>
      <c r="X232" s="67" t="s">
        <v>1064</v>
      </c>
      <c r="Y232" s="107"/>
      <c r="Z232" s="107"/>
      <c r="AA232" s="107"/>
      <c r="AB232" s="107"/>
      <c r="AC232" s="166">
        <v>105000000</v>
      </c>
      <c r="AD232" s="107"/>
      <c r="AE232" s="107"/>
      <c r="AF232" s="107"/>
      <c r="AG232" s="107"/>
      <c r="AH232" s="107"/>
      <c r="AI232" s="111"/>
      <c r="AJ232" s="107"/>
      <c r="AK232" s="107"/>
      <c r="AL232" s="107"/>
      <c r="AM232" s="91">
        <f t="shared" si="5"/>
        <v>105000000</v>
      </c>
      <c r="AN232" s="81" t="s">
        <v>1436</v>
      </c>
      <c r="AO232" s="6"/>
    </row>
    <row r="233" spans="1:41" s="1" customFormat="1" ht="156" hidden="1" customHeight="1" x14ac:dyDescent="0.2">
      <c r="A233" s="69">
        <v>318</v>
      </c>
      <c r="B233" s="125" t="s">
        <v>1409</v>
      </c>
      <c r="C233" s="66">
        <v>1</v>
      </c>
      <c r="D233" s="105" t="s">
        <v>1396</v>
      </c>
      <c r="E233" s="66">
        <v>19</v>
      </c>
      <c r="F233" s="68" t="s">
        <v>138</v>
      </c>
      <c r="G233" s="66">
        <v>1905</v>
      </c>
      <c r="H233" s="68" t="s">
        <v>739</v>
      </c>
      <c r="I233" s="66">
        <v>1905</v>
      </c>
      <c r="J233" s="68" t="s">
        <v>1368</v>
      </c>
      <c r="K233" s="68" t="s">
        <v>1043</v>
      </c>
      <c r="L233" s="66" t="s">
        <v>38</v>
      </c>
      <c r="M233" s="68" t="s">
        <v>1065</v>
      </c>
      <c r="N233" s="66">
        <v>1905021</v>
      </c>
      <c r="O233" s="68" t="s">
        <v>1066</v>
      </c>
      <c r="P233" s="66" t="s">
        <v>38</v>
      </c>
      <c r="Q233" s="68" t="s">
        <v>1047</v>
      </c>
      <c r="R233" s="66">
        <v>190502100</v>
      </c>
      <c r="S233" s="68" t="s">
        <v>1067</v>
      </c>
      <c r="T233" s="72" t="s">
        <v>1449</v>
      </c>
      <c r="U233" s="34">
        <v>11</v>
      </c>
      <c r="V233" s="72" t="s">
        <v>1062</v>
      </c>
      <c r="W233" s="67" t="s">
        <v>1063</v>
      </c>
      <c r="X233" s="67" t="s">
        <v>1064</v>
      </c>
      <c r="Y233" s="107"/>
      <c r="Z233" s="107"/>
      <c r="AA233" s="107"/>
      <c r="AB233" s="107"/>
      <c r="AC233" s="166">
        <v>56000000</v>
      </c>
      <c r="AD233" s="107"/>
      <c r="AE233" s="107"/>
      <c r="AF233" s="107"/>
      <c r="AG233" s="107"/>
      <c r="AH233" s="107"/>
      <c r="AI233" s="111"/>
      <c r="AJ233" s="107"/>
      <c r="AK233" s="107"/>
      <c r="AL233" s="107"/>
      <c r="AM233" s="91">
        <f t="shared" si="5"/>
        <v>56000000</v>
      </c>
      <c r="AN233" s="81" t="s">
        <v>1436</v>
      </c>
      <c r="AO233" s="6"/>
    </row>
    <row r="234" spans="1:41" s="1" customFormat="1" ht="129.75" hidden="1" customHeight="1" x14ac:dyDescent="0.2">
      <c r="A234" s="69">
        <v>318</v>
      </c>
      <c r="B234" s="125" t="s">
        <v>1409</v>
      </c>
      <c r="C234" s="66">
        <v>1</v>
      </c>
      <c r="D234" s="105" t="s">
        <v>1396</v>
      </c>
      <c r="E234" s="66">
        <v>19</v>
      </c>
      <c r="F234" s="68" t="s">
        <v>138</v>
      </c>
      <c r="G234" s="66">
        <v>1905</v>
      </c>
      <c r="H234" s="68" t="s">
        <v>739</v>
      </c>
      <c r="I234" s="66">
        <v>1905</v>
      </c>
      <c r="J234" s="68" t="s">
        <v>1368</v>
      </c>
      <c r="K234" s="68" t="s">
        <v>990</v>
      </c>
      <c r="L234" s="69">
        <v>1905020</v>
      </c>
      <c r="M234" s="68" t="s">
        <v>1068</v>
      </c>
      <c r="N234" s="69">
        <v>1905020</v>
      </c>
      <c r="O234" s="68" t="s">
        <v>1068</v>
      </c>
      <c r="P234" s="34">
        <v>190502000</v>
      </c>
      <c r="Q234" s="68" t="s">
        <v>1069</v>
      </c>
      <c r="R234" s="34">
        <v>190502000</v>
      </c>
      <c r="S234" s="68" t="s">
        <v>1069</v>
      </c>
      <c r="T234" s="72" t="s">
        <v>1449</v>
      </c>
      <c r="U234" s="34">
        <v>12</v>
      </c>
      <c r="V234" s="72" t="s">
        <v>1070</v>
      </c>
      <c r="W234" s="67" t="s">
        <v>1071</v>
      </c>
      <c r="X234" s="67" t="s">
        <v>1072</v>
      </c>
      <c r="Y234" s="107"/>
      <c r="Z234" s="107"/>
      <c r="AA234" s="107"/>
      <c r="AB234" s="107"/>
      <c r="AC234" s="167">
        <v>38000000</v>
      </c>
      <c r="AD234" s="107"/>
      <c r="AE234" s="107"/>
      <c r="AF234" s="107"/>
      <c r="AG234" s="107"/>
      <c r="AH234" s="107"/>
      <c r="AI234" s="111"/>
      <c r="AJ234" s="107"/>
      <c r="AK234" s="107">
        <v>548597644</v>
      </c>
      <c r="AL234" s="107"/>
      <c r="AM234" s="91">
        <f t="shared" si="5"/>
        <v>586597644</v>
      </c>
      <c r="AN234" s="81" t="s">
        <v>1436</v>
      </c>
      <c r="AO234" s="6"/>
    </row>
    <row r="235" spans="1:41" s="1" customFormat="1" ht="183" hidden="1" customHeight="1" x14ac:dyDescent="0.2">
      <c r="A235" s="69">
        <v>318</v>
      </c>
      <c r="B235" s="125" t="s">
        <v>1409</v>
      </c>
      <c r="C235" s="66">
        <v>1</v>
      </c>
      <c r="D235" s="105" t="s">
        <v>1396</v>
      </c>
      <c r="E235" s="66">
        <v>19</v>
      </c>
      <c r="F235" s="68" t="s">
        <v>138</v>
      </c>
      <c r="G235" s="66">
        <v>1905</v>
      </c>
      <c r="H235" s="68" t="s">
        <v>739</v>
      </c>
      <c r="I235" s="66">
        <v>1905</v>
      </c>
      <c r="J235" s="68" t="s">
        <v>1368</v>
      </c>
      <c r="K235" s="68" t="s">
        <v>746</v>
      </c>
      <c r="L235" s="69">
        <v>1905022</v>
      </c>
      <c r="M235" s="68" t="s">
        <v>747</v>
      </c>
      <c r="N235" s="69">
        <v>1905022</v>
      </c>
      <c r="O235" s="68" t="s">
        <v>747</v>
      </c>
      <c r="P235" s="34">
        <v>190502200</v>
      </c>
      <c r="Q235" s="126" t="s">
        <v>748</v>
      </c>
      <c r="R235" s="34">
        <v>190502200</v>
      </c>
      <c r="S235" s="126" t="s">
        <v>748</v>
      </c>
      <c r="T235" s="72" t="s">
        <v>1449</v>
      </c>
      <c r="U235" s="34">
        <v>12</v>
      </c>
      <c r="V235" s="72" t="s">
        <v>1070</v>
      </c>
      <c r="W235" s="67" t="s">
        <v>1071</v>
      </c>
      <c r="X235" s="67" t="s">
        <v>1072</v>
      </c>
      <c r="Y235" s="107"/>
      <c r="Z235" s="107"/>
      <c r="AA235" s="107"/>
      <c r="AB235" s="107"/>
      <c r="AC235" s="167">
        <f>57000000+9700000</f>
        <v>66700000</v>
      </c>
      <c r="AD235" s="107"/>
      <c r="AE235" s="107"/>
      <c r="AF235" s="107"/>
      <c r="AG235" s="107"/>
      <c r="AH235" s="107"/>
      <c r="AI235" s="111"/>
      <c r="AJ235" s="107"/>
      <c r="AK235" s="107"/>
      <c r="AL235" s="107"/>
      <c r="AM235" s="91">
        <f t="shared" si="5"/>
        <v>66700000</v>
      </c>
      <c r="AN235" s="81" t="s">
        <v>1436</v>
      </c>
      <c r="AO235" s="6"/>
    </row>
    <row r="236" spans="1:41" s="1" customFormat="1" ht="96" hidden="1" customHeight="1" x14ac:dyDescent="0.2">
      <c r="A236" s="69">
        <v>318</v>
      </c>
      <c r="B236" s="125" t="s">
        <v>1409</v>
      </c>
      <c r="C236" s="66">
        <v>1</v>
      </c>
      <c r="D236" s="105" t="s">
        <v>1396</v>
      </c>
      <c r="E236" s="66">
        <v>19</v>
      </c>
      <c r="F236" s="68" t="s">
        <v>138</v>
      </c>
      <c r="G236" s="66">
        <v>1905</v>
      </c>
      <c r="H236" s="68" t="s">
        <v>739</v>
      </c>
      <c r="I236" s="66">
        <v>1905</v>
      </c>
      <c r="J236" s="68" t="s">
        <v>1368</v>
      </c>
      <c r="K236" s="68" t="s">
        <v>990</v>
      </c>
      <c r="L236" s="66" t="s">
        <v>38</v>
      </c>
      <c r="M236" s="68" t="s">
        <v>1073</v>
      </c>
      <c r="N236" s="66">
        <v>1905015</v>
      </c>
      <c r="O236" s="68" t="s">
        <v>221</v>
      </c>
      <c r="P236" s="66" t="s">
        <v>38</v>
      </c>
      <c r="Q236" s="126" t="s">
        <v>1074</v>
      </c>
      <c r="R236" s="66" t="s">
        <v>1075</v>
      </c>
      <c r="S236" s="126" t="s">
        <v>1076</v>
      </c>
      <c r="T236" s="72" t="s">
        <v>1449</v>
      </c>
      <c r="U236" s="34">
        <v>1</v>
      </c>
      <c r="V236" s="72" t="s">
        <v>1070</v>
      </c>
      <c r="W236" s="67" t="s">
        <v>1071</v>
      </c>
      <c r="X236" s="67" t="s">
        <v>1072</v>
      </c>
      <c r="Y236" s="107"/>
      <c r="Z236" s="107"/>
      <c r="AA236" s="107"/>
      <c r="AB236" s="107">
        <f>100000000-100000000</f>
        <v>0</v>
      </c>
      <c r="AC236" s="167">
        <f>58000000-9700000</f>
        <v>48300000</v>
      </c>
      <c r="AD236" s="107"/>
      <c r="AE236" s="107"/>
      <c r="AF236" s="107"/>
      <c r="AG236" s="107"/>
      <c r="AH236" s="107"/>
      <c r="AI236" s="111"/>
      <c r="AJ236" s="107"/>
      <c r="AK236" s="107"/>
      <c r="AL236" s="107"/>
      <c r="AM236" s="91">
        <f t="shared" si="5"/>
        <v>48300000</v>
      </c>
      <c r="AN236" s="81" t="s">
        <v>1436</v>
      </c>
      <c r="AO236" s="6"/>
    </row>
    <row r="237" spans="1:41" s="1" customFormat="1" ht="120" hidden="1" customHeight="1" x14ac:dyDescent="0.2">
      <c r="A237" s="69">
        <v>318</v>
      </c>
      <c r="B237" s="125" t="s">
        <v>1409</v>
      </c>
      <c r="C237" s="66">
        <v>1</v>
      </c>
      <c r="D237" s="105" t="s">
        <v>1396</v>
      </c>
      <c r="E237" s="66">
        <v>19</v>
      </c>
      <c r="F237" s="68" t="s">
        <v>138</v>
      </c>
      <c r="G237" s="66">
        <v>1905</v>
      </c>
      <c r="H237" s="68" t="s">
        <v>739</v>
      </c>
      <c r="I237" s="66">
        <v>1905</v>
      </c>
      <c r="J237" s="68" t="s">
        <v>1368</v>
      </c>
      <c r="K237" s="68" t="s">
        <v>1077</v>
      </c>
      <c r="L237" s="66">
        <v>1905023</v>
      </c>
      <c r="M237" s="68" t="s">
        <v>1078</v>
      </c>
      <c r="N237" s="66">
        <v>1905023</v>
      </c>
      <c r="O237" s="68" t="s">
        <v>1078</v>
      </c>
      <c r="P237" s="34">
        <v>190502300</v>
      </c>
      <c r="Q237" s="126" t="s">
        <v>1079</v>
      </c>
      <c r="R237" s="34">
        <v>190502300</v>
      </c>
      <c r="S237" s="126" t="s">
        <v>1079</v>
      </c>
      <c r="T237" s="72" t="s">
        <v>1449</v>
      </c>
      <c r="U237" s="34">
        <v>12</v>
      </c>
      <c r="V237" s="72" t="s">
        <v>1080</v>
      </c>
      <c r="W237" s="67" t="s">
        <v>1081</v>
      </c>
      <c r="X237" s="67" t="s">
        <v>1082</v>
      </c>
      <c r="Y237" s="107"/>
      <c r="Z237" s="107"/>
      <c r="AA237" s="107"/>
      <c r="AB237" s="107"/>
      <c r="AC237" s="167">
        <v>105000000</v>
      </c>
      <c r="AD237" s="107"/>
      <c r="AE237" s="107"/>
      <c r="AF237" s="107"/>
      <c r="AG237" s="107"/>
      <c r="AH237" s="107"/>
      <c r="AI237" s="111"/>
      <c r="AJ237" s="107"/>
      <c r="AK237" s="107"/>
      <c r="AL237" s="107"/>
      <c r="AM237" s="91">
        <f t="shared" si="5"/>
        <v>105000000</v>
      </c>
      <c r="AN237" s="81" t="s">
        <v>1436</v>
      </c>
      <c r="AO237" s="6"/>
    </row>
    <row r="238" spans="1:41" s="1" customFormat="1" ht="134.25" hidden="1" customHeight="1" x14ac:dyDescent="0.2">
      <c r="A238" s="69">
        <v>318</v>
      </c>
      <c r="B238" s="125" t="s">
        <v>1409</v>
      </c>
      <c r="C238" s="66">
        <v>1</v>
      </c>
      <c r="D238" s="105" t="s">
        <v>1396</v>
      </c>
      <c r="E238" s="66">
        <v>19</v>
      </c>
      <c r="F238" s="68" t="s">
        <v>138</v>
      </c>
      <c r="G238" s="66">
        <v>1905</v>
      </c>
      <c r="H238" s="68" t="s">
        <v>739</v>
      </c>
      <c r="I238" s="66">
        <v>1905</v>
      </c>
      <c r="J238" s="68" t="s">
        <v>1368</v>
      </c>
      <c r="K238" s="68" t="s">
        <v>967</v>
      </c>
      <c r="L238" s="66">
        <v>1905031</v>
      </c>
      <c r="M238" s="68" t="s">
        <v>1036</v>
      </c>
      <c r="N238" s="66">
        <v>1905031</v>
      </c>
      <c r="O238" s="68" t="s">
        <v>1036</v>
      </c>
      <c r="P238" s="66">
        <v>190503100</v>
      </c>
      <c r="Q238" s="67" t="s">
        <v>1037</v>
      </c>
      <c r="R238" s="66">
        <v>190503100</v>
      </c>
      <c r="S238" s="67" t="s">
        <v>1037</v>
      </c>
      <c r="T238" s="72" t="s">
        <v>1449</v>
      </c>
      <c r="U238" s="34">
        <v>12</v>
      </c>
      <c r="V238" s="72" t="s">
        <v>1080</v>
      </c>
      <c r="W238" s="67" t="s">
        <v>1081</v>
      </c>
      <c r="X238" s="67" t="s">
        <v>1082</v>
      </c>
      <c r="Y238" s="107"/>
      <c r="Z238" s="107"/>
      <c r="AA238" s="107"/>
      <c r="AB238" s="107"/>
      <c r="AC238" s="167">
        <v>76000000</v>
      </c>
      <c r="AD238" s="107"/>
      <c r="AE238" s="107"/>
      <c r="AF238" s="107"/>
      <c r="AG238" s="107"/>
      <c r="AH238" s="107"/>
      <c r="AI238" s="111"/>
      <c r="AJ238" s="107"/>
      <c r="AK238" s="107"/>
      <c r="AL238" s="107"/>
      <c r="AM238" s="91">
        <f t="shared" si="5"/>
        <v>76000000</v>
      </c>
      <c r="AN238" s="81" t="s">
        <v>1436</v>
      </c>
      <c r="AO238" s="6"/>
    </row>
    <row r="239" spans="1:41" s="1" customFormat="1" ht="122.25" hidden="1" customHeight="1" x14ac:dyDescent="0.2">
      <c r="A239" s="69">
        <v>318</v>
      </c>
      <c r="B239" s="125" t="s">
        <v>1409</v>
      </c>
      <c r="C239" s="66">
        <v>1</v>
      </c>
      <c r="D239" s="105" t="s">
        <v>1396</v>
      </c>
      <c r="E239" s="66">
        <v>19</v>
      </c>
      <c r="F239" s="68" t="s">
        <v>138</v>
      </c>
      <c r="G239" s="66">
        <v>1905</v>
      </c>
      <c r="H239" s="68" t="s">
        <v>739</v>
      </c>
      <c r="I239" s="66">
        <v>1905</v>
      </c>
      <c r="J239" s="68" t="s">
        <v>1368</v>
      </c>
      <c r="K239" s="68" t="s">
        <v>1083</v>
      </c>
      <c r="L239" s="66">
        <v>1905012</v>
      </c>
      <c r="M239" s="68" t="s">
        <v>1084</v>
      </c>
      <c r="N239" s="66">
        <v>1905012</v>
      </c>
      <c r="O239" s="68" t="s">
        <v>1084</v>
      </c>
      <c r="P239" s="34">
        <v>190501200</v>
      </c>
      <c r="Q239" s="67" t="s">
        <v>1084</v>
      </c>
      <c r="R239" s="34">
        <v>190501200</v>
      </c>
      <c r="S239" s="126" t="s">
        <v>1084</v>
      </c>
      <c r="T239" s="72" t="s">
        <v>1449</v>
      </c>
      <c r="U239" s="34">
        <v>1</v>
      </c>
      <c r="V239" s="72" t="s">
        <v>1085</v>
      </c>
      <c r="W239" s="67" t="s">
        <v>1086</v>
      </c>
      <c r="X239" s="67" t="s">
        <v>1087</v>
      </c>
      <c r="Y239" s="107"/>
      <c r="Z239" s="107"/>
      <c r="AA239" s="107"/>
      <c r="AB239" s="107"/>
      <c r="AC239" s="107">
        <f>20000000+1146584216.27</f>
        <v>1166584216.27</v>
      </c>
      <c r="AD239" s="107"/>
      <c r="AE239" s="107"/>
      <c r="AF239" s="107"/>
      <c r="AG239" s="107"/>
      <c r="AH239" s="107"/>
      <c r="AI239" s="111"/>
      <c r="AJ239" s="107"/>
      <c r="AK239" s="135"/>
      <c r="AL239" s="135"/>
      <c r="AM239" s="91">
        <f t="shared" si="5"/>
        <v>1166584216.27</v>
      </c>
      <c r="AN239" s="81" t="s">
        <v>1436</v>
      </c>
      <c r="AO239" s="6"/>
    </row>
    <row r="240" spans="1:41" s="1" customFormat="1" ht="180" hidden="1" customHeight="1" x14ac:dyDescent="0.2">
      <c r="A240" s="69">
        <v>318</v>
      </c>
      <c r="B240" s="125" t="s">
        <v>1409</v>
      </c>
      <c r="C240" s="66">
        <v>1</v>
      </c>
      <c r="D240" s="105" t="s">
        <v>1396</v>
      </c>
      <c r="E240" s="66">
        <v>19</v>
      </c>
      <c r="F240" s="68" t="s">
        <v>138</v>
      </c>
      <c r="G240" s="66">
        <v>1905</v>
      </c>
      <c r="H240" s="68" t="s">
        <v>739</v>
      </c>
      <c r="I240" s="66">
        <v>1905</v>
      </c>
      <c r="J240" s="68" t="s">
        <v>1368</v>
      </c>
      <c r="K240" s="68" t="s">
        <v>1088</v>
      </c>
      <c r="L240" s="66">
        <v>1905026</v>
      </c>
      <c r="M240" s="68" t="s">
        <v>1089</v>
      </c>
      <c r="N240" s="66">
        <v>1905026</v>
      </c>
      <c r="O240" s="68" t="s">
        <v>1089</v>
      </c>
      <c r="P240" s="34">
        <v>190502600</v>
      </c>
      <c r="Q240" s="126" t="s">
        <v>1090</v>
      </c>
      <c r="R240" s="34">
        <v>190502600</v>
      </c>
      <c r="S240" s="126" t="s">
        <v>1090</v>
      </c>
      <c r="T240" s="72" t="s">
        <v>1449</v>
      </c>
      <c r="U240" s="34">
        <v>12</v>
      </c>
      <c r="V240" s="72" t="s">
        <v>1085</v>
      </c>
      <c r="W240" s="67" t="s">
        <v>1086</v>
      </c>
      <c r="X240" s="67" t="s">
        <v>1087</v>
      </c>
      <c r="Y240" s="107"/>
      <c r="Z240" s="107"/>
      <c r="AA240" s="107"/>
      <c r="AB240" s="107"/>
      <c r="AC240" s="107">
        <v>58000000</v>
      </c>
      <c r="AD240" s="107"/>
      <c r="AE240" s="107"/>
      <c r="AF240" s="107"/>
      <c r="AG240" s="107"/>
      <c r="AH240" s="107"/>
      <c r="AI240" s="111"/>
      <c r="AJ240" s="107"/>
      <c r="AK240" s="135"/>
      <c r="AL240" s="135"/>
      <c r="AM240" s="91">
        <f t="shared" si="5"/>
        <v>58000000</v>
      </c>
      <c r="AN240" s="81" t="s">
        <v>1436</v>
      </c>
      <c r="AO240" s="6"/>
    </row>
    <row r="241" spans="1:41" s="1" customFormat="1" ht="150" hidden="1" customHeight="1" x14ac:dyDescent="0.2">
      <c r="A241" s="69">
        <v>318</v>
      </c>
      <c r="B241" s="125" t="s">
        <v>1409</v>
      </c>
      <c r="C241" s="66">
        <v>1</v>
      </c>
      <c r="D241" s="105" t="s">
        <v>1396</v>
      </c>
      <c r="E241" s="66">
        <v>19</v>
      </c>
      <c r="F241" s="68" t="s">
        <v>138</v>
      </c>
      <c r="G241" s="66">
        <v>1905</v>
      </c>
      <c r="H241" s="68" t="s">
        <v>739</v>
      </c>
      <c r="I241" s="66">
        <v>1905</v>
      </c>
      <c r="J241" s="68" t="s">
        <v>1368</v>
      </c>
      <c r="K241" s="68" t="s">
        <v>1083</v>
      </c>
      <c r="L241" s="66">
        <v>1905027</v>
      </c>
      <c r="M241" s="68" t="s">
        <v>1091</v>
      </c>
      <c r="N241" s="66">
        <v>1905027</v>
      </c>
      <c r="O241" s="68" t="s">
        <v>1091</v>
      </c>
      <c r="P241" s="34">
        <v>190502700</v>
      </c>
      <c r="Q241" s="67" t="s">
        <v>1092</v>
      </c>
      <c r="R241" s="34">
        <v>190502700</v>
      </c>
      <c r="S241" s="67" t="s">
        <v>1092</v>
      </c>
      <c r="T241" s="72" t="s">
        <v>1449</v>
      </c>
      <c r="U241" s="34">
        <v>12</v>
      </c>
      <c r="V241" s="72" t="s">
        <v>1085</v>
      </c>
      <c r="W241" s="67" t="s">
        <v>1086</v>
      </c>
      <c r="X241" s="67" t="s">
        <v>1087</v>
      </c>
      <c r="Y241" s="107"/>
      <c r="Z241" s="107"/>
      <c r="AA241" s="107"/>
      <c r="AB241" s="107"/>
      <c r="AC241" s="107">
        <v>75000000</v>
      </c>
      <c r="AD241" s="113"/>
      <c r="AE241" s="107"/>
      <c r="AF241" s="107"/>
      <c r="AG241" s="107"/>
      <c r="AH241" s="107"/>
      <c r="AI241" s="111">
        <f>20000000-13438000-6562000</f>
        <v>0</v>
      </c>
      <c r="AJ241" s="107"/>
      <c r="AK241" s="107"/>
      <c r="AL241" s="107"/>
      <c r="AM241" s="91">
        <f t="shared" si="5"/>
        <v>75000000</v>
      </c>
      <c r="AN241" s="81" t="s">
        <v>1436</v>
      </c>
      <c r="AO241" s="6"/>
    </row>
    <row r="242" spans="1:41" s="1" customFormat="1" ht="108.75" hidden="1" customHeight="1" x14ac:dyDescent="0.2">
      <c r="A242" s="69">
        <v>318</v>
      </c>
      <c r="B242" s="125" t="s">
        <v>1409</v>
      </c>
      <c r="C242" s="66">
        <v>1</v>
      </c>
      <c r="D242" s="105" t="s">
        <v>1396</v>
      </c>
      <c r="E242" s="66">
        <v>19</v>
      </c>
      <c r="F242" s="68" t="s">
        <v>138</v>
      </c>
      <c r="G242" s="66">
        <v>1905</v>
      </c>
      <c r="H242" s="68" t="s">
        <v>739</v>
      </c>
      <c r="I242" s="66">
        <v>1905</v>
      </c>
      <c r="J242" s="68" t="s">
        <v>1368</v>
      </c>
      <c r="K242" s="68" t="s">
        <v>1093</v>
      </c>
      <c r="L242" s="66" t="s">
        <v>38</v>
      </c>
      <c r="M242" s="68" t="s">
        <v>1055</v>
      </c>
      <c r="N242" s="66" t="s">
        <v>1094</v>
      </c>
      <c r="O242" s="68" t="s">
        <v>343</v>
      </c>
      <c r="P242" s="66" t="s">
        <v>38</v>
      </c>
      <c r="Q242" s="67" t="s">
        <v>1056</v>
      </c>
      <c r="R242" s="34">
        <v>190501500</v>
      </c>
      <c r="S242" s="126" t="s">
        <v>223</v>
      </c>
      <c r="T242" s="72" t="s">
        <v>1451</v>
      </c>
      <c r="U242" s="34">
        <v>4</v>
      </c>
      <c r="V242" s="72" t="s">
        <v>1095</v>
      </c>
      <c r="W242" s="67" t="s">
        <v>1096</v>
      </c>
      <c r="X242" s="67" t="s">
        <v>1097</v>
      </c>
      <c r="Y242" s="107"/>
      <c r="Z242" s="107"/>
      <c r="AA242" s="107"/>
      <c r="AB242" s="107"/>
      <c r="AC242" s="107">
        <v>95000000</v>
      </c>
      <c r="AD242" s="107"/>
      <c r="AE242" s="107"/>
      <c r="AF242" s="107"/>
      <c r="AG242" s="107"/>
      <c r="AH242" s="107"/>
      <c r="AI242" s="111"/>
      <c r="AJ242" s="107"/>
      <c r="AK242" s="107"/>
      <c r="AL242" s="107"/>
      <c r="AM242" s="91">
        <f t="shared" si="5"/>
        <v>95000000</v>
      </c>
      <c r="AN242" s="81" t="s">
        <v>1436</v>
      </c>
      <c r="AO242" s="6"/>
    </row>
    <row r="243" spans="1:41" s="1" customFormat="1" ht="187.5" hidden="1" customHeight="1" x14ac:dyDescent="0.2">
      <c r="A243" s="69">
        <v>318</v>
      </c>
      <c r="B243" s="125" t="s">
        <v>1409</v>
      </c>
      <c r="C243" s="66">
        <v>1</v>
      </c>
      <c r="D243" s="105" t="s">
        <v>1396</v>
      </c>
      <c r="E243" s="66">
        <v>19</v>
      </c>
      <c r="F243" s="68" t="s">
        <v>138</v>
      </c>
      <c r="G243" s="66">
        <v>1905</v>
      </c>
      <c r="H243" s="68" t="s">
        <v>739</v>
      </c>
      <c r="I243" s="66">
        <v>1905</v>
      </c>
      <c r="J243" s="68" t="s">
        <v>1368</v>
      </c>
      <c r="K243" s="68" t="s">
        <v>1088</v>
      </c>
      <c r="L243" s="66">
        <v>1905026</v>
      </c>
      <c r="M243" s="68" t="s">
        <v>1089</v>
      </c>
      <c r="N243" s="66">
        <v>1905026</v>
      </c>
      <c r="O243" s="68" t="s">
        <v>1089</v>
      </c>
      <c r="P243" s="34">
        <v>190502600</v>
      </c>
      <c r="Q243" s="67" t="s">
        <v>1090</v>
      </c>
      <c r="R243" s="34">
        <v>190502600</v>
      </c>
      <c r="S243" s="126" t="s">
        <v>1090</v>
      </c>
      <c r="T243" s="72" t="s">
        <v>1449</v>
      </c>
      <c r="U243" s="66">
        <v>12</v>
      </c>
      <c r="V243" s="72" t="s">
        <v>1095</v>
      </c>
      <c r="W243" s="67" t="s">
        <v>1096</v>
      </c>
      <c r="X243" s="67" t="s">
        <v>1097</v>
      </c>
      <c r="Y243" s="107"/>
      <c r="Z243" s="107"/>
      <c r="AA243" s="107"/>
      <c r="AB243" s="107"/>
      <c r="AC243" s="107">
        <v>96000000</v>
      </c>
      <c r="AD243" s="107"/>
      <c r="AE243" s="113"/>
      <c r="AF243" s="107"/>
      <c r="AG243" s="107"/>
      <c r="AH243" s="107"/>
      <c r="AI243" s="107">
        <v>130000000</v>
      </c>
      <c r="AJ243" s="107"/>
      <c r="AK243" s="107">
        <f>210707393+12219756</f>
        <v>222927149</v>
      </c>
      <c r="AL243" s="107"/>
      <c r="AM243" s="91">
        <f t="shared" si="5"/>
        <v>448927149</v>
      </c>
      <c r="AN243" s="81" t="s">
        <v>1436</v>
      </c>
      <c r="AO243" s="6"/>
    </row>
    <row r="244" spans="1:41" s="1" customFormat="1" ht="79.5" hidden="1" customHeight="1" x14ac:dyDescent="0.2">
      <c r="A244" s="69">
        <v>318</v>
      </c>
      <c r="B244" s="125" t="s">
        <v>1409</v>
      </c>
      <c r="C244" s="66">
        <v>1</v>
      </c>
      <c r="D244" s="105" t="s">
        <v>1396</v>
      </c>
      <c r="E244" s="66">
        <v>19</v>
      </c>
      <c r="F244" s="68" t="s">
        <v>138</v>
      </c>
      <c r="G244" s="66">
        <v>1905</v>
      </c>
      <c r="H244" s="68" t="s">
        <v>739</v>
      </c>
      <c r="I244" s="66">
        <v>1905</v>
      </c>
      <c r="J244" s="68" t="s">
        <v>1368</v>
      </c>
      <c r="K244" s="68" t="s">
        <v>970</v>
      </c>
      <c r="L244" s="66">
        <v>1905014</v>
      </c>
      <c r="M244" s="68" t="s">
        <v>79</v>
      </c>
      <c r="N244" s="66">
        <v>1905014</v>
      </c>
      <c r="O244" s="68" t="s">
        <v>79</v>
      </c>
      <c r="P244" s="66">
        <v>190501400</v>
      </c>
      <c r="Q244" s="67" t="s">
        <v>514</v>
      </c>
      <c r="R244" s="66">
        <v>190501400</v>
      </c>
      <c r="S244" s="67" t="s">
        <v>514</v>
      </c>
      <c r="T244" s="72" t="s">
        <v>1449</v>
      </c>
      <c r="U244" s="34">
        <v>12</v>
      </c>
      <c r="V244" s="72" t="s">
        <v>1098</v>
      </c>
      <c r="W244" s="67" t="s">
        <v>1099</v>
      </c>
      <c r="X244" s="67" t="s">
        <v>1100</v>
      </c>
      <c r="Y244" s="107"/>
      <c r="Z244" s="107"/>
      <c r="AA244" s="107"/>
      <c r="AB244" s="107"/>
      <c r="AC244" s="107">
        <v>43000000</v>
      </c>
      <c r="AD244" s="107"/>
      <c r="AE244" s="107"/>
      <c r="AF244" s="107"/>
      <c r="AG244" s="107"/>
      <c r="AH244" s="107"/>
      <c r="AI244" s="111"/>
      <c r="AJ244" s="107"/>
      <c r="AK244" s="107"/>
      <c r="AL244" s="107"/>
      <c r="AM244" s="91">
        <f t="shared" si="5"/>
        <v>43000000</v>
      </c>
      <c r="AN244" s="81" t="s">
        <v>1436</v>
      </c>
      <c r="AO244" s="6"/>
    </row>
    <row r="245" spans="1:41" s="1" customFormat="1" ht="166.5" hidden="1" customHeight="1" x14ac:dyDescent="0.2">
      <c r="A245" s="69">
        <v>318</v>
      </c>
      <c r="B245" s="125" t="s">
        <v>1409</v>
      </c>
      <c r="C245" s="66">
        <v>1</v>
      </c>
      <c r="D245" s="105" t="s">
        <v>1396</v>
      </c>
      <c r="E245" s="66">
        <v>19</v>
      </c>
      <c r="F245" s="68" t="s">
        <v>138</v>
      </c>
      <c r="G245" s="66">
        <v>1905</v>
      </c>
      <c r="H245" s="68" t="s">
        <v>739</v>
      </c>
      <c r="I245" s="66">
        <v>1905</v>
      </c>
      <c r="J245" s="68" t="s">
        <v>1368</v>
      </c>
      <c r="K245" s="68" t="s">
        <v>1088</v>
      </c>
      <c r="L245" s="34">
        <v>1905026</v>
      </c>
      <c r="M245" s="68" t="s">
        <v>1089</v>
      </c>
      <c r="N245" s="66">
        <v>1905026</v>
      </c>
      <c r="O245" s="68" t="s">
        <v>1101</v>
      </c>
      <c r="P245" s="34">
        <v>190502600</v>
      </c>
      <c r="Q245" s="67" t="s">
        <v>1090</v>
      </c>
      <c r="R245" s="34">
        <v>190502600</v>
      </c>
      <c r="S245" s="126" t="s">
        <v>1090</v>
      </c>
      <c r="T245" s="72" t="s">
        <v>1449</v>
      </c>
      <c r="U245" s="66">
        <v>12</v>
      </c>
      <c r="V245" s="72" t="s">
        <v>1098</v>
      </c>
      <c r="W245" s="67" t="s">
        <v>1099</v>
      </c>
      <c r="X245" s="67" t="s">
        <v>1100</v>
      </c>
      <c r="Y245" s="107"/>
      <c r="Z245" s="107"/>
      <c r="AA245" s="107"/>
      <c r="AB245" s="107"/>
      <c r="AC245" s="107"/>
      <c r="AD245" s="107"/>
      <c r="AE245" s="107"/>
      <c r="AF245" s="107"/>
      <c r="AG245" s="107"/>
      <c r="AH245" s="107"/>
      <c r="AI245" s="111"/>
      <c r="AJ245" s="107"/>
      <c r="AK245" s="111">
        <v>179424239</v>
      </c>
      <c r="AL245" s="111"/>
      <c r="AM245" s="91">
        <f t="shared" si="5"/>
        <v>179424239</v>
      </c>
      <c r="AN245" s="81" t="s">
        <v>1436</v>
      </c>
      <c r="AO245" s="6"/>
    </row>
    <row r="246" spans="1:41" s="1" customFormat="1" ht="188.25" hidden="1" customHeight="1" x14ac:dyDescent="0.2">
      <c r="A246" s="69">
        <v>318</v>
      </c>
      <c r="B246" s="125" t="s">
        <v>1409</v>
      </c>
      <c r="C246" s="66">
        <v>1</v>
      </c>
      <c r="D246" s="105" t="s">
        <v>1396</v>
      </c>
      <c r="E246" s="66">
        <v>19</v>
      </c>
      <c r="F246" s="68" t="s">
        <v>138</v>
      </c>
      <c r="G246" s="66">
        <v>1905</v>
      </c>
      <c r="H246" s="68" t="s">
        <v>739</v>
      </c>
      <c r="I246" s="66">
        <v>1905</v>
      </c>
      <c r="J246" s="68" t="s">
        <v>1368</v>
      </c>
      <c r="K246" s="68" t="s">
        <v>1088</v>
      </c>
      <c r="L246" s="66">
        <v>1905026</v>
      </c>
      <c r="M246" s="68" t="s">
        <v>1089</v>
      </c>
      <c r="N246" s="66">
        <v>1905026</v>
      </c>
      <c r="O246" s="68" t="s">
        <v>1089</v>
      </c>
      <c r="P246" s="34">
        <v>190502600</v>
      </c>
      <c r="Q246" s="126" t="s">
        <v>1090</v>
      </c>
      <c r="R246" s="34">
        <v>190502600</v>
      </c>
      <c r="S246" s="126" t="s">
        <v>1090</v>
      </c>
      <c r="T246" s="72" t="s">
        <v>1449</v>
      </c>
      <c r="U246" s="66">
        <v>12</v>
      </c>
      <c r="V246" s="72" t="s">
        <v>1102</v>
      </c>
      <c r="W246" s="67" t="s">
        <v>1103</v>
      </c>
      <c r="X246" s="67" t="s">
        <v>1104</v>
      </c>
      <c r="Y246" s="107"/>
      <c r="Z246" s="107"/>
      <c r="AA246" s="107"/>
      <c r="AB246" s="107"/>
      <c r="AC246" s="107"/>
      <c r="AD246" s="164"/>
      <c r="AE246" s="107"/>
      <c r="AF246" s="107"/>
      <c r="AG246" s="107"/>
      <c r="AH246" s="107"/>
      <c r="AI246" s="111">
        <v>1100000000</v>
      </c>
      <c r="AJ246" s="107"/>
      <c r="AK246" s="107"/>
      <c r="AL246" s="107"/>
      <c r="AM246" s="91">
        <f t="shared" si="5"/>
        <v>1100000000</v>
      </c>
      <c r="AN246" s="81" t="s">
        <v>1436</v>
      </c>
      <c r="AO246" s="6"/>
    </row>
    <row r="247" spans="1:41" s="1" customFormat="1" ht="120" hidden="1" customHeight="1" x14ac:dyDescent="0.2">
      <c r="A247" s="69">
        <v>318</v>
      </c>
      <c r="B247" s="125" t="s">
        <v>1409</v>
      </c>
      <c r="C247" s="66">
        <v>1</v>
      </c>
      <c r="D247" s="105" t="s">
        <v>1396</v>
      </c>
      <c r="E247" s="66">
        <v>19</v>
      </c>
      <c r="F247" s="68" t="s">
        <v>138</v>
      </c>
      <c r="G247" s="66">
        <v>1905</v>
      </c>
      <c r="H247" s="68" t="s">
        <v>739</v>
      </c>
      <c r="I247" s="66">
        <v>1905</v>
      </c>
      <c r="J247" s="68" t="s">
        <v>1368</v>
      </c>
      <c r="K247" s="68" t="s">
        <v>977</v>
      </c>
      <c r="L247" s="66">
        <v>1905029</v>
      </c>
      <c r="M247" s="68" t="s">
        <v>1105</v>
      </c>
      <c r="N247" s="66">
        <v>1905030</v>
      </c>
      <c r="O247" s="68" t="s">
        <v>1106</v>
      </c>
      <c r="P247" s="34">
        <v>190502900</v>
      </c>
      <c r="Q247" s="126" t="s">
        <v>1107</v>
      </c>
      <c r="R247" s="34">
        <v>190503000</v>
      </c>
      <c r="S247" s="126" t="s">
        <v>1107</v>
      </c>
      <c r="T247" s="72" t="s">
        <v>1449</v>
      </c>
      <c r="U247" s="34">
        <v>60</v>
      </c>
      <c r="V247" s="72" t="s">
        <v>1108</v>
      </c>
      <c r="W247" s="67" t="s">
        <v>1109</v>
      </c>
      <c r="X247" s="67" t="s">
        <v>1110</v>
      </c>
      <c r="Y247" s="107"/>
      <c r="Z247" s="107"/>
      <c r="AA247" s="107"/>
      <c r="AB247" s="107"/>
      <c r="AC247" s="107">
        <v>20000000</v>
      </c>
      <c r="AD247" s="107"/>
      <c r="AE247" s="107"/>
      <c r="AF247" s="107"/>
      <c r="AG247" s="107"/>
      <c r="AH247" s="107"/>
      <c r="AI247" s="111"/>
      <c r="AJ247" s="107"/>
      <c r="AK247" s="107"/>
      <c r="AL247" s="107"/>
      <c r="AM247" s="91">
        <f t="shared" si="5"/>
        <v>20000000</v>
      </c>
      <c r="AN247" s="81" t="s">
        <v>1436</v>
      </c>
      <c r="AO247" s="6"/>
    </row>
    <row r="248" spans="1:41" s="1" customFormat="1" ht="93.75" hidden="1" customHeight="1" x14ac:dyDescent="0.2">
      <c r="A248" s="69">
        <v>318</v>
      </c>
      <c r="B248" s="125" t="s">
        <v>1409</v>
      </c>
      <c r="C248" s="66">
        <v>1</v>
      </c>
      <c r="D248" s="105" t="s">
        <v>1396</v>
      </c>
      <c r="E248" s="66">
        <v>19</v>
      </c>
      <c r="F248" s="68" t="s">
        <v>138</v>
      </c>
      <c r="G248" s="66">
        <v>1905</v>
      </c>
      <c r="H248" s="68" t="s">
        <v>739</v>
      </c>
      <c r="I248" s="66">
        <v>1905</v>
      </c>
      <c r="J248" s="68" t="s">
        <v>1368</v>
      </c>
      <c r="K248" s="68" t="s">
        <v>1017</v>
      </c>
      <c r="L248" s="66">
        <v>1905025</v>
      </c>
      <c r="M248" s="68" t="s">
        <v>1111</v>
      </c>
      <c r="N248" s="66">
        <v>1905025</v>
      </c>
      <c r="O248" s="68" t="s">
        <v>1111</v>
      </c>
      <c r="P248" s="34">
        <v>190502500</v>
      </c>
      <c r="Q248" s="126" t="s">
        <v>1112</v>
      </c>
      <c r="R248" s="34">
        <v>190502500</v>
      </c>
      <c r="S248" s="126" t="s">
        <v>1112</v>
      </c>
      <c r="T248" s="72" t="s">
        <v>1449</v>
      </c>
      <c r="U248" s="34">
        <v>12</v>
      </c>
      <c r="V248" s="72" t="s">
        <v>1113</v>
      </c>
      <c r="W248" s="67" t="s">
        <v>1114</v>
      </c>
      <c r="X248" s="67" t="s">
        <v>1115</v>
      </c>
      <c r="Y248" s="107"/>
      <c r="Z248" s="107"/>
      <c r="AA248" s="107"/>
      <c r="AB248" s="107"/>
      <c r="AC248" s="107">
        <v>84414100</v>
      </c>
      <c r="AD248" s="107"/>
      <c r="AE248" s="107"/>
      <c r="AF248" s="107"/>
      <c r="AG248" s="107"/>
      <c r="AH248" s="107"/>
      <c r="AI248" s="111"/>
      <c r="AJ248" s="107"/>
      <c r="AK248" s="107"/>
      <c r="AL248" s="107"/>
      <c r="AM248" s="91">
        <f t="shared" si="5"/>
        <v>84414100</v>
      </c>
      <c r="AN248" s="81" t="s">
        <v>1436</v>
      </c>
      <c r="AO248" s="6"/>
    </row>
    <row r="249" spans="1:41" s="1" customFormat="1" ht="86.25" hidden="1" customHeight="1" x14ac:dyDescent="0.2">
      <c r="A249" s="69">
        <v>318</v>
      </c>
      <c r="B249" s="125" t="s">
        <v>1409</v>
      </c>
      <c r="C249" s="66">
        <v>1</v>
      </c>
      <c r="D249" s="105" t="s">
        <v>1396</v>
      </c>
      <c r="E249" s="66">
        <v>19</v>
      </c>
      <c r="F249" s="68" t="s">
        <v>138</v>
      </c>
      <c r="G249" s="66">
        <v>1905</v>
      </c>
      <c r="H249" s="68" t="s">
        <v>739</v>
      </c>
      <c r="I249" s="66">
        <v>1905</v>
      </c>
      <c r="J249" s="68" t="s">
        <v>1368</v>
      </c>
      <c r="K249" s="68" t="s">
        <v>981</v>
      </c>
      <c r="L249" s="66">
        <v>1905015</v>
      </c>
      <c r="M249" s="68" t="s">
        <v>221</v>
      </c>
      <c r="N249" s="66">
        <v>1905015</v>
      </c>
      <c r="O249" s="68" t="s">
        <v>221</v>
      </c>
      <c r="P249" s="66">
        <v>190501503</v>
      </c>
      <c r="Q249" s="67" t="s">
        <v>1116</v>
      </c>
      <c r="R249" s="66">
        <v>190501503</v>
      </c>
      <c r="S249" s="67" t="s">
        <v>1116</v>
      </c>
      <c r="T249" s="72" t="s">
        <v>1449</v>
      </c>
      <c r="U249" s="34">
        <v>15</v>
      </c>
      <c r="V249" s="72" t="s">
        <v>1117</v>
      </c>
      <c r="W249" s="67" t="s">
        <v>1118</v>
      </c>
      <c r="X249" s="67" t="s">
        <v>1119</v>
      </c>
      <c r="Y249" s="107"/>
      <c r="Z249" s="107"/>
      <c r="AA249" s="107"/>
      <c r="AB249" s="107">
        <f>100000000-100000000</f>
        <v>0</v>
      </c>
      <c r="AC249" s="134">
        <v>320000000</v>
      </c>
      <c r="AD249" s="107"/>
      <c r="AE249" s="107"/>
      <c r="AF249" s="107"/>
      <c r="AG249" s="107"/>
      <c r="AH249" s="107"/>
      <c r="AI249" s="111"/>
      <c r="AJ249" s="107"/>
      <c r="AK249" s="107"/>
      <c r="AL249" s="107"/>
      <c r="AM249" s="91">
        <f t="shared" si="5"/>
        <v>320000000</v>
      </c>
      <c r="AN249" s="81" t="s">
        <v>1436</v>
      </c>
      <c r="AO249" s="6"/>
    </row>
    <row r="250" spans="1:41" s="1" customFormat="1" ht="63.75" hidden="1" customHeight="1" x14ac:dyDescent="0.2">
      <c r="A250" s="69">
        <v>318</v>
      </c>
      <c r="B250" s="125" t="s">
        <v>1409</v>
      </c>
      <c r="C250" s="66">
        <v>1</v>
      </c>
      <c r="D250" s="105" t="s">
        <v>1396</v>
      </c>
      <c r="E250" s="66">
        <v>19</v>
      </c>
      <c r="F250" s="68" t="s">
        <v>138</v>
      </c>
      <c r="G250" s="66">
        <v>1905</v>
      </c>
      <c r="H250" s="68" t="s">
        <v>739</v>
      </c>
      <c r="I250" s="66">
        <v>1905</v>
      </c>
      <c r="J250" s="68" t="s">
        <v>1368</v>
      </c>
      <c r="K250" s="68" t="s">
        <v>1120</v>
      </c>
      <c r="L250" s="66" t="s">
        <v>38</v>
      </c>
      <c r="M250" s="68" t="s">
        <v>1121</v>
      </c>
      <c r="N250" s="66" t="s">
        <v>1122</v>
      </c>
      <c r="O250" s="68" t="s">
        <v>1123</v>
      </c>
      <c r="P250" s="66" t="s">
        <v>38</v>
      </c>
      <c r="Q250" s="67" t="s">
        <v>1124</v>
      </c>
      <c r="R250" s="66" t="s">
        <v>1125</v>
      </c>
      <c r="S250" s="67" t="s">
        <v>1126</v>
      </c>
      <c r="T250" s="72" t="s">
        <v>1449</v>
      </c>
      <c r="U250" s="34">
        <v>1</v>
      </c>
      <c r="V250" s="72" t="s">
        <v>1127</v>
      </c>
      <c r="W250" s="67" t="s">
        <v>1128</v>
      </c>
      <c r="X250" s="67" t="s">
        <v>1129</v>
      </c>
      <c r="Y250" s="107"/>
      <c r="Z250" s="107"/>
      <c r="AA250" s="107"/>
      <c r="AB250" s="107"/>
      <c r="AC250" s="107"/>
      <c r="AD250" s="166"/>
      <c r="AE250" s="107"/>
      <c r="AF250" s="107"/>
      <c r="AG250" s="107"/>
      <c r="AH250" s="107"/>
      <c r="AI250" s="111">
        <v>321904376</v>
      </c>
      <c r="AJ250" s="107"/>
      <c r="AK250" s="107"/>
      <c r="AL250" s="107"/>
      <c r="AM250" s="91">
        <f t="shared" si="5"/>
        <v>321904376</v>
      </c>
      <c r="AN250" s="81" t="s">
        <v>1436</v>
      </c>
      <c r="AO250" s="6"/>
    </row>
    <row r="251" spans="1:41" s="1" customFormat="1" ht="88.5" hidden="1" customHeight="1" x14ac:dyDescent="0.2">
      <c r="A251" s="69">
        <v>318</v>
      </c>
      <c r="B251" s="125" t="s">
        <v>1409</v>
      </c>
      <c r="C251" s="66">
        <v>1</v>
      </c>
      <c r="D251" s="105" t="s">
        <v>1396</v>
      </c>
      <c r="E251" s="66">
        <v>19</v>
      </c>
      <c r="F251" s="68" t="s">
        <v>138</v>
      </c>
      <c r="G251" s="66">
        <v>1905</v>
      </c>
      <c r="H251" s="68" t="s">
        <v>739</v>
      </c>
      <c r="I251" s="66">
        <v>1905</v>
      </c>
      <c r="J251" s="68" t="s">
        <v>1368</v>
      </c>
      <c r="K251" s="68" t="s">
        <v>964</v>
      </c>
      <c r="L251" s="69">
        <v>1905031</v>
      </c>
      <c r="M251" s="68" t="s">
        <v>1036</v>
      </c>
      <c r="N251" s="69">
        <v>1905031</v>
      </c>
      <c r="O251" s="68" t="s">
        <v>1036</v>
      </c>
      <c r="P251" s="69">
        <v>190503100</v>
      </c>
      <c r="Q251" s="67" t="s">
        <v>1037</v>
      </c>
      <c r="R251" s="66">
        <v>190503100</v>
      </c>
      <c r="S251" s="67" t="s">
        <v>1037</v>
      </c>
      <c r="T251" s="72" t="s">
        <v>1449</v>
      </c>
      <c r="U251" s="34">
        <v>12</v>
      </c>
      <c r="V251" s="72" t="s">
        <v>1130</v>
      </c>
      <c r="W251" s="67" t="s">
        <v>1131</v>
      </c>
      <c r="X251" s="67" t="s">
        <v>1132</v>
      </c>
      <c r="Y251" s="107"/>
      <c r="Z251" s="107"/>
      <c r="AA251" s="107"/>
      <c r="AB251" s="107"/>
      <c r="AC251" s="107">
        <f>1263850000+433334276.49+63682049</f>
        <v>1760866325.49</v>
      </c>
      <c r="AD251" s="107"/>
      <c r="AE251" s="107"/>
      <c r="AF251" s="107"/>
      <c r="AG251" s="107"/>
      <c r="AH251" s="107"/>
      <c r="AI251" s="111"/>
      <c r="AJ251" s="107"/>
      <c r="AK251" s="107"/>
      <c r="AL251" s="107"/>
      <c r="AM251" s="91">
        <f t="shared" si="5"/>
        <v>1760866325.49</v>
      </c>
      <c r="AN251" s="81" t="s">
        <v>1436</v>
      </c>
      <c r="AO251" s="6"/>
    </row>
    <row r="252" spans="1:41" s="1" customFormat="1" ht="93" hidden="1" customHeight="1" x14ac:dyDescent="0.2">
      <c r="A252" s="69">
        <v>318</v>
      </c>
      <c r="B252" s="125" t="s">
        <v>1409</v>
      </c>
      <c r="C252" s="66">
        <v>1</v>
      </c>
      <c r="D252" s="105" t="s">
        <v>1396</v>
      </c>
      <c r="E252" s="66">
        <v>19</v>
      </c>
      <c r="F252" s="68" t="s">
        <v>138</v>
      </c>
      <c r="G252" s="66">
        <v>1906</v>
      </c>
      <c r="H252" s="68" t="s">
        <v>1339</v>
      </c>
      <c r="I252" s="66">
        <v>1906</v>
      </c>
      <c r="J252" s="68" t="s">
        <v>1340</v>
      </c>
      <c r="K252" s="68" t="s">
        <v>1017</v>
      </c>
      <c r="L252" s="66">
        <v>1906032</v>
      </c>
      <c r="M252" s="68" t="s">
        <v>1133</v>
      </c>
      <c r="N252" s="66">
        <v>1906032</v>
      </c>
      <c r="O252" s="68" t="s">
        <v>1133</v>
      </c>
      <c r="P252" s="34">
        <v>190603200</v>
      </c>
      <c r="Q252" s="67" t="s">
        <v>1134</v>
      </c>
      <c r="R252" s="34">
        <v>190603200</v>
      </c>
      <c r="S252" s="68" t="s">
        <v>1134</v>
      </c>
      <c r="T252" s="72" t="s">
        <v>1451</v>
      </c>
      <c r="U252" s="34">
        <v>1500</v>
      </c>
      <c r="V252" s="72" t="s">
        <v>1135</v>
      </c>
      <c r="W252" s="67" t="s">
        <v>1136</v>
      </c>
      <c r="X252" s="67" t="s">
        <v>1137</v>
      </c>
      <c r="Y252" s="107"/>
      <c r="Z252" s="107"/>
      <c r="AA252" s="107"/>
      <c r="AB252" s="107"/>
      <c r="AC252" s="107"/>
      <c r="AD252" s="134">
        <v>0</v>
      </c>
      <c r="AE252" s="107"/>
      <c r="AF252" s="107"/>
      <c r="AG252" s="107"/>
      <c r="AH252" s="107"/>
      <c r="AI252" s="111"/>
      <c r="AJ252" s="107"/>
      <c r="AK252" s="107"/>
      <c r="AL252" s="107"/>
      <c r="AM252" s="91">
        <f t="shared" si="5"/>
        <v>0</v>
      </c>
      <c r="AN252" s="81" t="s">
        <v>1436</v>
      </c>
      <c r="AO252" s="6"/>
    </row>
    <row r="253" spans="1:41" s="1" customFormat="1" ht="87.75" hidden="1" customHeight="1" x14ac:dyDescent="0.2">
      <c r="A253" s="69">
        <v>318</v>
      </c>
      <c r="B253" s="125" t="s">
        <v>1409</v>
      </c>
      <c r="C253" s="66">
        <v>1</v>
      </c>
      <c r="D253" s="105" t="s">
        <v>1396</v>
      </c>
      <c r="E253" s="66">
        <v>19</v>
      </c>
      <c r="F253" s="68" t="s">
        <v>138</v>
      </c>
      <c r="G253" s="66">
        <v>1906</v>
      </c>
      <c r="H253" s="68" t="s">
        <v>1339</v>
      </c>
      <c r="I253" s="66">
        <v>1906</v>
      </c>
      <c r="J253" s="68" t="s">
        <v>1340</v>
      </c>
      <c r="K253" s="68" t="s">
        <v>1138</v>
      </c>
      <c r="L253" s="66" t="s">
        <v>38</v>
      </c>
      <c r="M253" s="68" t="s">
        <v>1139</v>
      </c>
      <c r="N253" s="66">
        <v>1906023</v>
      </c>
      <c r="O253" s="68" t="s">
        <v>1140</v>
      </c>
      <c r="P253" s="66" t="s">
        <v>38</v>
      </c>
      <c r="Q253" s="67" t="s">
        <v>1141</v>
      </c>
      <c r="R253" s="66">
        <v>190602300</v>
      </c>
      <c r="S253" s="68" t="s">
        <v>1142</v>
      </c>
      <c r="T253" s="72" t="s">
        <v>1449</v>
      </c>
      <c r="U253" s="34">
        <v>19899</v>
      </c>
      <c r="V253" s="72" t="s">
        <v>1135</v>
      </c>
      <c r="W253" s="67" t="s">
        <v>1136</v>
      </c>
      <c r="X253" s="67" t="s">
        <v>1137</v>
      </c>
      <c r="Y253" s="107"/>
      <c r="Z253" s="107"/>
      <c r="AA253" s="107"/>
      <c r="AB253" s="107"/>
      <c r="AC253" s="107"/>
      <c r="AD253" s="134">
        <f>31408028135-56769013+473448217.47+3249295760.63</f>
        <v>35074003100.099998</v>
      </c>
      <c r="AE253" s="107"/>
      <c r="AF253" s="107"/>
      <c r="AG253" s="107"/>
      <c r="AH253" s="107"/>
      <c r="AI253" s="111">
        <v>0</v>
      </c>
      <c r="AJ253" s="107"/>
      <c r="AK253" s="107"/>
      <c r="AL253" s="107"/>
      <c r="AM253" s="91">
        <f t="shared" si="5"/>
        <v>35074003100.099998</v>
      </c>
      <c r="AN253" s="81" t="s">
        <v>1436</v>
      </c>
      <c r="AO253" s="6"/>
    </row>
    <row r="254" spans="1:41" s="1" customFormat="1" ht="83.25" hidden="1" customHeight="1" x14ac:dyDescent="0.2">
      <c r="A254" s="69">
        <v>318</v>
      </c>
      <c r="B254" s="125" t="s">
        <v>1409</v>
      </c>
      <c r="C254" s="66">
        <v>1</v>
      </c>
      <c r="D254" s="105" t="s">
        <v>1396</v>
      </c>
      <c r="E254" s="66">
        <v>19</v>
      </c>
      <c r="F254" s="68" t="s">
        <v>138</v>
      </c>
      <c r="G254" s="66">
        <v>1906</v>
      </c>
      <c r="H254" s="68" t="s">
        <v>1339</v>
      </c>
      <c r="I254" s="66">
        <v>1906</v>
      </c>
      <c r="J254" s="68" t="s">
        <v>1340</v>
      </c>
      <c r="K254" s="68" t="s">
        <v>1138</v>
      </c>
      <c r="L254" s="66" t="s">
        <v>38</v>
      </c>
      <c r="M254" s="68" t="s">
        <v>1143</v>
      </c>
      <c r="N254" s="66">
        <v>1906023</v>
      </c>
      <c r="O254" s="68" t="s">
        <v>1140</v>
      </c>
      <c r="P254" s="66" t="s">
        <v>38</v>
      </c>
      <c r="Q254" s="67" t="s">
        <v>1144</v>
      </c>
      <c r="R254" s="34">
        <v>190602301</v>
      </c>
      <c r="S254" s="126" t="s">
        <v>1145</v>
      </c>
      <c r="T254" s="72" t="s">
        <v>1449</v>
      </c>
      <c r="U254" s="34">
        <v>60</v>
      </c>
      <c r="V254" s="72" t="s">
        <v>1146</v>
      </c>
      <c r="W254" s="67" t="s">
        <v>1441</v>
      </c>
      <c r="X254" s="67" t="s">
        <v>1147</v>
      </c>
      <c r="Y254" s="107"/>
      <c r="Z254" s="107"/>
      <c r="AA254" s="107"/>
      <c r="AB254" s="107"/>
      <c r="AC254" s="107"/>
      <c r="AD254" s="134">
        <f>115688008-54899687</f>
        <v>60788321</v>
      </c>
      <c r="AE254" s="107"/>
      <c r="AF254" s="107"/>
      <c r="AG254" s="107"/>
      <c r="AH254" s="107"/>
      <c r="AI254" s="111">
        <v>1449459132</v>
      </c>
      <c r="AJ254" s="107"/>
      <c r="AK254" s="107">
        <f>1361612640+709077292</f>
        <v>2070689932</v>
      </c>
      <c r="AL254" s="107"/>
      <c r="AM254" s="91">
        <f t="shared" si="5"/>
        <v>3580937385</v>
      </c>
      <c r="AN254" s="81" t="s">
        <v>1436</v>
      </c>
      <c r="AO254" s="6"/>
    </row>
    <row r="255" spans="1:41" s="1" customFormat="1" ht="147" hidden="1" customHeight="1" x14ac:dyDescent="0.2">
      <c r="A255" s="69">
        <v>318</v>
      </c>
      <c r="B255" s="125" t="s">
        <v>1409</v>
      </c>
      <c r="C255" s="66">
        <v>1</v>
      </c>
      <c r="D255" s="105" t="s">
        <v>1396</v>
      </c>
      <c r="E255" s="66">
        <v>19</v>
      </c>
      <c r="F255" s="68" t="s">
        <v>138</v>
      </c>
      <c r="G255" s="66">
        <v>1906</v>
      </c>
      <c r="H255" s="68" t="s">
        <v>1339</v>
      </c>
      <c r="I255" s="66">
        <v>1906</v>
      </c>
      <c r="J255" s="68" t="s">
        <v>1340</v>
      </c>
      <c r="K255" s="68" t="s">
        <v>1138</v>
      </c>
      <c r="L255" s="66" t="s">
        <v>38</v>
      </c>
      <c r="M255" s="68" t="s">
        <v>1148</v>
      </c>
      <c r="N255" s="66">
        <v>1906025</v>
      </c>
      <c r="O255" s="68" t="s">
        <v>1149</v>
      </c>
      <c r="P255" s="66" t="s">
        <v>38</v>
      </c>
      <c r="Q255" s="67" t="s">
        <v>1150</v>
      </c>
      <c r="R255" s="66">
        <v>190602500</v>
      </c>
      <c r="S255" s="68" t="s">
        <v>1151</v>
      </c>
      <c r="T255" s="72" t="s">
        <v>1449</v>
      </c>
      <c r="U255" s="34">
        <v>100</v>
      </c>
      <c r="V255" s="72" t="s">
        <v>1146</v>
      </c>
      <c r="W255" s="67" t="s">
        <v>1441</v>
      </c>
      <c r="X255" s="67" t="s">
        <v>1147</v>
      </c>
      <c r="Y255" s="107"/>
      <c r="Z255" s="107"/>
      <c r="AA255" s="107"/>
      <c r="AB255" s="183">
        <f>100000000+300000000+400000000-400000000-400000000</f>
        <v>0</v>
      </c>
      <c r="AC255" s="107">
        <f>2224028029+3434211.2+3039348.21-3434211.2-3039348.21-489634735</f>
        <v>1734393294</v>
      </c>
      <c r="AD255" s="138"/>
      <c r="AE255" s="107"/>
      <c r="AF255" s="107"/>
      <c r="AG255" s="107"/>
      <c r="AH255" s="107"/>
      <c r="AI255" s="111"/>
      <c r="AJ255" s="107"/>
      <c r="AK255" s="107"/>
      <c r="AL255" s="107"/>
      <c r="AM255" s="91">
        <f t="shared" si="5"/>
        <v>1734393294</v>
      </c>
      <c r="AN255" s="81" t="s">
        <v>1436</v>
      </c>
      <c r="AO255" s="6"/>
    </row>
    <row r="256" spans="1:41" s="1" customFormat="1" ht="95.25" hidden="1" customHeight="1" x14ac:dyDescent="0.2">
      <c r="A256" s="69">
        <v>318</v>
      </c>
      <c r="B256" s="125" t="s">
        <v>1409</v>
      </c>
      <c r="C256" s="66">
        <v>1</v>
      </c>
      <c r="D256" s="105" t="s">
        <v>1396</v>
      </c>
      <c r="E256" s="66">
        <v>19</v>
      </c>
      <c r="F256" s="68" t="s">
        <v>138</v>
      </c>
      <c r="G256" s="66">
        <v>1906</v>
      </c>
      <c r="H256" s="68" t="s">
        <v>1339</v>
      </c>
      <c r="I256" s="66">
        <v>1906</v>
      </c>
      <c r="J256" s="68" t="s">
        <v>1340</v>
      </c>
      <c r="K256" s="68" t="s">
        <v>1138</v>
      </c>
      <c r="L256" s="66" t="s">
        <v>38</v>
      </c>
      <c r="M256" s="68" t="s">
        <v>1152</v>
      </c>
      <c r="N256" s="66">
        <v>1906025</v>
      </c>
      <c r="O256" s="68" t="s">
        <v>1149</v>
      </c>
      <c r="P256" s="66" t="s">
        <v>38</v>
      </c>
      <c r="Q256" s="67" t="s">
        <v>1153</v>
      </c>
      <c r="R256" s="66">
        <v>190602500</v>
      </c>
      <c r="S256" s="126" t="s">
        <v>1151</v>
      </c>
      <c r="T256" s="72" t="s">
        <v>1449</v>
      </c>
      <c r="U256" s="34">
        <v>100</v>
      </c>
      <c r="V256" s="72" t="s">
        <v>1146</v>
      </c>
      <c r="W256" s="67" t="s">
        <v>1441</v>
      </c>
      <c r="X256" s="67" t="s">
        <v>1147</v>
      </c>
      <c r="Y256" s="107"/>
      <c r="Z256" s="107"/>
      <c r="AA256" s="107"/>
      <c r="AB256" s="183">
        <f>400000000+400000000</f>
        <v>800000000</v>
      </c>
      <c r="AC256" s="107">
        <f>3434211.2+3039348.21</f>
        <v>6473559.4100000001</v>
      </c>
      <c r="AD256" s="134">
        <f>3684809425+33937548.72+1216600524.1+22221326.62+712647104.86+2028035496</f>
        <v>7698251425.2999992</v>
      </c>
      <c r="AE256" s="107"/>
      <c r="AF256" s="107"/>
      <c r="AG256" s="107"/>
      <c r="AH256" s="107"/>
      <c r="AI256" s="176">
        <v>4720000000</v>
      </c>
      <c r="AJ256" s="107"/>
      <c r="AK256" s="183">
        <v>8702487605</v>
      </c>
      <c r="AL256" s="107"/>
      <c r="AM256" s="91">
        <f t="shared" si="5"/>
        <v>21927212589.709999</v>
      </c>
      <c r="AN256" s="81" t="s">
        <v>1436</v>
      </c>
      <c r="AO256" s="6"/>
    </row>
    <row r="257" spans="1:41" s="1" customFormat="1" ht="95.25" hidden="1" customHeight="1" x14ac:dyDescent="0.2">
      <c r="A257" s="69">
        <v>318</v>
      </c>
      <c r="B257" s="125" t="s">
        <v>1409</v>
      </c>
      <c r="C257" s="66">
        <v>1</v>
      </c>
      <c r="D257" s="105" t="s">
        <v>1396</v>
      </c>
      <c r="E257" s="66">
        <v>19</v>
      </c>
      <c r="F257" s="68" t="s">
        <v>138</v>
      </c>
      <c r="G257" s="66">
        <v>1906</v>
      </c>
      <c r="H257" s="68" t="s">
        <v>1339</v>
      </c>
      <c r="I257" s="66">
        <v>1906</v>
      </c>
      <c r="J257" s="68" t="s">
        <v>1340</v>
      </c>
      <c r="K257" s="68" t="s">
        <v>1154</v>
      </c>
      <c r="L257" s="66">
        <v>1906029</v>
      </c>
      <c r="M257" s="68" t="s">
        <v>1155</v>
      </c>
      <c r="N257" s="66">
        <v>1906029</v>
      </c>
      <c r="O257" s="68" t="s">
        <v>1155</v>
      </c>
      <c r="P257" s="34">
        <v>190602900</v>
      </c>
      <c r="Q257" s="67" t="s">
        <v>1156</v>
      </c>
      <c r="R257" s="34">
        <v>190602900</v>
      </c>
      <c r="S257" s="126" t="s">
        <v>1156</v>
      </c>
      <c r="T257" s="72" t="s">
        <v>1449</v>
      </c>
      <c r="U257" s="34">
        <v>40</v>
      </c>
      <c r="V257" s="72" t="s">
        <v>1157</v>
      </c>
      <c r="W257" s="67" t="s">
        <v>1158</v>
      </c>
      <c r="X257" s="67" t="s">
        <v>1159</v>
      </c>
      <c r="Y257" s="107"/>
      <c r="Z257" s="107"/>
      <c r="AA257" s="107"/>
      <c r="AB257" s="107"/>
      <c r="AC257" s="107"/>
      <c r="AD257" s="134">
        <v>468599154.12</v>
      </c>
      <c r="AE257" s="107"/>
      <c r="AF257" s="107"/>
      <c r="AG257" s="107"/>
      <c r="AH257" s="107"/>
      <c r="AI257" s="176">
        <f>150390000+74000000+100000000+1014540868+473184457.21</f>
        <v>1812115325.21</v>
      </c>
      <c r="AJ257" s="107"/>
      <c r="AK257" s="107">
        <v>308966733</v>
      </c>
      <c r="AL257" s="107"/>
      <c r="AM257" s="91">
        <f t="shared" si="5"/>
        <v>2589681212.3299999</v>
      </c>
      <c r="AN257" s="81" t="s">
        <v>1436</v>
      </c>
      <c r="AO257" s="6"/>
    </row>
    <row r="258" spans="1:41" s="1" customFormat="1" ht="87.75" hidden="1" customHeight="1" x14ac:dyDescent="0.2">
      <c r="A258" s="69">
        <v>318</v>
      </c>
      <c r="B258" s="125" t="s">
        <v>1409</v>
      </c>
      <c r="C258" s="66">
        <v>1</v>
      </c>
      <c r="D258" s="105" t="s">
        <v>1396</v>
      </c>
      <c r="E258" s="66">
        <v>19</v>
      </c>
      <c r="F258" s="68" t="s">
        <v>138</v>
      </c>
      <c r="G258" s="66">
        <v>1906</v>
      </c>
      <c r="H258" s="68" t="s">
        <v>1339</v>
      </c>
      <c r="I258" s="66">
        <v>1906</v>
      </c>
      <c r="J258" s="68" t="s">
        <v>1340</v>
      </c>
      <c r="K258" s="68" t="s">
        <v>1017</v>
      </c>
      <c r="L258" s="66">
        <v>1906032</v>
      </c>
      <c r="M258" s="68" t="s">
        <v>1133</v>
      </c>
      <c r="N258" s="66">
        <v>1906032</v>
      </c>
      <c r="O258" s="68" t="s">
        <v>1133</v>
      </c>
      <c r="P258" s="34">
        <v>190603200</v>
      </c>
      <c r="Q258" s="67" t="s">
        <v>1134</v>
      </c>
      <c r="R258" s="34">
        <v>190603200</v>
      </c>
      <c r="S258" s="68" t="s">
        <v>1134</v>
      </c>
      <c r="T258" s="72" t="s">
        <v>1451</v>
      </c>
      <c r="U258" s="34">
        <v>1500</v>
      </c>
      <c r="V258" s="72" t="s">
        <v>1157</v>
      </c>
      <c r="W258" s="67" t="s">
        <v>1158</v>
      </c>
      <c r="X258" s="67" t="s">
        <v>1159</v>
      </c>
      <c r="Y258" s="107"/>
      <c r="Z258" s="107"/>
      <c r="AA258" s="107"/>
      <c r="AB258" s="107"/>
      <c r="AC258" s="107"/>
      <c r="AD258" s="134"/>
      <c r="AE258" s="107"/>
      <c r="AF258" s="107"/>
      <c r="AG258" s="107"/>
      <c r="AH258" s="107"/>
      <c r="AI258" s="111">
        <v>20000000</v>
      </c>
      <c r="AJ258" s="107"/>
      <c r="AK258" s="107"/>
      <c r="AL258" s="107"/>
      <c r="AM258" s="91">
        <f t="shared" si="5"/>
        <v>20000000</v>
      </c>
      <c r="AN258" s="81" t="s">
        <v>1436</v>
      </c>
      <c r="AO258" s="6"/>
    </row>
    <row r="259" spans="1:41" s="1" customFormat="1" ht="119.25" hidden="1" customHeight="1" x14ac:dyDescent="0.2">
      <c r="A259" s="69">
        <v>318</v>
      </c>
      <c r="B259" s="125" t="s">
        <v>1409</v>
      </c>
      <c r="C259" s="66">
        <v>1</v>
      </c>
      <c r="D259" s="105" t="s">
        <v>1396</v>
      </c>
      <c r="E259" s="66">
        <v>19</v>
      </c>
      <c r="F259" s="68" t="s">
        <v>138</v>
      </c>
      <c r="G259" s="66">
        <v>1906</v>
      </c>
      <c r="H259" s="68" t="s">
        <v>1339</v>
      </c>
      <c r="I259" s="66">
        <v>1906</v>
      </c>
      <c r="J259" s="68" t="s">
        <v>1340</v>
      </c>
      <c r="K259" s="68" t="s">
        <v>1160</v>
      </c>
      <c r="L259" s="66">
        <v>1906005</v>
      </c>
      <c r="M259" s="68" t="s">
        <v>1161</v>
      </c>
      <c r="N259" s="66">
        <v>1906005</v>
      </c>
      <c r="O259" s="68" t="s">
        <v>1161</v>
      </c>
      <c r="P259" s="34">
        <v>190600500</v>
      </c>
      <c r="Q259" s="67" t="s">
        <v>1161</v>
      </c>
      <c r="R259" s="34">
        <v>190600500</v>
      </c>
      <c r="S259" s="126" t="s">
        <v>1161</v>
      </c>
      <c r="T259" s="72" t="s">
        <v>1451</v>
      </c>
      <c r="U259" s="34">
        <v>2</v>
      </c>
      <c r="V259" s="72" t="s">
        <v>1157</v>
      </c>
      <c r="W259" s="67" t="s">
        <v>1158</v>
      </c>
      <c r="X259" s="67" t="s">
        <v>1159</v>
      </c>
      <c r="Y259" s="107"/>
      <c r="Z259" s="107"/>
      <c r="AA259" s="107"/>
      <c r="AB259" s="107"/>
      <c r="AC259" s="107"/>
      <c r="AD259" s="134"/>
      <c r="AE259" s="107"/>
      <c r="AF259" s="107"/>
      <c r="AG259" s="107"/>
      <c r="AH259" s="107"/>
      <c r="AI259" s="111">
        <v>20000000</v>
      </c>
      <c r="AJ259" s="107"/>
      <c r="AK259" s="107"/>
      <c r="AL259" s="107"/>
      <c r="AM259" s="91">
        <f t="shared" si="5"/>
        <v>20000000</v>
      </c>
      <c r="AN259" s="81" t="s">
        <v>1436</v>
      </c>
      <c r="AO259" s="6"/>
    </row>
    <row r="260" spans="1:41" s="1" customFormat="1" ht="96.75" hidden="1" customHeight="1" x14ac:dyDescent="0.2">
      <c r="A260" s="69">
        <v>318</v>
      </c>
      <c r="B260" s="125" t="s">
        <v>1409</v>
      </c>
      <c r="C260" s="66">
        <v>1</v>
      </c>
      <c r="D260" s="105" t="s">
        <v>1396</v>
      </c>
      <c r="E260" s="66">
        <v>19</v>
      </c>
      <c r="F260" s="68" t="s">
        <v>138</v>
      </c>
      <c r="G260" s="66">
        <v>1906</v>
      </c>
      <c r="H260" s="68" t="s">
        <v>1339</v>
      </c>
      <c r="I260" s="66">
        <v>1906</v>
      </c>
      <c r="J260" s="68" t="s">
        <v>1340</v>
      </c>
      <c r="K260" s="68" t="s">
        <v>964</v>
      </c>
      <c r="L260" s="66">
        <v>1906022</v>
      </c>
      <c r="M260" s="68" t="s">
        <v>1162</v>
      </c>
      <c r="N260" s="66">
        <v>1906022</v>
      </c>
      <c r="O260" s="68" t="s">
        <v>1162</v>
      </c>
      <c r="P260" s="34">
        <v>190602200</v>
      </c>
      <c r="Q260" s="67" t="s">
        <v>1163</v>
      </c>
      <c r="R260" s="34">
        <v>190602200</v>
      </c>
      <c r="S260" s="126" t="s">
        <v>1163</v>
      </c>
      <c r="T260" s="72" t="s">
        <v>1451</v>
      </c>
      <c r="U260" s="34">
        <v>1</v>
      </c>
      <c r="V260" s="72" t="s">
        <v>1157</v>
      </c>
      <c r="W260" s="67" t="s">
        <v>1158</v>
      </c>
      <c r="X260" s="67" t="s">
        <v>1159</v>
      </c>
      <c r="Y260" s="107"/>
      <c r="Z260" s="107"/>
      <c r="AA260" s="107"/>
      <c r="AB260" s="107"/>
      <c r="AC260" s="107"/>
      <c r="AD260" s="134"/>
      <c r="AE260" s="107"/>
      <c r="AF260" s="107"/>
      <c r="AG260" s="107"/>
      <c r="AH260" s="107"/>
      <c r="AI260" s="111">
        <v>20000000</v>
      </c>
      <c r="AJ260" s="107"/>
      <c r="AK260" s="107"/>
      <c r="AL260" s="107"/>
      <c r="AM260" s="91">
        <f t="shared" si="5"/>
        <v>20000000</v>
      </c>
      <c r="AN260" s="81" t="s">
        <v>1436</v>
      </c>
      <c r="AO260" s="6"/>
    </row>
    <row r="261" spans="1:41" s="1" customFormat="1" ht="94.5" hidden="1" customHeight="1" x14ac:dyDescent="0.2">
      <c r="A261" s="69">
        <v>318</v>
      </c>
      <c r="B261" s="125" t="s">
        <v>1409</v>
      </c>
      <c r="C261" s="66">
        <v>1</v>
      </c>
      <c r="D261" s="105" t="s">
        <v>1396</v>
      </c>
      <c r="E261" s="66">
        <v>19</v>
      </c>
      <c r="F261" s="68" t="s">
        <v>138</v>
      </c>
      <c r="G261" s="66">
        <v>1906</v>
      </c>
      <c r="H261" s="68" t="s">
        <v>1339</v>
      </c>
      <c r="I261" s="66">
        <v>1906</v>
      </c>
      <c r="J261" s="68" t="s">
        <v>1340</v>
      </c>
      <c r="K261" s="68" t="s">
        <v>1138</v>
      </c>
      <c r="L261" s="66" t="s">
        <v>38</v>
      </c>
      <c r="M261" s="68" t="s">
        <v>1143</v>
      </c>
      <c r="N261" s="66">
        <v>1906023</v>
      </c>
      <c r="O261" s="68" t="s">
        <v>1164</v>
      </c>
      <c r="P261" s="66" t="s">
        <v>38</v>
      </c>
      <c r="Q261" s="67" t="s">
        <v>1165</v>
      </c>
      <c r="R261" s="34">
        <v>190602301</v>
      </c>
      <c r="S261" s="126" t="s">
        <v>1145</v>
      </c>
      <c r="T261" s="72" t="s">
        <v>1449</v>
      </c>
      <c r="U261" s="34">
        <v>40</v>
      </c>
      <c r="V261" s="72" t="s">
        <v>1157</v>
      </c>
      <c r="W261" s="67" t="s">
        <v>1158</v>
      </c>
      <c r="X261" s="67" t="s">
        <v>1159</v>
      </c>
      <c r="Y261" s="107"/>
      <c r="Z261" s="107"/>
      <c r="AA261" s="107"/>
      <c r="AB261" s="107"/>
      <c r="AC261" s="107"/>
      <c r="AD261" s="134"/>
      <c r="AE261" s="107"/>
      <c r="AF261" s="107"/>
      <c r="AG261" s="107"/>
      <c r="AH261" s="107"/>
      <c r="AI261" s="111">
        <v>20000000</v>
      </c>
      <c r="AJ261" s="107"/>
      <c r="AK261" s="107"/>
      <c r="AL261" s="107"/>
      <c r="AM261" s="91">
        <f t="shared" si="5"/>
        <v>20000000</v>
      </c>
      <c r="AN261" s="81" t="s">
        <v>1436</v>
      </c>
      <c r="AO261" s="6"/>
    </row>
    <row r="262" spans="1:41" s="1" customFormat="1" ht="75" hidden="1" customHeight="1" x14ac:dyDescent="0.2">
      <c r="A262" s="69">
        <v>324</v>
      </c>
      <c r="B262" s="105" t="s">
        <v>1440</v>
      </c>
      <c r="C262" s="66">
        <v>1</v>
      </c>
      <c r="D262" s="105" t="s">
        <v>1396</v>
      </c>
      <c r="E262" s="66">
        <v>23</v>
      </c>
      <c r="F262" s="68" t="s">
        <v>1166</v>
      </c>
      <c r="G262" s="66">
        <v>2301</v>
      </c>
      <c r="H262" s="68" t="s">
        <v>1343</v>
      </c>
      <c r="I262" s="66">
        <v>2301</v>
      </c>
      <c r="J262" s="68" t="s">
        <v>1344</v>
      </c>
      <c r="K262" s="68" t="s">
        <v>1167</v>
      </c>
      <c r="L262" s="66">
        <v>2301024</v>
      </c>
      <c r="M262" s="168" t="s">
        <v>1168</v>
      </c>
      <c r="N262" s="66">
        <v>2301024</v>
      </c>
      <c r="O262" s="168" t="s">
        <v>1168</v>
      </c>
      <c r="P262" s="34">
        <v>230102401</v>
      </c>
      <c r="Q262" s="68" t="s">
        <v>1169</v>
      </c>
      <c r="R262" s="34">
        <v>230102401</v>
      </c>
      <c r="S262" s="68" t="s">
        <v>1169</v>
      </c>
      <c r="T262" s="72" t="s">
        <v>1449</v>
      </c>
      <c r="U262" s="34">
        <v>15</v>
      </c>
      <c r="V262" s="72" t="s">
        <v>1170</v>
      </c>
      <c r="W262" s="67" t="s">
        <v>1171</v>
      </c>
      <c r="X262" s="67" t="s">
        <v>1172</v>
      </c>
      <c r="Y262" s="107"/>
      <c r="Z262" s="107"/>
      <c r="AA262" s="107"/>
      <c r="AB262" s="91"/>
      <c r="AC262" s="91"/>
      <c r="AD262" s="91"/>
      <c r="AE262" s="91"/>
      <c r="AF262" s="91"/>
      <c r="AG262" s="91"/>
      <c r="AH262" s="91"/>
      <c r="AI262" s="91">
        <v>18000000</v>
      </c>
      <c r="AJ262" s="91"/>
      <c r="AK262" s="91"/>
      <c r="AL262" s="91"/>
      <c r="AM262" s="91">
        <f t="shared" si="5"/>
        <v>18000000</v>
      </c>
      <c r="AN262" s="81" t="s">
        <v>1437</v>
      </c>
      <c r="AO262" s="6"/>
    </row>
    <row r="263" spans="1:41" s="1" customFormat="1" ht="75" hidden="1" customHeight="1" x14ac:dyDescent="0.2">
      <c r="A263" s="69">
        <v>324</v>
      </c>
      <c r="B263" s="105" t="s">
        <v>1440</v>
      </c>
      <c r="C263" s="66">
        <v>1</v>
      </c>
      <c r="D263" s="105" t="s">
        <v>1396</v>
      </c>
      <c r="E263" s="66">
        <v>23</v>
      </c>
      <c r="F263" s="68" t="s">
        <v>1166</v>
      </c>
      <c r="G263" s="66">
        <v>2301</v>
      </c>
      <c r="H263" s="68" t="s">
        <v>1343</v>
      </c>
      <c r="I263" s="66">
        <v>2301</v>
      </c>
      <c r="J263" s="68" t="s">
        <v>1344</v>
      </c>
      <c r="K263" s="68" t="s">
        <v>1167</v>
      </c>
      <c r="L263" s="66">
        <v>2301024</v>
      </c>
      <c r="M263" s="168" t="s">
        <v>1168</v>
      </c>
      <c r="N263" s="66">
        <v>2301024</v>
      </c>
      <c r="O263" s="168" t="s">
        <v>1168</v>
      </c>
      <c r="P263" s="34">
        <v>230102404</v>
      </c>
      <c r="Q263" s="68" t="s">
        <v>1173</v>
      </c>
      <c r="R263" s="34">
        <v>230102404</v>
      </c>
      <c r="S263" s="68" t="s">
        <v>1173</v>
      </c>
      <c r="T263" s="72" t="s">
        <v>1451</v>
      </c>
      <c r="U263" s="34">
        <v>3</v>
      </c>
      <c r="V263" s="72" t="s">
        <v>1170</v>
      </c>
      <c r="W263" s="67" t="s">
        <v>1171</v>
      </c>
      <c r="X263" s="67" t="s">
        <v>1172</v>
      </c>
      <c r="Y263" s="107"/>
      <c r="Z263" s="107"/>
      <c r="AA263" s="107"/>
      <c r="AB263" s="91"/>
      <c r="AC263" s="91"/>
      <c r="AD263" s="91"/>
      <c r="AE263" s="91"/>
      <c r="AF263" s="91"/>
      <c r="AG263" s="91"/>
      <c r="AH263" s="91"/>
      <c r="AI263" s="91">
        <f>100000000+77460000+50000000+80000000</f>
        <v>307460000</v>
      </c>
      <c r="AJ263" s="91"/>
      <c r="AK263" s="91"/>
      <c r="AL263" s="91"/>
      <c r="AM263" s="91">
        <f t="shared" si="5"/>
        <v>307460000</v>
      </c>
      <c r="AN263" s="81" t="s">
        <v>1437</v>
      </c>
      <c r="AO263" s="6"/>
    </row>
    <row r="264" spans="1:41" s="1" customFormat="1" ht="103.5" hidden="1" customHeight="1" x14ac:dyDescent="0.2">
      <c r="A264" s="69">
        <v>324</v>
      </c>
      <c r="B264" s="105" t="s">
        <v>1440</v>
      </c>
      <c r="C264" s="66">
        <v>1</v>
      </c>
      <c r="D264" s="105" t="s">
        <v>1396</v>
      </c>
      <c r="E264" s="66">
        <v>23</v>
      </c>
      <c r="F264" s="68" t="s">
        <v>1166</v>
      </c>
      <c r="G264" s="66">
        <v>2301</v>
      </c>
      <c r="H264" s="68" t="s">
        <v>1343</v>
      </c>
      <c r="I264" s="66">
        <v>2301</v>
      </c>
      <c r="J264" s="68" t="s">
        <v>1344</v>
      </c>
      <c r="K264" s="68" t="s">
        <v>1167</v>
      </c>
      <c r="L264" s="34">
        <v>2301012</v>
      </c>
      <c r="M264" s="68" t="s">
        <v>1174</v>
      </c>
      <c r="N264" s="66">
        <v>2301079</v>
      </c>
      <c r="O264" s="68" t="s">
        <v>1175</v>
      </c>
      <c r="P264" s="34">
        <v>230101204</v>
      </c>
      <c r="Q264" s="68" t="s">
        <v>1176</v>
      </c>
      <c r="R264" s="34">
        <v>230107902</v>
      </c>
      <c r="S264" s="68" t="s">
        <v>1177</v>
      </c>
      <c r="T264" s="72" t="s">
        <v>1451</v>
      </c>
      <c r="U264" s="34">
        <v>13</v>
      </c>
      <c r="V264" s="72" t="s">
        <v>1170</v>
      </c>
      <c r="W264" s="67" t="s">
        <v>1171</v>
      </c>
      <c r="X264" s="67" t="s">
        <v>1172</v>
      </c>
      <c r="Y264" s="107"/>
      <c r="Z264" s="107"/>
      <c r="AA264" s="107"/>
      <c r="AB264" s="91"/>
      <c r="AC264" s="91"/>
      <c r="AD264" s="91"/>
      <c r="AE264" s="91"/>
      <c r="AF264" s="91"/>
      <c r="AG264" s="91"/>
      <c r="AH264" s="91"/>
      <c r="AI264" s="91">
        <f>80000000-80000000</f>
        <v>0</v>
      </c>
      <c r="AJ264" s="91"/>
      <c r="AK264" s="91"/>
      <c r="AL264" s="91"/>
      <c r="AM264" s="91">
        <f t="shared" si="5"/>
        <v>0</v>
      </c>
      <c r="AN264" s="81" t="s">
        <v>1437</v>
      </c>
      <c r="AO264" s="6"/>
    </row>
    <row r="265" spans="1:41" s="1" customFormat="1" ht="96.75" hidden="1" customHeight="1" x14ac:dyDescent="0.2">
      <c r="A265" s="69">
        <v>324</v>
      </c>
      <c r="B265" s="105" t="s">
        <v>1440</v>
      </c>
      <c r="C265" s="66">
        <v>1</v>
      </c>
      <c r="D265" s="105" t="s">
        <v>1396</v>
      </c>
      <c r="E265" s="66">
        <v>23</v>
      </c>
      <c r="F265" s="68" t="s">
        <v>1166</v>
      </c>
      <c r="G265" s="66">
        <v>2301</v>
      </c>
      <c r="H265" s="68" t="s">
        <v>1343</v>
      </c>
      <c r="I265" s="66">
        <v>2301</v>
      </c>
      <c r="J265" s="68" t="s">
        <v>1344</v>
      </c>
      <c r="K265" s="68" t="s">
        <v>1167</v>
      </c>
      <c r="L265" s="66">
        <v>2301062</v>
      </c>
      <c r="M265" s="68" t="s">
        <v>1178</v>
      </c>
      <c r="N265" s="66">
        <v>2301062</v>
      </c>
      <c r="O265" s="68" t="s">
        <v>1178</v>
      </c>
      <c r="P265" s="34">
        <v>230106201</v>
      </c>
      <c r="Q265" s="68" t="s">
        <v>1179</v>
      </c>
      <c r="R265" s="34">
        <v>230106201</v>
      </c>
      <c r="S265" s="68" t="s">
        <v>1179</v>
      </c>
      <c r="T265" s="72" t="s">
        <v>1442</v>
      </c>
      <c r="U265" s="34">
        <v>9</v>
      </c>
      <c r="V265" s="72" t="s">
        <v>1170</v>
      </c>
      <c r="W265" s="67" t="s">
        <v>1171</v>
      </c>
      <c r="X265" s="67" t="s">
        <v>1172</v>
      </c>
      <c r="Y265" s="107"/>
      <c r="Z265" s="107"/>
      <c r="AA265" s="107"/>
      <c r="AB265" s="91"/>
      <c r="AC265" s="91"/>
      <c r="AD265" s="91"/>
      <c r="AE265" s="91"/>
      <c r="AF265" s="91"/>
      <c r="AG265" s="91"/>
      <c r="AH265" s="91"/>
      <c r="AI265" s="91">
        <v>0</v>
      </c>
      <c r="AJ265" s="91"/>
      <c r="AK265" s="91"/>
      <c r="AL265" s="91"/>
      <c r="AM265" s="91">
        <f t="shared" si="5"/>
        <v>0</v>
      </c>
      <c r="AN265" s="81" t="s">
        <v>1437</v>
      </c>
      <c r="AO265" s="6"/>
    </row>
    <row r="266" spans="1:41" s="1" customFormat="1" ht="102" hidden="1" customHeight="1" x14ac:dyDescent="0.2">
      <c r="A266" s="69">
        <v>324</v>
      </c>
      <c r="B266" s="105" t="s">
        <v>1440</v>
      </c>
      <c r="C266" s="66">
        <v>1</v>
      </c>
      <c r="D266" s="105" t="s">
        <v>1396</v>
      </c>
      <c r="E266" s="66">
        <v>23</v>
      </c>
      <c r="F266" s="68" t="s">
        <v>1166</v>
      </c>
      <c r="G266" s="66">
        <v>2301</v>
      </c>
      <c r="H266" s="68" t="s">
        <v>1343</v>
      </c>
      <c r="I266" s="66">
        <v>2301</v>
      </c>
      <c r="J266" s="68" t="s">
        <v>1344</v>
      </c>
      <c r="K266" s="68" t="s">
        <v>1180</v>
      </c>
      <c r="L266" s="66">
        <v>2301030</v>
      </c>
      <c r="M266" s="68" t="s">
        <v>1181</v>
      </c>
      <c r="N266" s="66">
        <v>2301030</v>
      </c>
      <c r="O266" s="68" t="s">
        <v>1181</v>
      </c>
      <c r="P266" s="34">
        <v>230103000</v>
      </c>
      <c r="Q266" s="68" t="s">
        <v>1182</v>
      </c>
      <c r="R266" s="34">
        <v>230103000</v>
      </c>
      <c r="S266" s="68" t="s">
        <v>1182</v>
      </c>
      <c r="T266" s="72" t="s">
        <v>1451</v>
      </c>
      <c r="U266" s="34">
        <v>2500</v>
      </c>
      <c r="V266" s="136" t="s">
        <v>1183</v>
      </c>
      <c r="W266" s="67" t="s">
        <v>1184</v>
      </c>
      <c r="X266" s="132" t="s">
        <v>1185</v>
      </c>
      <c r="Y266" s="107"/>
      <c r="Z266" s="107"/>
      <c r="AA266" s="107"/>
      <c r="AB266" s="91"/>
      <c r="AC266" s="91"/>
      <c r="AD266" s="91"/>
      <c r="AE266" s="91"/>
      <c r="AF266" s="91"/>
      <c r="AG266" s="91"/>
      <c r="AH266" s="91"/>
      <c r="AI266" s="91">
        <f>36000000+222540000</f>
        <v>258540000</v>
      </c>
      <c r="AJ266" s="91"/>
      <c r="AK266" s="91"/>
      <c r="AL266" s="91"/>
      <c r="AM266" s="91">
        <f t="shared" si="5"/>
        <v>258540000</v>
      </c>
      <c r="AN266" s="81" t="s">
        <v>1437</v>
      </c>
      <c r="AO266" s="6"/>
    </row>
    <row r="267" spans="1:41" s="1" customFormat="1" ht="91.5" hidden="1" customHeight="1" x14ac:dyDescent="0.2">
      <c r="A267" s="69">
        <v>324</v>
      </c>
      <c r="B267" s="105" t="s">
        <v>1440</v>
      </c>
      <c r="C267" s="66">
        <v>1</v>
      </c>
      <c r="D267" s="105" t="s">
        <v>1396</v>
      </c>
      <c r="E267" s="66">
        <v>23</v>
      </c>
      <c r="F267" s="68" t="s">
        <v>1166</v>
      </c>
      <c r="G267" s="66">
        <v>2301</v>
      </c>
      <c r="H267" s="68" t="s">
        <v>1343</v>
      </c>
      <c r="I267" s="66">
        <v>2301</v>
      </c>
      <c r="J267" s="68" t="s">
        <v>1344</v>
      </c>
      <c r="K267" s="68" t="s">
        <v>1180</v>
      </c>
      <c r="L267" s="66">
        <v>2301015</v>
      </c>
      <c r="M267" s="68" t="s">
        <v>1186</v>
      </c>
      <c r="N267" s="66">
        <v>2301015</v>
      </c>
      <c r="O267" s="68" t="s">
        <v>1186</v>
      </c>
      <c r="P267" s="34">
        <v>230101500</v>
      </c>
      <c r="Q267" s="68" t="s">
        <v>1187</v>
      </c>
      <c r="R267" s="34">
        <v>230101500</v>
      </c>
      <c r="S267" s="68" t="s">
        <v>1187</v>
      </c>
      <c r="T267" s="72" t="s">
        <v>1449</v>
      </c>
      <c r="U267" s="34">
        <v>3</v>
      </c>
      <c r="V267" s="136" t="s">
        <v>1183</v>
      </c>
      <c r="W267" s="67" t="s">
        <v>1184</v>
      </c>
      <c r="X267" s="132" t="s">
        <v>1185</v>
      </c>
      <c r="Y267" s="107"/>
      <c r="Z267" s="107"/>
      <c r="AA267" s="107"/>
      <c r="AB267" s="91"/>
      <c r="AC267" s="91"/>
      <c r="AD267" s="91"/>
      <c r="AE267" s="91"/>
      <c r="AF267" s="91"/>
      <c r="AG267" s="91"/>
      <c r="AH267" s="91"/>
      <c r="AI267" s="91">
        <v>18000000</v>
      </c>
      <c r="AJ267" s="91"/>
      <c r="AK267" s="91"/>
      <c r="AL267" s="91"/>
      <c r="AM267" s="91">
        <f t="shared" si="5"/>
        <v>18000000</v>
      </c>
      <c r="AN267" s="81" t="s">
        <v>1437</v>
      </c>
      <c r="AO267" s="6"/>
    </row>
    <row r="268" spans="1:41" s="1" customFormat="1" ht="99.75" hidden="1" customHeight="1" x14ac:dyDescent="0.2">
      <c r="A268" s="69">
        <v>324</v>
      </c>
      <c r="B268" s="105" t="s">
        <v>1440</v>
      </c>
      <c r="C268" s="66">
        <v>1</v>
      </c>
      <c r="D268" s="105" t="s">
        <v>1396</v>
      </c>
      <c r="E268" s="66">
        <v>23</v>
      </c>
      <c r="F268" s="68" t="s">
        <v>1166</v>
      </c>
      <c r="G268" s="66">
        <v>2301</v>
      </c>
      <c r="H268" s="68" t="s">
        <v>1343</v>
      </c>
      <c r="I268" s="66">
        <v>2301</v>
      </c>
      <c r="J268" s="68" t="s">
        <v>1344</v>
      </c>
      <c r="K268" s="68" t="s">
        <v>1180</v>
      </c>
      <c r="L268" s="66">
        <v>2301004</v>
      </c>
      <c r="M268" s="68" t="s">
        <v>221</v>
      </c>
      <c r="N268" s="66">
        <v>2301004</v>
      </c>
      <c r="O268" s="68" t="s">
        <v>221</v>
      </c>
      <c r="P268" s="34">
        <v>230200400</v>
      </c>
      <c r="Q268" s="68" t="s">
        <v>223</v>
      </c>
      <c r="R268" s="34">
        <v>230100400</v>
      </c>
      <c r="S268" s="68" t="s">
        <v>223</v>
      </c>
      <c r="T268" s="72" t="s">
        <v>1449</v>
      </c>
      <c r="U268" s="34">
        <v>1</v>
      </c>
      <c r="V268" s="136" t="s">
        <v>1183</v>
      </c>
      <c r="W268" s="67" t="s">
        <v>1184</v>
      </c>
      <c r="X268" s="132" t="s">
        <v>1185</v>
      </c>
      <c r="Y268" s="107"/>
      <c r="Z268" s="107"/>
      <c r="AA268" s="107"/>
      <c r="AB268" s="91"/>
      <c r="AC268" s="91"/>
      <c r="AD268" s="91"/>
      <c r="AE268" s="91"/>
      <c r="AF268" s="91"/>
      <c r="AG268" s="91"/>
      <c r="AH268" s="91"/>
      <c r="AI268" s="91">
        <v>18000000</v>
      </c>
      <c r="AJ268" s="91"/>
      <c r="AK268" s="91"/>
      <c r="AL268" s="91"/>
      <c r="AM268" s="91">
        <f t="shared" si="5"/>
        <v>18000000</v>
      </c>
      <c r="AN268" s="81" t="s">
        <v>1437</v>
      </c>
      <c r="AO268" s="6"/>
    </row>
    <row r="269" spans="1:41" s="1" customFormat="1" ht="103.5" hidden="1" customHeight="1" x14ac:dyDescent="0.2">
      <c r="A269" s="69">
        <v>324</v>
      </c>
      <c r="B269" s="105" t="s">
        <v>1440</v>
      </c>
      <c r="C269" s="66">
        <v>1</v>
      </c>
      <c r="D269" s="105" t="s">
        <v>1396</v>
      </c>
      <c r="E269" s="66">
        <v>23</v>
      </c>
      <c r="F269" s="68" t="s">
        <v>1166</v>
      </c>
      <c r="G269" s="66">
        <v>2301</v>
      </c>
      <c r="H269" s="68" t="s">
        <v>1343</v>
      </c>
      <c r="I269" s="66">
        <v>2301</v>
      </c>
      <c r="J269" s="68" t="s">
        <v>1344</v>
      </c>
      <c r="K269" s="68" t="s">
        <v>1180</v>
      </c>
      <c r="L269" s="66">
        <v>2301035</v>
      </c>
      <c r="M269" s="68" t="s">
        <v>1188</v>
      </c>
      <c r="N269" s="66">
        <v>2301035</v>
      </c>
      <c r="O269" s="68" t="s">
        <v>1188</v>
      </c>
      <c r="P269" s="34">
        <v>230103500</v>
      </c>
      <c r="Q269" s="68" t="s">
        <v>1189</v>
      </c>
      <c r="R269" s="34">
        <v>230103500</v>
      </c>
      <c r="S269" s="68" t="s">
        <v>1189</v>
      </c>
      <c r="T269" s="72" t="s">
        <v>1451</v>
      </c>
      <c r="U269" s="34">
        <v>20</v>
      </c>
      <c r="V269" s="136" t="s">
        <v>1183</v>
      </c>
      <c r="W269" s="67" t="s">
        <v>1184</v>
      </c>
      <c r="X269" s="132" t="s">
        <v>1185</v>
      </c>
      <c r="Y269" s="107"/>
      <c r="Z269" s="107"/>
      <c r="AA269" s="107"/>
      <c r="AB269" s="91"/>
      <c r="AC269" s="91"/>
      <c r="AD269" s="91"/>
      <c r="AE269" s="91"/>
      <c r="AF269" s="91"/>
      <c r="AG269" s="91"/>
      <c r="AH269" s="91"/>
      <c r="AI269" s="91">
        <v>36000000</v>
      </c>
      <c r="AJ269" s="91"/>
      <c r="AK269" s="91"/>
      <c r="AL269" s="91"/>
      <c r="AM269" s="91">
        <f t="shared" si="5"/>
        <v>36000000</v>
      </c>
      <c r="AN269" s="81" t="s">
        <v>1437</v>
      </c>
      <c r="AO269" s="6"/>
    </row>
    <row r="270" spans="1:41" s="1" customFormat="1" ht="103.5" hidden="1" customHeight="1" x14ac:dyDescent="0.2">
      <c r="A270" s="69">
        <v>324</v>
      </c>
      <c r="B270" s="105" t="s">
        <v>1440</v>
      </c>
      <c r="C270" s="66">
        <v>1</v>
      </c>
      <c r="D270" s="105" t="s">
        <v>1396</v>
      </c>
      <c r="E270" s="66">
        <v>23</v>
      </c>
      <c r="F270" s="68" t="s">
        <v>1166</v>
      </c>
      <c r="G270" s="66">
        <v>2301</v>
      </c>
      <c r="H270" s="68" t="s">
        <v>1343</v>
      </c>
      <c r="I270" s="66">
        <v>2301</v>
      </c>
      <c r="J270" s="68" t="s">
        <v>1344</v>
      </c>
      <c r="K270" s="68" t="s">
        <v>1180</v>
      </c>
      <c r="L270" s="66">
        <v>2301042</v>
      </c>
      <c r="M270" s="68" t="s">
        <v>1190</v>
      </c>
      <c r="N270" s="66">
        <v>2301042</v>
      </c>
      <c r="O270" s="68" t="s">
        <v>1190</v>
      </c>
      <c r="P270" s="34">
        <v>230104201</v>
      </c>
      <c r="Q270" s="68" t="s">
        <v>1191</v>
      </c>
      <c r="R270" s="34">
        <v>230104201</v>
      </c>
      <c r="S270" s="68" t="s">
        <v>1191</v>
      </c>
      <c r="T270" s="72" t="s">
        <v>1449</v>
      </c>
      <c r="U270" s="34">
        <v>1</v>
      </c>
      <c r="V270" s="136" t="s">
        <v>1183</v>
      </c>
      <c r="W270" s="67" t="s">
        <v>1184</v>
      </c>
      <c r="X270" s="132" t="s">
        <v>1185</v>
      </c>
      <c r="Y270" s="107"/>
      <c r="Z270" s="107"/>
      <c r="AA270" s="107"/>
      <c r="AB270" s="91"/>
      <c r="AC270" s="91"/>
      <c r="AD270" s="91"/>
      <c r="AE270" s="91"/>
      <c r="AF270" s="91"/>
      <c r="AG270" s="91"/>
      <c r="AH270" s="91"/>
      <c r="AI270" s="91">
        <v>18000000</v>
      </c>
      <c r="AJ270" s="91"/>
      <c r="AK270" s="91"/>
      <c r="AL270" s="91"/>
      <c r="AM270" s="91">
        <f t="shared" si="5"/>
        <v>18000000</v>
      </c>
      <c r="AN270" s="81" t="s">
        <v>1437</v>
      </c>
      <c r="AO270" s="6"/>
    </row>
    <row r="271" spans="1:41" s="1" customFormat="1" ht="104.25" hidden="1" customHeight="1" x14ac:dyDescent="0.2">
      <c r="A271" s="69">
        <v>324</v>
      </c>
      <c r="B271" s="105" t="s">
        <v>1440</v>
      </c>
      <c r="C271" s="66">
        <v>1</v>
      </c>
      <c r="D271" s="105" t="s">
        <v>1396</v>
      </c>
      <c r="E271" s="66">
        <v>23</v>
      </c>
      <c r="F271" s="68" t="s">
        <v>1166</v>
      </c>
      <c r="G271" s="66">
        <v>2302</v>
      </c>
      <c r="H271" s="68" t="s">
        <v>1370</v>
      </c>
      <c r="I271" s="66">
        <v>2302</v>
      </c>
      <c r="J271" s="68" t="s">
        <v>1371</v>
      </c>
      <c r="K271" s="68" t="s">
        <v>1167</v>
      </c>
      <c r="L271" s="66">
        <v>2302042</v>
      </c>
      <c r="M271" s="68" t="s">
        <v>1192</v>
      </c>
      <c r="N271" s="66">
        <v>2302042</v>
      </c>
      <c r="O271" s="68" t="s">
        <v>1192</v>
      </c>
      <c r="P271" s="34">
        <v>230204200</v>
      </c>
      <c r="Q271" s="68" t="s">
        <v>1193</v>
      </c>
      <c r="R271" s="34">
        <v>230204200</v>
      </c>
      <c r="S271" s="68" t="s">
        <v>1193</v>
      </c>
      <c r="T271" s="72" t="s">
        <v>1451</v>
      </c>
      <c r="U271" s="34">
        <v>1</v>
      </c>
      <c r="V271" s="136" t="s">
        <v>1194</v>
      </c>
      <c r="W271" s="67" t="s">
        <v>1195</v>
      </c>
      <c r="X271" s="132" t="s">
        <v>1196</v>
      </c>
      <c r="Y271" s="107"/>
      <c r="Z271" s="107"/>
      <c r="AA271" s="107"/>
      <c r="AB271" s="91"/>
      <c r="AC271" s="91"/>
      <c r="AD271" s="91"/>
      <c r="AE271" s="91"/>
      <c r="AF271" s="91"/>
      <c r="AG271" s="91"/>
      <c r="AH271" s="91"/>
      <c r="AI271" s="91">
        <v>20000000</v>
      </c>
      <c r="AJ271" s="91"/>
      <c r="AK271" s="91"/>
      <c r="AL271" s="91"/>
      <c r="AM271" s="91">
        <f t="shared" si="5"/>
        <v>20000000</v>
      </c>
      <c r="AN271" s="81" t="s">
        <v>1437</v>
      </c>
      <c r="AO271" s="6"/>
    </row>
    <row r="272" spans="1:41" s="1" customFormat="1" ht="103.5" hidden="1" customHeight="1" x14ac:dyDescent="0.2">
      <c r="A272" s="69">
        <v>324</v>
      </c>
      <c r="B272" s="105" t="s">
        <v>1440</v>
      </c>
      <c r="C272" s="66">
        <v>1</v>
      </c>
      <c r="D272" s="105" t="s">
        <v>1396</v>
      </c>
      <c r="E272" s="66">
        <v>23</v>
      </c>
      <c r="F272" s="68" t="s">
        <v>1166</v>
      </c>
      <c r="G272" s="66">
        <v>2302</v>
      </c>
      <c r="H272" s="68" t="s">
        <v>1370</v>
      </c>
      <c r="I272" s="66">
        <v>2302</v>
      </c>
      <c r="J272" s="68" t="s">
        <v>1371</v>
      </c>
      <c r="K272" s="68" t="s">
        <v>1167</v>
      </c>
      <c r="L272" s="66">
        <v>2302022</v>
      </c>
      <c r="M272" s="68" t="s">
        <v>1197</v>
      </c>
      <c r="N272" s="66">
        <v>2302022</v>
      </c>
      <c r="O272" s="68" t="s">
        <v>1197</v>
      </c>
      <c r="P272" s="34">
        <v>230202200</v>
      </c>
      <c r="Q272" s="68" t="s">
        <v>1198</v>
      </c>
      <c r="R272" s="34">
        <v>230202200</v>
      </c>
      <c r="S272" s="68" t="s">
        <v>1198</v>
      </c>
      <c r="T272" s="72" t="s">
        <v>1451</v>
      </c>
      <c r="U272" s="34">
        <v>20</v>
      </c>
      <c r="V272" s="136" t="s">
        <v>1194</v>
      </c>
      <c r="W272" s="67" t="s">
        <v>1195</v>
      </c>
      <c r="X272" s="132" t="s">
        <v>1196</v>
      </c>
      <c r="Y272" s="107"/>
      <c r="Z272" s="107"/>
      <c r="AA272" s="107"/>
      <c r="AB272" s="91"/>
      <c r="AC272" s="91"/>
      <c r="AD272" s="91"/>
      <c r="AE272" s="91"/>
      <c r="AF272" s="91"/>
      <c r="AG272" s="91"/>
      <c r="AH272" s="91"/>
      <c r="AI272" s="91">
        <v>36000000</v>
      </c>
      <c r="AJ272" s="91"/>
      <c r="AK272" s="91"/>
      <c r="AL272" s="91"/>
      <c r="AM272" s="91">
        <f t="shared" si="5"/>
        <v>36000000</v>
      </c>
      <c r="AN272" s="81" t="s">
        <v>1437</v>
      </c>
      <c r="AO272" s="6"/>
    </row>
    <row r="273" spans="1:41" s="1" customFormat="1" ht="84" hidden="1" customHeight="1" x14ac:dyDescent="0.2">
      <c r="A273" s="69">
        <v>324</v>
      </c>
      <c r="B273" s="105" t="s">
        <v>1440</v>
      </c>
      <c r="C273" s="66">
        <v>1</v>
      </c>
      <c r="D273" s="105" t="s">
        <v>1396</v>
      </c>
      <c r="E273" s="66">
        <v>23</v>
      </c>
      <c r="F273" s="68" t="s">
        <v>1166</v>
      </c>
      <c r="G273" s="66">
        <v>2302</v>
      </c>
      <c r="H273" s="68" t="s">
        <v>1370</v>
      </c>
      <c r="I273" s="66">
        <v>2302</v>
      </c>
      <c r="J273" s="68" t="s">
        <v>1371</v>
      </c>
      <c r="K273" s="68" t="s">
        <v>1180</v>
      </c>
      <c r="L273" s="66">
        <v>2302021</v>
      </c>
      <c r="M273" s="68" t="s">
        <v>1199</v>
      </c>
      <c r="N273" s="66">
        <v>2302021</v>
      </c>
      <c r="O273" s="68" t="s">
        <v>1199</v>
      </c>
      <c r="P273" s="34">
        <v>230202100</v>
      </c>
      <c r="Q273" s="68" t="s">
        <v>1200</v>
      </c>
      <c r="R273" s="34">
        <v>230202100</v>
      </c>
      <c r="S273" s="68" t="s">
        <v>1200</v>
      </c>
      <c r="T273" s="72" t="s">
        <v>1451</v>
      </c>
      <c r="U273" s="34">
        <v>8</v>
      </c>
      <c r="V273" s="136" t="s">
        <v>1194</v>
      </c>
      <c r="W273" s="67" t="s">
        <v>1195</v>
      </c>
      <c r="X273" s="132" t="s">
        <v>1196</v>
      </c>
      <c r="Y273" s="107"/>
      <c r="Z273" s="107"/>
      <c r="AA273" s="107"/>
      <c r="AB273" s="91"/>
      <c r="AC273" s="91"/>
      <c r="AD273" s="91"/>
      <c r="AE273" s="91"/>
      <c r="AF273" s="91"/>
      <c r="AG273" s="91"/>
      <c r="AH273" s="91"/>
      <c r="AI273" s="91">
        <v>50000000</v>
      </c>
      <c r="AJ273" s="91"/>
      <c r="AK273" s="91"/>
      <c r="AL273" s="91"/>
      <c r="AM273" s="91">
        <f t="shared" si="5"/>
        <v>50000000</v>
      </c>
      <c r="AN273" s="81" t="s">
        <v>1437</v>
      </c>
      <c r="AO273" s="6"/>
    </row>
    <row r="274" spans="1:41" s="1" customFormat="1" ht="114" hidden="1" customHeight="1" x14ac:dyDescent="0.2">
      <c r="A274" s="69">
        <v>324</v>
      </c>
      <c r="B274" s="105" t="s">
        <v>1440</v>
      </c>
      <c r="C274" s="66">
        <v>1</v>
      </c>
      <c r="D274" s="105" t="s">
        <v>1396</v>
      </c>
      <c r="E274" s="66">
        <v>23</v>
      </c>
      <c r="F274" s="68" t="s">
        <v>1166</v>
      </c>
      <c r="G274" s="66">
        <v>2302</v>
      </c>
      <c r="H274" s="68" t="s">
        <v>1370</v>
      </c>
      <c r="I274" s="66">
        <v>2302</v>
      </c>
      <c r="J274" s="68" t="s">
        <v>1371</v>
      </c>
      <c r="K274" s="68" t="s">
        <v>1201</v>
      </c>
      <c r="L274" s="66">
        <v>2302058</v>
      </c>
      <c r="M274" s="68" t="s">
        <v>1202</v>
      </c>
      <c r="N274" s="66">
        <v>2302058</v>
      </c>
      <c r="O274" s="68" t="s">
        <v>1202</v>
      </c>
      <c r="P274" s="34">
        <v>230205800</v>
      </c>
      <c r="Q274" s="68" t="s">
        <v>1203</v>
      </c>
      <c r="R274" s="34">
        <v>230205800</v>
      </c>
      <c r="S274" s="68" t="s">
        <v>1203</v>
      </c>
      <c r="T274" s="72" t="s">
        <v>1451</v>
      </c>
      <c r="U274" s="34">
        <v>300</v>
      </c>
      <c r="V274" s="136" t="s">
        <v>1194</v>
      </c>
      <c r="W274" s="67" t="s">
        <v>1195</v>
      </c>
      <c r="X274" s="132" t="s">
        <v>1196</v>
      </c>
      <c r="Y274" s="107"/>
      <c r="Z274" s="107"/>
      <c r="AA274" s="107"/>
      <c r="AB274" s="91"/>
      <c r="AC274" s="91"/>
      <c r="AD274" s="91"/>
      <c r="AE274" s="91"/>
      <c r="AF274" s="91"/>
      <c r="AG274" s="91"/>
      <c r="AH274" s="91"/>
      <c r="AI274" s="91">
        <v>20000000</v>
      </c>
      <c r="AJ274" s="91"/>
      <c r="AK274" s="91"/>
      <c r="AL274" s="91"/>
      <c r="AM274" s="91">
        <f t="shared" si="5"/>
        <v>20000000</v>
      </c>
      <c r="AN274" s="81" t="s">
        <v>1437</v>
      </c>
      <c r="AO274" s="6"/>
    </row>
    <row r="275" spans="1:41" s="1" customFormat="1" ht="112.5" hidden="1" customHeight="1" x14ac:dyDescent="0.2">
      <c r="A275" s="69">
        <v>324</v>
      </c>
      <c r="B275" s="105" t="s">
        <v>1440</v>
      </c>
      <c r="C275" s="66">
        <v>1</v>
      </c>
      <c r="D275" s="105" t="s">
        <v>1396</v>
      </c>
      <c r="E275" s="66">
        <v>23</v>
      </c>
      <c r="F275" s="68" t="s">
        <v>1166</v>
      </c>
      <c r="G275" s="66">
        <v>2302</v>
      </c>
      <c r="H275" s="68" t="s">
        <v>1370</v>
      </c>
      <c r="I275" s="66">
        <v>2302</v>
      </c>
      <c r="J275" s="68" t="s">
        <v>1371</v>
      </c>
      <c r="K275" s="68" t="s">
        <v>1201</v>
      </c>
      <c r="L275" s="66">
        <v>2302068</v>
      </c>
      <c r="M275" s="68" t="s">
        <v>1204</v>
      </c>
      <c r="N275" s="66">
        <v>2302068</v>
      </c>
      <c r="O275" s="68" t="s">
        <v>1204</v>
      </c>
      <c r="P275" s="34">
        <v>230206800</v>
      </c>
      <c r="Q275" s="68" t="s">
        <v>1205</v>
      </c>
      <c r="R275" s="34">
        <v>230206800</v>
      </c>
      <c r="S275" s="68" t="s">
        <v>1205</v>
      </c>
      <c r="T275" s="72" t="s">
        <v>1451</v>
      </c>
      <c r="U275" s="34">
        <v>60</v>
      </c>
      <c r="V275" s="136" t="s">
        <v>1194</v>
      </c>
      <c r="W275" s="67" t="s">
        <v>1195</v>
      </c>
      <c r="X275" s="132" t="s">
        <v>1196</v>
      </c>
      <c r="Y275" s="107"/>
      <c r="Z275" s="107"/>
      <c r="AA275" s="107"/>
      <c r="AB275" s="91"/>
      <c r="AC275" s="91"/>
      <c r="AD275" s="91"/>
      <c r="AE275" s="91"/>
      <c r="AF275" s="91"/>
      <c r="AG275" s="91"/>
      <c r="AH275" s="91"/>
      <c r="AI275" s="91">
        <v>20000000</v>
      </c>
      <c r="AJ275" s="91"/>
      <c r="AK275" s="91"/>
      <c r="AL275" s="91"/>
      <c r="AM275" s="91">
        <f t="shared" si="5"/>
        <v>20000000</v>
      </c>
      <c r="AN275" s="81" t="s">
        <v>1437</v>
      </c>
      <c r="AO275" s="6"/>
    </row>
    <row r="276" spans="1:41" s="1" customFormat="1" ht="69.75" hidden="1" customHeight="1" x14ac:dyDescent="0.2">
      <c r="A276" s="69">
        <v>324</v>
      </c>
      <c r="B276" s="105" t="s">
        <v>1440</v>
      </c>
      <c r="C276" s="66">
        <v>2</v>
      </c>
      <c r="D276" s="68" t="s">
        <v>1403</v>
      </c>
      <c r="E276" s="66">
        <v>39</v>
      </c>
      <c r="F276" s="126" t="s">
        <v>1328</v>
      </c>
      <c r="G276" s="66">
        <v>3903</v>
      </c>
      <c r="H276" s="126" t="s">
        <v>1206</v>
      </c>
      <c r="I276" s="66">
        <v>3903</v>
      </c>
      <c r="J276" s="126" t="s">
        <v>1206</v>
      </c>
      <c r="K276" s="126" t="s">
        <v>1207</v>
      </c>
      <c r="L276" s="33">
        <v>3903005</v>
      </c>
      <c r="M276" s="126" t="s">
        <v>1208</v>
      </c>
      <c r="N276" s="33">
        <v>3903005</v>
      </c>
      <c r="O276" s="126" t="s">
        <v>1208</v>
      </c>
      <c r="P276" s="33" t="s">
        <v>1209</v>
      </c>
      <c r="Q276" s="126" t="s">
        <v>1210</v>
      </c>
      <c r="R276" s="33" t="s">
        <v>1209</v>
      </c>
      <c r="S276" s="126" t="s">
        <v>1210</v>
      </c>
      <c r="T276" s="72" t="s">
        <v>1449</v>
      </c>
      <c r="U276" s="34">
        <v>1</v>
      </c>
      <c r="V276" s="136" t="s">
        <v>1211</v>
      </c>
      <c r="W276" s="67" t="s">
        <v>1212</v>
      </c>
      <c r="X276" s="132" t="s">
        <v>1213</v>
      </c>
      <c r="Y276" s="107"/>
      <c r="Z276" s="107"/>
      <c r="AA276" s="107"/>
      <c r="AB276" s="91"/>
      <c r="AC276" s="91"/>
      <c r="AD276" s="91"/>
      <c r="AE276" s="91"/>
      <c r="AF276" s="91"/>
      <c r="AG276" s="91"/>
      <c r="AH276" s="91"/>
      <c r="AI276" s="91">
        <f>20000000-10000000</f>
        <v>10000000</v>
      </c>
      <c r="AJ276" s="91"/>
      <c r="AK276" s="91"/>
      <c r="AL276" s="91"/>
      <c r="AM276" s="91">
        <f t="shared" si="5"/>
        <v>10000000</v>
      </c>
      <c r="AN276" s="81" t="s">
        <v>1437</v>
      </c>
      <c r="AO276" s="6"/>
    </row>
    <row r="277" spans="1:41" s="1" customFormat="1" ht="69.75" hidden="1" customHeight="1" x14ac:dyDescent="0.2">
      <c r="A277" s="69">
        <v>324</v>
      </c>
      <c r="B277" s="105" t="s">
        <v>1440</v>
      </c>
      <c r="C277" s="66">
        <v>2</v>
      </c>
      <c r="D277" s="68" t="s">
        <v>1403</v>
      </c>
      <c r="E277" s="66">
        <v>39</v>
      </c>
      <c r="F277" s="126" t="s">
        <v>1328</v>
      </c>
      <c r="G277" s="66">
        <v>3903</v>
      </c>
      <c r="H277" s="126" t="s">
        <v>1206</v>
      </c>
      <c r="I277" s="66">
        <v>3903</v>
      </c>
      <c r="J277" s="126" t="s">
        <v>1206</v>
      </c>
      <c r="K277" s="126" t="s">
        <v>1207</v>
      </c>
      <c r="L277" s="33">
        <v>3903005</v>
      </c>
      <c r="M277" s="126" t="s">
        <v>1208</v>
      </c>
      <c r="N277" s="33">
        <v>3903005</v>
      </c>
      <c r="O277" s="126" t="s">
        <v>1208</v>
      </c>
      <c r="P277" s="33" t="s">
        <v>1214</v>
      </c>
      <c r="Q277" s="68" t="s">
        <v>1215</v>
      </c>
      <c r="R277" s="33" t="s">
        <v>1214</v>
      </c>
      <c r="S277" s="68" t="s">
        <v>1215</v>
      </c>
      <c r="T277" s="72" t="s">
        <v>1451</v>
      </c>
      <c r="U277" s="34">
        <v>50</v>
      </c>
      <c r="V277" s="136" t="s">
        <v>1211</v>
      </c>
      <c r="W277" s="67" t="s">
        <v>1212</v>
      </c>
      <c r="X277" s="132" t="s">
        <v>1213</v>
      </c>
      <c r="Y277" s="107"/>
      <c r="Z277" s="107"/>
      <c r="AA277" s="107"/>
      <c r="AB277" s="91"/>
      <c r="AC277" s="91"/>
      <c r="AD277" s="91"/>
      <c r="AE277" s="91"/>
      <c r="AF277" s="91"/>
      <c r="AG277" s="91"/>
      <c r="AH277" s="91"/>
      <c r="AI277" s="91">
        <f>20000000+10000000</f>
        <v>30000000</v>
      </c>
      <c r="AJ277" s="91"/>
      <c r="AK277" s="91"/>
      <c r="AL277" s="91"/>
      <c r="AM277" s="91">
        <f t="shared" si="5"/>
        <v>30000000</v>
      </c>
      <c r="AN277" s="81" t="s">
        <v>1437</v>
      </c>
      <c r="AO277" s="6"/>
    </row>
    <row r="278" spans="1:41" s="1" customFormat="1" ht="78" hidden="1" customHeight="1" x14ac:dyDescent="0.2">
      <c r="A278" s="69">
        <v>324</v>
      </c>
      <c r="B278" s="105" t="s">
        <v>1440</v>
      </c>
      <c r="C278" s="66">
        <v>2</v>
      </c>
      <c r="D278" s="68" t="s">
        <v>1403</v>
      </c>
      <c r="E278" s="66">
        <v>39</v>
      </c>
      <c r="F278" s="126" t="s">
        <v>1328</v>
      </c>
      <c r="G278" s="66">
        <v>3903</v>
      </c>
      <c r="H278" s="126" t="s">
        <v>1206</v>
      </c>
      <c r="I278" s="66">
        <v>3903</v>
      </c>
      <c r="J278" s="126" t="s">
        <v>1206</v>
      </c>
      <c r="K278" s="126" t="s">
        <v>1207</v>
      </c>
      <c r="L278" s="33">
        <v>3903005</v>
      </c>
      <c r="M278" s="126" t="s">
        <v>1208</v>
      </c>
      <c r="N278" s="33">
        <v>3903005</v>
      </c>
      <c r="O278" s="126" t="s">
        <v>1208</v>
      </c>
      <c r="P278" s="33" t="s">
        <v>1216</v>
      </c>
      <c r="Q278" s="126" t="s">
        <v>1217</v>
      </c>
      <c r="R278" s="33" t="s">
        <v>1216</v>
      </c>
      <c r="S278" s="126" t="s">
        <v>1217</v>
      </c>
      <c r="T278" s="72" t="s">
        <v>1451</v>
      </c>
      <c r="U278" s="34">
        <v>50</v>
      </c>
      <c r="V278" s="136" t="s">
        <v>1211</v>
      </c>
      <c r="W278" s="67" t="s">
        <v>1212</v>
      </c>
      <c r="X278" s="132" t="s">
        <v>1213</v>
      </c>
      <c r="Y278" s="107"/>
      <c r="Z278" s="107"/>
      <c r="AA278" s="107"/>
      <c r="AB278" s="91"/>
      <c r="AC278" s="91"/>
      <c r="AD278" s="91"/>
      <c r="AE278" s="91"/>
      <c r="AF278" s="91"/>
      <c r="AG278" s="91"/>
      <c r="AH278" s="91"/>
      <c r="AI278" s="91">
        <v>20000000</v>
      </c>
      <c r="AJ278" s="91"/>
      <c r="AK278" s="91"/>
      <c r="AL278" s="91"/>
      <c r="AM278" s="91">
        <f t="shared" si="5"/>
        <v>20000000</v>
      </c>
      <c r="AN278" s="81" t="s">
        <v>1437</v>
      </c>
      <c r="AO278" s="6"/>
    </row>
    <row r="279" spans="1:41" s="1" customFormat="1" ht="94.5" hidden="1" customHeight="1" x14ac:dyDescent="0.2">
      <c r="A279" s="69">
        <v>324</v>
      </c>
      <c r="B279" s="105" t="s">
        <v>1440</v>
      </c>
      <c r="C279" s="66">
        <v>2</v>
      </c>
      <c r="D279" s="68" t="s">
        <v>1403</v>
      </c>
      <c r="E279" s="66">
        <v>39</v>
      </c>
      <c r="F279" s="126" t="s">
        <v>1328</v>
      </c>
      <c r="G279" s="66">
        <v>3904</v>
      </c>
      <c r="H279" s="68" t="s">
        <v>1384</v>
      </c>
      <c r="I279" s="66">
        <v>3904</v>
      </c>
      <c r="J279" s="68" t="s">
        <v>1384</v>
      </c>
      <c r="K279" s="68" t="s">
        <v>1218</v>
      </c>
      <c r="L279" s="66">
        <v>3904018</v>
      </c>
      <c r="M279" s="68" t="s">
        <v>1219</v>
      </c>
      <c r="N279" s="66">
        <v>3904018</v>
      </c>
      <c r="O279" s="68" t="s">
        <v>1219</v>
      </c>
      <c r="P279" s="33">
        <v>390401809</v>
      </c>
      <c r="Q279" s="68" t="s">
        <v>1220</v>
      </c>
      <c r="R279" s="33">
        <v>390401809</v>
      </c>
      <c r="S279" s="68" t="s">
        <v>1220</v>
      </c>
      <c r="T279" s="72" t="s">
        <v>1451</v>
      </c>
      <c r="U279" s="34">
        <f>6+1</f>
        <v>7</v>
      </c>
      <c r="V279" s="136" t="s">
        <v>1221</v>
      </c>
      <c r="W279" s="67" t="s">
        <v>1222</v>
      </c>
      <c r="X279" s="67" t="s">
        <v>1223</v>
      </c>
      <c r="Y279" s="107"/>
      <c r="Z279" s="107"/>
      <c r="AA279" s="107"/>
      <c r="AB279" s="91"/>
      <c r="AC279" s="91"/>
      <c r="AD279" s="91"/>
      <c r="AE279" s="91"/>
      <c r="AF279" s="91"/>
      <c r="AG279" s="91"/>
      <c r="AH279" s="91"/>
      <c r="AI279" s="91">
        <v>18000000</v>
      </c>
      <c r="AJ279" s="91"/>
      <c r="AK279" s="91"/>
      <c r="AL279" s="91"/>
      <c r="AM279" s="91">
        <f t="shared" si="5"/>
        <v>18000000</v>
      </c>
      <c r="AN279" s="81" t="s">
        <v>1437</v>
      </c>
      <c r="AO279" s="6"/>
    </row>
    <row r="280" spans="1:41" s="1" customFormat="1" ht="109.5" hidden="1" customHeight="1" x14ac:dyDescent="0.2">
      <c r="A280" s="69">
        <v>324</v>
      </c>
      <c r="B280" s="105" t="s">
        <v>1440</v>
      </c>
      <c r="C280" s="66">
        <v>4</v>
      </c>
      <c r="D280" s="68" t="s">
        <v>1394</v>
      </c>
      <c r="E280" s="66">
        <v>23</v>
      </c>
      <c r="F280" s="68" t="s">
        <v>1166</v>
      </c>
      <c r="G280" s="66">
        <v>2302</v>
      </c>
      <c r="H280" s="68" t="s">
        <v>1370</v>
      </c>
      <c r="I280" s="66">
        <v>2302</v>
      </c>
      <c r="J280" s="68" t="s">
        <v>1371</v>
      </c>
      <c r="K280" s="68" t="s">
        <v>1224</v>
      </c>
      <c r="L280" s="66">
        <v>2302003</v>
      </c>
      <c r="M280" s="68" t="s">
        <v>1225</v>
      </c>
      <c r="N280" s="66">
        <v>2302003</v>
      </c>
      <c r="O280" s="68" t="s">
        <v>1225</v>
      </c>
      <c r="P280" s="33">
        <v>230200300</v>
      </c>
      <c r="Q280" s="68" t="s">
        <v>1226</v>
      </c>
      <c r="R280" s="33">
        <v>230200300</v>
      </c>
      <c r="S280" s="68" t="s">
        <v>1226</v>
      </c>
      <c r="T280" s="72" t="s">
        <v>1451</v>
      </c>
      <c r="U280" s="34">
        <v>2</v>
      </c>
      <c r="V280" s="136" t="s">
        <v>1227</v>
      </c>
      <c r="W280" s="67" t="s">
        <v>1228</v>
      </c>
      <c r="X280" s="67" t="s">
        <v>1229</v>
      </c>
      <c r="Y280" s="107"/>
      <c r="Z280" s="107"/>
      <c r="AA280" s="107"/>
      <c r="AB280" s="91"/>
      <c r="AC280" s="91"/>
      <c r="AD280" s="91"/>
      <c r="AE280" s="91"/>
      <c r="AF280" s="91"/>
      <c r="AG280" s="91"/>
      <c r="AH280" s="91"/>
      <c r="AI280" s="91">
        <v>120000000</v>
      </c>
      <c r="AJ280" s="91"/>
      <c r="AK280" s="91"/>
      <c r="AL280" s="91"/>
      <c r="AM280" s="91">
        <f t="shared" si="5"/>
        <v>120000000</v>
      </c>
      <c r="AN280" s="81" t="s">
        <v>1437</v>
      </c>
      <c r="AO280" s="6"/>
    </row>
    <row r="281" spans="1:41" s="1" customFormat="1" ht="93" hidden="1" customHeight="1" x14ac:dyDescent="0.2">
      <c r="A281" s="69">
        <v>324</v>
      </c>
      <c r="B281" s="105" t="s">
        <v>1440</v>
      </c>
      <c r="C281" s="66">
        <v>4</v>
      </c>
      <c r="D281" s="68" t="s">
        <v>1394</v>
      </c>
      <c r="E281" s="66">
        <v>23</v>
      </c>
      <c r="F281" s="68" t="s">
        <v>1166</v>
      </c>
      <c r="G281" s="66">
        <v>2302</v>
      </c>
      <c r="H281" s="68" t="s">
        <v>1370</v>
      </c>
      <c r="I281" s="66">
        <v>2302</v>
      </c>
      <c r="J281" s="68" t="s">
        <v>1371</v>
      </c>
      <c r="K281" s="68" t="s">
        <v>1224</v>
      </c>
      <c r="L281" s="66">
        <v>2302033</v>
      </c>
      <c r="M281" s="68" t="s">
        <v>1230</v>
      </c>
      <c r="N281" s="66">
        <v>2302033</v>
      </c>
      <c r="O281" s="68" t="s">
        <v>1230</v>
      </c>
      <c r="P281" s="33">
        <v>230203300</v>
      </c>
      <c r="Q281" s="68" t="s">
        <v>1231</v>
      </c>
      <c r="R281" s="33">
        <v>230203300</v>
      </c>
      <c r="S281" s="68" t="s">
        <v>1231</v>
      </c>
      <c r="T281" s="72" t="s">
        <v>1449</v>
      </c>
      <c r="U281" s="34">
        <v>100</v>
      </c>
      <c r="V281" s="136" t="s">
        <v>1227</v>
      </c>
      <c r="W281" s="67" t="s">
        <v>1228</v>
      </c>
      <c r="X281" s="67" t="s">
        <v>1229</v>
      </c>
      <c r="Y281" s="107"/>
      <c r="Z281" s="107"/>
      <c r="AA281" s="107"/>
      <c r="AB281" s="91"/>
      <c r="AC281" s="91"/>
      <c r="AD281" s="91"/>
      <c r="AE281" s="91"/>
      <c r="AF281" s="91"/>
      <c r="AG281" s="91"/>
      <c r="AH281" s="91"/>
      <c r="AI281" s="91">
        <v>50000000</v>
      </c>
      <c r="AJ281" s="91"/>
      <c r="AK281" s="91"/>
      <c r="AL281" s="91"/>
      <c r="AM281" s="91">
        <f t="shared" si="5"/>
        <v>50000000</v>
      </c>
      <c r="AN281" s="81" t="s">
        <v>1437</v>
      </c>
      <c r="AO281" s="6"/>
    </row>
    <row r="282" spans="1:41" s="1" customFormat="1" ht="132" hidden="1" customHeight="1" x14ac:dyDescent="0.2">
      <c r="A282" s="69">
        <v>324</v>
      </c>
      <c r="B282" s="105" t="s">
        <v>1440</v>
      </c>
      <c r="C282" s="66">
        <v>4</v>
      </c>
      <c r="D282" s="68" t="s">
        <v>1394</v>
      </c>
      <c r="E282" s="66">
        <v>23</v>
      </c>
      <c r="F282" s="68" t="s">
        <v>1166</v>
      </c>
      <c r="G282" s="66">
        <v>2302</v>
      </c>
      <c r="H282" s="68" t="s">
        <v>1370</v>
      </c>
      <c r="I282" s="66">
        <v>2302</v>
      </c>
      <c r="J282" s="68" t="s">
        <v>1371</v>
      </c>
      <c r="K282" s="68" t="s">
        <v>1224</v>
      </c>
      <c r="L282" s="66">
        <v>2302066</v>
      </c>
      <c r="M282" s="68" t="s">
        <v>1232</v>
      </c>
      <c r="N282" s="66">
        <v>2302066</v>
      </c>
      <c r="O282" s="68" t="s">
        <v>1232</v>
      </c>
      <c r="P282" s="33">
        <v>230206600</v>
      </c>
      <c r="Q282" s="68" t="s">
        <v>1233</v>
      </c>
      <c r="R282" s="33">
        <v>230206600</v>
      </c>
      <c r="S282" s="68" t="s">
        <v>1233</v>
      </c>
      <c r="T282" s="72" t="s">
        <v>1451</v>
      </c>
      <c r="U282" s="34">
        <v>50</v>
      </c>
      <c r="V282" s="136" t="s">
        <v>1227</v>
      </c>
      <c r="W282" s="67" t="s">
        <v>1228</v>
      </c>
      <c r="X282" s="67" t="s">
        <v>1229</v>
      </c>
      <c r="Y282" s="107"/>
      <c r="Z282" s="107"/>
      <c r="AA282" s="107"/>
      <c r="AB282" s="91"/>
      <c r="AC282" s="91"/>
      <c r="AD282" s="91"/>
      <c r="AE282" s="91"/>
      <c r="AF282" s="91"/>
      <c r="AG282" s="91"/>
      <c r="AH282" s="91"/>
      <c r="AI282" s="91">
        <v>60000000</v>
      </c>
      <c r="AJ282" s="91"/>
      <c r="AK282" s="91"/>
      <c r="AL282" s="91"/>
      <c r="AM282" s="91">
        <f t="shared" si="5"/>
        <v>60000000</v>
      </c>
      <c r="AN282" s="81" t="s">
        <v>1437</v>
      </c>
      <c r="AO282" s="6"/>
    </row>
    <row r="283" spans="1:41" s="1" customFormat="1" ht="108" hidden="1" customHeight="1" x14ac:dyDescent="0.2">
      <c r="A283" s="69">
        <v>324</v>
      </c>
      <c r="B283" s="105" t="s">
        <v>1440</v>
      </c>
      <c r="C283" s="66">
        <v>4</v>
      </c>
      <c r="D283" s="68" t="s">
        <v>1394</v>
      </c>
      <c r="E283" s="66">
        <v>23</v>
      </c>
      <c r="F283" s="68" t="s">
        <v>1166</v>
      </c>
      <c r="G283" s="66">
        <v>2302</v>
      </c>
      <c r="H283" s="68" t="s">
        <v>1370</v>
      </c>
      <c r="I283" s="66">
        <v>2302</v>
      </c>
      <c r="J283" s="68" t="s">
        <v>1371</v>
      </c>
      <c r="K283" s="68" t="s">
        <v>1224</v>
      </c>
      <c r="L283" s="66">
        <v>2302004</v>
      </c>
      <c r="M283" s="68" t="s">
        <v>1234</v>
      </c>
      <c r="N283" s="66">
        <v>2302004</v>
      </c>
      <c r="O283" s="68" t="s">
        <v>1234</v>
      </c>
      <c r="P283" s="33">
        <v>230200403</v>
      </c>
      <c r="Q283" s="68" t="s">
        <v>1235</v>
      </c>
      <c r="R283" s="33">
        <v>230200403</v>
      </c>
      <c r="S283" s="68" t="s">
        <v>1235</v>
      </c>
      <c r="T283" s="72" t="s">
        <v>1451</v>
      </c>
      <c r="U283" s="34">
        <v>1</v>
      </c>
      <c r="V283" s="136" t="s">
        <v>1227</v>
      </c>
      <c r="W283" s="67" t="s">
        <v>1228</v>
      </c>
      <c r="X283" s="67" t="s">
        <v>1229</v>
      </c>
      <c r="Y283" s="107"/>
      <c r="Z283" s="107"/>
      <c r="AA283" s="107"/>
      <c r="AB283" s="91"/>
      <c r="AC283" s="91"/>
      <c r="AD283" s="91"/>
      <c r="AE283" s="91"/>
      <c r="AF283" s="91"/>
      <c r="AG283" s="91"/>
      <c r="AH283" s="91"/>
      <c r="AI283" s="91">
        <v>25000000</v>
      </c>
      <c r="AJ283" s="91"/>
      <c r="AK283" s="91"/>
      <c r="AL283" s="91"/>
      <c r="AM283" s="91">
        <f t="shared" si="5"/>
        <v>25000000</v>
      </c>
      <c r="AN283" s="81" t="s">
        <v>1437</v>
      </c>
      <c r="AO283" s="6"/>
    </row>
    <row r="284" spans="1:41" s="1" customFormat="1" ht="105" hidden="1" customHeight="1" x14ac:dyDescent="0.2">
      <c r="A284" s="69">
        <v>324</v>
      </c>
      <c r="B284" s="105" t="s">
        <v>1440</v>
      </c>
      <c r="C284" s="66">
        <v>4</v>
      </c>
      <c r="D284" s="68" t="s">
        <v>1394</v>
      </c>
      <c r="E284" s="66">
        <v>23</v>
      </c>
      <c r="F284" s="68" t="s">
        <v>1166</v>
      </c>
      <c r="G284" s="66">
        <v>2302</v>
      </c>
      <c r="H284" s="68" t="s">
        <v>1370</v>
      </c>
      <c r="I284" s="66">
        <v>2302</v>
      </c>
      <c r="J284" s="68" t="s">
        <v>1371</v>
      </c>
      <c r="K284" s="68" t="s">
        <v>1224</v>
      </c>
      <c r="L284" s="33">
        <v>2302007</v>
      </c>
      <c r="M284" s="68" t="s">
        <v>1236</v>
      </c>
      <c r="N284" s="66">
        <v>2302007</v>
      </c>
      <c r="O284" s="68" t="s">
        <v>1236</v>
      </c>
      <c r="P284" s="33">
        <v>230200701</v>
      </c>
      <c r="Q284" s="68" t="s">
        <v>1237</v>
      </c>
      <c r="R284" s="33">
        <v>230200701</v>
      </c>
      <c r="S284" s="68" t="s">
        <v>1237</v>
      </c>
      <c r="T284" s="72" t="s">
        <v>1451</v>
      </c>
      <c r="U284" s="34">
        <v>1</v>
      </c>
      <c r="V284" s="136" t="s">
        <v>1227</v>
      </c>
      <c r="W284" s="67" t="s">
        <v>1228</v>
      </c>
      <c r="X284" s="67" t="s">
        <v>1229</v>
      </c>
      <c r="Y284" s="107"/>
      <c r="Z284" s="107"/>
      <c r="AA284" s="107"/>
      <c r="AB284" s="91"/>
      <c r="AC284" s="91"/>
      <c r="AD284" s="91"/>
      <c r="AE284" s="91"/>
      <c r="AF284" s="91"/>
      <c r="AG284" s="91"/>
      <c r="AH284" s="91"/>
      <c r="AI284" s="91">
        <v>25000000</v>
      </c>
      <c r="AJ284" s="91"/>
      <c r="AK284" s="91"/>
      <c r="AL284" s="91"/>
      <c r="AM284" s="91">
        <f t="shared" si="5"/>
        <v>25000000</v>
      </c>
      <c r="AN284" s="81" t="s">
        <v>1437</v>
      </c>
      <c r="AO284" s="6"/>
    </row>
    <row r="285" spans="1:41" s="1" customFormat="1" ht="97.5" hidden="1" customHeight="1" x14ac:dyDescent="0.2">
      <c r="A285" s="69">
        <v>324</v>
      </c>
      <c r="B285" s="105" t="s">
        <v>1440</v>
      </c>
      <c r="C285" s="66">
        <v>4</v>
      </c>
      <c r="D285" s="68" t="s">
        <v>1394</v>
      </c>
      <c r="E285" s="66">
        <v>23</v>
      </c>
      <c r="F285" s="68" t="s">
        <v>1166</v>
      </c>
      <c r="G285" s="66">
        <v>2302</v>
      </c>
      <c r="H285" s="68" t="s">
        <v>1370</v>
      </c>
      <c r="I285" s="66">
        <v>2302</v>
      </c>
      <c r="J285" s="68" t="s">
        <v>1371</v>
      </c>
      <c r="K285" s="68" t="s">
        <v>1224</v>
      </c>
      <c r="L285" s="66">
        <v>2302083</v>
      </c>
      <c r="M285" s="68" t="s">
        <v>79</v>
      </c>
      <c r="N285" s="66">
        <v>2302083</v>
      </c>
      <c r="O285" s="68" t="s">
        <v>79</v>
      </c>
      <c r="P285" s="33">
        <v>230208300</v>
      </c>
      <c r="Q285" s="68" t="s">
        <v>514</v>
      </c>
      <c r="R285" s="33">
        <v>230208300</v>
      </c>
      <c r="S285" s="68" t="s">
        <v>514</v>
      </c>
      <c r="T285" s="72" t="s">
        <v>1451</v>
      </c>
      <c r="U285" s="34">
        <v>1</v>
      </c>
      <c r="V285" s="136" t="s">
        <v>1227</v>
      </c>
      <c r="W285" s="67" t="s">
        <v>1228</v>
      </c>
      <c r="X285" s="67" t="s">
        <v>1229</v>
      </c>
      <c r="Y285" s="107"/>
      <c r="Z285" s="107"/>
      <c r="AA285" s="107"/>
      <c r="AB285" s="91"/>
      <c r="AC285" s="91"/>
      <c r="AD285" s="91"/>
      <c r="AE285" s="91"/>
      <c r="AF285" s="91"/>
      <c r="AG285" s="91"/>
      <c r="AH285" s="91"/>
      <c r="AI285" s="91">
        <v>18000000</v>
      </c>
      <c r="AJ285" s="91"/>
      <c r="AK285" s="91"/>
      <c r="AL285" s="91"/>
      <c r="AM285" s="91">
        <f t="shared" si="5"/>
        <v>18000000</v>
      </c>
      <c r="AN285" s="81" t="s">
        <v>1437</v>
      </c>
      <c r="AO285" s="6"/>
    </row>
    <row r="286" spans="1:41" s="1" customFormat="1" ht="140.25" hidden="1" customHeight="1" x14ac:dyDescent="0.2">
      <c r="A286" s="69">
        <v>319</v>
      </c>
      <c r="B286" s="126" t="s">
        <v>1410</v>
      </c>
      <c r="C286" s="66">
        <v>1</v>
      </c>
      <c r="D286" s="105" t="s">
        <v>1396</v>
      </c>
      <c r="E286" s="66">
        <v>43</v>
      </c>
      <c r="F286" s="68" t="s">
        <v>165</v>
      </c>
      <c r="G286" s="66">
        <v>4301</v>
      </c>
      <c r="H286" s="126" t="s">
        <v>1346</v>
      </c>
      <c r="I286" s="66">
        <v>4301</v>
      </c>
      <c r="J286" s="126" t="s">
        <v>1347</v>
      </c>
      <c r="K286" s="126" t="s">
        <v>1238</v>
      </c>
      <c r="L286" s="66">
        <v>4301007</v>
      </c>
      <c r="M286" s="68" t="s">
        <v>1239</v>
      </c>
      <c r="N286" s="66">
        <v>4301007</v>
      </c>
      <c r="O286" s="68" t="s">
        <v>1239</v>
      </c>
      <c r="P286" s="66">
        <v>430100701</v>
      </c>
      <c r="Q286" s="68" t="s">
        <v>1240</v>
      </c>
      <c r="R286" s="66">
        <v>430100701</v>
      </c>
      <c r="S286" s="68" t="s">
        <v>1240</v>
      </c>
      <c r="T286" s="72" t="s">
        <v>1449</v>
      </c>
      <c r="U286" s="34">
        <v>12</v>
      </c>
      <c r="V286" s="173">
        <v>2020003630009</v>
      </c>
      <c r="W286" s="67" t="s">
        <v>1241</v>
      </c>
      <c r="X286" s="132" t="s">
        <v>1242</v>
      </c>
      <c r="Y286" s="71">
        <v>42000000</v>
      </c>
      <c r="Z286" s="107"/>
      <c r="AA286" s="107"/>
      <c r="AB286" s="107"/>
      <c r="AC286" s="107"/>
      <c r="AD286" s="169"/>
      <c r="AE286" s="107"/>
      <c r="AF286" s="107"/>
      <c r="AG286" s="107"/>
      <c r="AH286" s="107"/>
      <c r="AI286" s="71"/>
      <c r="AJ286" s="71">
        <f>843746501.24+460056673.81</f>
        <v>1303803175.05</v>
      </c>
      <c r="AK286" s="107">
        <f>240000000-121800000</f>
        <v>118200000</v>
      </c>
      <c r="AL286" s="107"/>
      <c r="AM286" s="91">
        <f t="shared" si="5"/>
        <v>1464003175.05</v>
      </c>
      <c r="AN286" s="81" t="s">
        <v>1438</v>
      </c>
      <c r="AO286" s="6"/>
    </row>
    <row r="287" spans="1:41" s="1" customFormat="1" ht="140.25" hidden="1" customHeight="1" x14ac:dyDescent="0.2">
      <c r="A287" s="69">
        <v>319</v>
      </c>
      <c r="B287" s="126" t="s">
        <v>1410</v>
      </c>
      <c r="C287" s="66">
        <v>1</v>
      </c>
      <c r="D287" s="105" t="s">
        <v>1396</v>
      </c>
      <c r="E287" s="66">
        <v>43</v>
      </c>
      <c r="F287" s="68" t="s">
        <v>165</v>
      </c>
      <c r="G287" s="66">
        <v>4301</v>
      </c>
      <c r="H287" s="126" t="s">
        <v>1346</v>
      </c>
      <c r="I287" s="66">
        <v>4301</v>
      </c>
      <c r="J287" s="126" t="s">
        <v>1347</v>
      </c>
      <c r="K287" s="126" t="s">
        <v>1238</v>
      </c>
      <c r="L287" s="66">
        <v>4301037</v>
      </c>
      <c r="M287" s="68" t="s">
        <v>1243</v>
      </c>
      <c r="N287" s="66">
        <v>4301037</v>
      </c>
      <c r="O287" s="68" t="s">
        <v>1243</v>
      </c>
      <c r="P287" s="66">
        <v>430103701</v>
      </c>
      <c r="Q287" s="68" t="s">
        <v>1244</v>
      </c>
      <c r="R287" s="66">
        <v>430103701</v>
      </c>
      <c r="S287" s="68" t="s">
        <v>1244</v>
      </c>
      <c r="T287" s="72" t="s">
        <v>1449</v>
      </c>
      <c r="U287" s="34">
        <v>12</v>
      </c>
      <c r="V287" s="173">
        <v>2020003630009</v>
      </c>
      <c r="W287" s="67" t="s">
        <v>1241</v>
      </c>
      <c r="X287" s="132" t="s">
        <v>1242</v>
      </c>
      <c r="Y287" s="107"/>
      <c r="Z287" s="107"/>
      <c r="AA287" s="107"/>
      <c r="AB287" s="107"/>
      <c r="AC287" s="107"/>
      <c r="AD287" s="107"/>
      <c r="AE287" s="107"/>
      <c r="AF287" s="107"/>
      <c r="AG287" s="107"/>
      <c r="AH287" s="107"/>
      <c r="AI287" s="71"/>
      <c r="AJ287" s="71">
        <f>176820060+40000000+94205491.84</f>
        <v>311025551.84000003</v>
      </c>
      <c r="AK287" s="107">
        <f>165000000-20000000-20000000</f>
        <v>125000000</v>
      </c>
      <c r="AL287" s="170"/>
      <c r="AM287" s="91">
        <f t="shared" si="5"/>
        <v>436025551.84000003</v>
      </c>
      <c r="AN287" s="81" t="s">
        <v>1438</v>
      </c>
      <c r="AO287" s="6"/>
    </row>
    <row r="288" spans="1:41" s="1" customFormat="1" ht="129" hidden="1" customHeight="1" x14ac:dyDescent="0.2">
      <c r="A288" s="69">
        <v>319</v>
      </c>
      <c r="B288" s="126" t="s">
        <v>1410</v>
      </c>
      <c r="C288" s="66">
        <v>1</v>
      </c>
      <c r="D288" s="105" t="s">
        <v>1396</v>
      </c>
      <c r="E288" s="66">
        <v>43</v>
      </c>
      <c r="F288" s="68" t="s">
        <v>165</v>
      </c>
      <c r="G288" s="66">
        <v>4301</v>
      </c>
      <c r="H288" s="126" t="s">
        <v>1346</v>
      </c>
      <c r="I288" s="66">
        <v>4301</v>
      </c>
      <c r="J288" s="126" t="s">
        <v>1347</v>
      </c>
      <c r="K288" s="126" t="s">
        <v>1238</v>
      </c>
      <c r="L288" s="66">
        <v>4301037</v>
      </c>
      <c r="M288" s="68" t="s">
        <v>1243</v>
      </c>
      <c r="N288" s="66">
        <v>4301037</v>
      </c>
      <c r="O288" s="68" t="s">
        <v>1243</v>
      </c>
      <c r="P288" s="66" t="s">
        <v>1245</v>
      </c>
      <c r="Q288" s="68" t="s">
        <v>1246</v>
      </c>
      <c r="R288" s="66" t="s">
        <v>1245</v>
      </c>
      <c r="S288" s="68" t="s">
        <v>1246</v>
      </c>
      <c r="T288" s="72" t="s">
        <v>1449</v>
      </c>
      <c r="U288" s="34">
        <v>12</v>
      </c>
      <c r="V288" s="173">
        <v>2020003630009</v>
      </c>
      <c r="W288" s="67" t="s">
        <v>1241</v>
      </c>
      <c r="X288" s="132" t="s">
        <v>1242</v>
      </c>
      <c r="Y288" s="107">
        <f>1000000000-859200000</f>
        <v>140800000</v>
      </c>
      <c r="Z288" s="107"/>
      <c r="AA288" s="107"/>
      <c r="AB288" s="107"/>
      <c r="AC288" s="107"/>
      <c r="AD288" s="107"/>
      <c r="AE288" s="107"/>
      <c r="AF288" s="107"/>
      <c r="AG288" s="107"/>
      <c r="AH288" s="107"/>
      <c r="AI288" s="71">
        <f>63455402+72672234+600000000+150000000+250000000-1000000000</f>
        <v>136127636</v>
      </c>
      <c r="AJ288" s="71">
        <f>253377194+128617531.11</f>
        <v>381994725.11000001</v>
      </c>
      <c r="AK288" s="107">
        <f>595000000-70000000-55000000-30000000-227842116</f>
        <v>212157884</v>
      </c>
      <c r="AL288" s="107"/>
      <c r="AM288" s="91">
        <f t="shared" si="5"/>
        <v>871080245.11000001</v>
      </c>
      <c r="AN288" s="81" t="s">
        <v>1438</v>
      </c>
      <c r="AO288" s="6"/>
    </row>
    <row r="289" spans="1:41" s="1" customFormat="1" ht="166.5" hidden="1" customHeight="1" x14ac:dyDescent="0.2">
      <c r="A289" s="69">
        <v>319</v>
      </c>
      <c r="B289" s="126" t="s">
        <v>1410</v>
      </c>
      <c r="C289" s="66">
        <v>1</v>
      </c>
      <c r="D289" s="105" t="s">
        <v>1396</v>
      </c>
      <c r="E289" s="66">
        <v>43</v>
      </c>
      <c r="F289" s="68" t="s">
        <v>165</v>
      </c>
      <c r="G289" s="66">
        <v>4301</v>
      </c>
      <c r="H289" s="126" t="s">
        <v>1346</v>
      </c>
      <c r="I289" s="66">
        <v>4301</v>
      </c>
      <c r="J289" s="126" t="s">
        <v>1347</v>
      </c>
      <c r="K289" s="126" t="s">
        <v>1238</v>
      </c>
      <c r="L289" s="34" t="s">
        <v>38</v>
      </c>
      <c r="M289" s="68" t="s">
        <v>1247</v>
      </c>
      <c r="N289" s="66">
        <v>4301006</v>
      </c>
      <c r="O289" s="68" t="s">
        <v>1248</v>
      </c>
      <c r="P289" s="34" t="s">
        <v>38</v>
      </c>
      <c r="Q289" s="68" t="s">
        <v>1249</v>
      </c>
      <c r="R289" s="66">
        <v>430100600</v>
      </c>
      <c r="S289" s="68" t="s">
        <v>1250</v>
      </c>
      <c r="T289" s="72" t="s">
        <v>1449</v>
      </c>
      <c r="U289" s="34">
        <v>1</v>
      </c>
      <c r="V289" s="173">
        <v>2020003630009</v>
      </c>
      <c r="W289" s="67" t="s">
        <v>1241</v>
      </c>
      <c r="X289" s="132" t="s">
        <v>1242</v>
      </c>
      <c r="Y289" s="107"/>
      <c r="Z289" s="107"/>
      <c r="AA289" s="107"/>
      <c r="AB289" s="107"/>
      <c r="AC289" s="107"/>
      <c r="AD289" s="107"/>
      <c r="AE289" s="107"/>
      <c r="AF289" s="107"/>
      <c r="AG289" s="107"/>
      <c r="AH289" s="107"/>
      <c r="AI289" s="108"/>
      <c r="AJ289" s="110">
        <v>76178126.980000004</v>
      </c>
      <c r="AK289" s="171"/>
      <c r="AL289" s="171"/>
      <c r="AM289" s="91">
        <f t="shared" si="5"/>
        <v>76178126.980000004</v>
      </c>
      <c r="AN289" s="81" t="s">
        <v>1438</v>
      </c>
      <c r="AO289" s="6"/>
    </row>
    <row r="290" spans="1:41" s="1" customFormat="1" ht="151.5" hidden="1" customHeight="1" x14ac:dyDescent="0.2">
      <c r="A290" s="69">
        <v>319</v>
      </c>
      <c r="B290" s="126" t="s">
        <v>1410</v>
      </c>
      <c r="C290" s="66">
        <v>1</v>
      </c>
      <c r="D290" s="105" t="s">
        <v>1396</v>
      </c>
      <c r="E290" s="66">
        <v>43</v>
      </c>
      <c r="F290" s="68" t="s">
        <v>165</v>
      </c>
      <c r="G290" s="66">
        <v>4302</v>
      </c>
      <c r="H290" s="126" t="s">
        <v>1251</v>
      </c>
      <c r="I290" s="66">
        <v>4302</v>
      </c>
      <c r="J290" s="126" t="s">
        <v>1390</v>
      </c>
      <c r="K290" s="126" t="s">
        <v>1252</v>
      </c>
      <c r="L290" s="172">
        <v>4302075</v>
      </c>
      <c r="M290" s="68" t="s">
        <v>1253</v>
      </c>
      <c r="N290" s="172">
        <v>4302075</v>
      </c>
      <c r="O290" s="68" t="s">
        <v>1253</v>
      </c>
      <c r="P290" s="34">
        <v>430207500</v>
      </c>
      <c r="Q290" s="126" t="s">
        <v>1254</v>
      </c>
      <c r="R290" s="34">
        <v>430207500</v>
      </c>
      <c r="S290" s="126" t="s">
        <v>1254</v>
      </c>
      <c r="T290" s="72" t="s">
        <v>1449</v>
      </c>
      <c r="U290" s="34">
        <v>25</v>
      </c>
      <c r="V290" s="173">
        <v>2020003630010</v>
      </c>
      <c r="W290" s="174" t="s">
        <v>1255</v>
      </c>
      <c r="X290" s="174" t="s">
        <v>1256</v>
      </c>
      <c r="Y290" s="186">
        <f>4533873991-3465057531</f>
        <v>1068816460</v>
      </c>
      <c r="Z290" s="107"/>
      <c r="AA290" s="107"/>
      <c r="AB290" s="107"/>
      <c r="AC290" s="107"/>
      <c r="AD290" s="107"/>
      <c r="AE290" s="107"/>
      <c r="AF290" s="107"/>
      <c r="AG290" s="107"/>
      <c r="AH290" s="107"/>
      <c r="AI290" s="144">
        <f>684120550+100000000</f>
        <v>784120550</v>
      </c>
      <c r="AJ290" s="144">
        <f>288360186+2044951320.41</f>
        <v>2333311506.4099998</v>
      </c>
      <c r="AK290" s="107"/>
      <c r="AL290" s="107"/>
      <c r="AM290" s="91">
        <f t="shared" si="5"/>
        <v>4186248516.4099998</v>
      </c>
      <c r="AN290" s="81" t="s">
        <v>1438</v>
      </c>
      <c r="AO290" s="6"/>
    </row>
    <row r="291" spans="1:41" s="1" customFormat="1" ht="147" hidden="1" customHeight="1" x14ac:dyDescent="0.2">
      <c r="A291" s="69">
        <v>319</v>
      </c>
      <c r="B291" s="126" t="s">
        <v>1410</v>
      </c>
      <c r="C291" s="66">
        <v>1</v>
      </c>
      <c r="D291" s="105" t="s">
        <v>1396</v>
      </c>
      <c r="E291" s="66">
        <v>43</v>
      </c>
      <c r="F291" s="68" t="s">
        <v>165</v>
      </c>
      <c r="G291" s="66">
        <v>4302</v>
      </c>
      <c r="H291" s="126" t="s">
        <v>1251</v>
      </c>
      <c r="I291" s="66">
        <v>4302</v>
      </c>
      <c r="J291" s="126" t="s">
        <v>1390</v>
      </c>
      <c r="K291" s="126" t="s">
        <v>1257</v>
      </c>
      <c r="L291" s="172">
        <v>4302075</v>
      </c>
      <c r="M291" s="68" t="s">
        <v>1253</v>
      </c>
      <c r="N291" s="172">
        <v>4302004</v>
      </c>
      <c r="O291" s="68" t="s">
        <v>1258</v>
      </c>
      <c r="P291" s="34" t="s">
        <v>38</v>
      </c>
      <c r="Q291" s="68" t="s">
        <v>1259</v>
      </c>
      <c r="R291" s="69">
        <v>430200401</v>
      </c>
      <c r="S291" s="68" t="s">
        <v>1260</v>
      </c>
      <c r="T291" s="72" t="s">
        <v>1449</v>
      </c>
      <c r="U291" s="34">
        <v>1</v>
      </c>
      <c r="V291" s="173">
        <v>2020003630013</v>
      </c>
      <c r="W291" s="67" t="s">
        <v>1261</v>
      </c>
      <c r="X291" s="68" t="s">
        <v>1262</v>
      </c>
      <c r="Y291" s="107"/>
      <c r="Z291" s="107"/>
      <c r="AA291" s="107"/>
      <c r="AB291" s="107"/>
      <c r="AC291" s="107"/>
      <c r="AD291" s="107"/>
      <c r="AE291" s="107"/>
      <c r="AF291" s="107"/>
      <c r="AG291" s="107"/>
      <c r="AH291" s="107"/>
      <c r="AI291" s="75">
        <f>35000000+91882074.64</f>
        <v>126882074.64</v>
      </c>
      <c r="AJ291" s="71"/>
      <c r="AK291" s="107"/>
      <c r="AL291" s="107"/>
      <c r="AM291" s="91">
        <f t="shared" si="5"/>
        <v>126882074.64</v>
      </c>
      <c r="AN291" s="81" t="s">
        <v>1438</v>
      </c>
      <c r="AO291" s="6"/>
    </row>
    <row r="292" spans="1:41" s="1" customFormat="1" ht="175.5" hidden="1" customHeight="1" x14ac:dyDescent="0.2">
      <c r="A292" s="69">
        <v>320</v>
      </c>
      <c r="B292" s="126" t="s">
        <v>1411</v>
      </c>
      <c r="C292" s="66">
        <v>1</v>
      </c>
      <c r="D292" s="105" t="s">
        <v>1396</v>
      </c>
      <c r="E292" s="66">
        <v>43</v>
      </c>
      <c r="F292" s="68" t="s">
        <v>165</v>
      </c>
      <c r="G292" s="66">
        <v>4301</v>
      </c>
      <c r="H292" s="126" t="s">
        <v>1346</v>
      </c>
      <c r="I292" s="66">
        <v>4301</v>
      </c>
      <c r="J292" s="126" t="s">
        <v>1347</v>
      </c>
      <c r="K292" s="68" t="s">
        <v>166</v>
      </c>
      <c r="L292" s="34" t="s">
        <v>38</v>
      </c>
      <c r="M292" s="119" t="s">
        <v>1263</v>
      </c>
      <c r="N292" s="66">
        <v>4301004</v>
      </c>
      <c r="O292" s="119" t="s">
        <v>168</v>
      </c>
      <c r="P292" s="34" t="s">
        <v>38</v>
      </c>
      <c r="Q292" s="119" t="s">
        <v>1264</v>
      </c>
      <c r="R292" s="106">
        <v>430100401</v>
      </c>
      <c r="S292" s="119" t="s">
        <v>170</v>
      </c>
      <c r="T292" s="72" t="s">
        <v>1451</v>
      </c>
      <c r="U292" s="34">
        <v>3</v>
      </c>
      <c r="V292" s="136" t="s">
        <v>1265</v>
      </c>
      <c r="W292" s="119" t="s">
        <v>1266</v>
      </c>
      <c r="X292" s="119" t="s">
        <v>1267</v>
      </c>
      <c r="Y292" s="127">
        <f>308302422.9+382161654.86</f>
        <v>690464077.75999999</v>
      </c>
      <c r="Z292" s="107"/>
      <c r="AA292" s="107"/>
      <c r="AB292" s="107"/>
      <c r="AC292" s="107"/>
      <c r="AD292" s="107"/>
      <c r="AE292" s="107"/>
      <c r="AF292" s="107"/>
      <c r="AG292" s="107"/>
      <c r="AH292" s="107"/>
      <c r="AI292" s="134"/>
      <c r="AJ292" s="128"/>
      <c r="AK292" s="107"/>
      <c r="AL292" s="107"/>
      <c r="AM292" s="91">
        <f t="shared" si="5"/>
        <v>690464077.75999999</v>
      </c>
      <c r="AN292" s="81" t="s">
        <v>1439</v>
      </c>
      <c r="AO292" s="6"/>
    </row>
    <row r="293" spans="1:41" s="1" customFormat="1" ht="131.25" hidden="1" customHeight="1" x14ac:dyDescent="0.2">
      <c r="A293" s="69">
        <v>320</v>
      </c>
      <c r="B293" s="126" t="s">
        <v>1411</v>
      </c>
      <c r="C293" s="66">
        <v>1</v>
      </c>
      <c r="D293" s="105" t="s">
        <v>1396</v>
      </c>
      <c r="E293" s="66">
        <v>22</v>
      </c>
      <c r="F293" s="125" t="s">
        <v>146</v>
      </c>
      <c r="G293" s="66">
        <v>2201</v>
      </c>
      <c r="H293" s="68" t="s">
        <v>264</v>
      </c>
      <c r="I293" s="66">
        <v>2201</v>
      </c>
      <c r="J293" s="68" t="s">
        <v>1369</v>
      </c>
      <c r="K293" s="68" t="s">
        <v>147</v>
      </c>
      <c r="L293" s="34" t="s">
        <v>38</v>
      </c>
      <c r="M293" s="68" t="s">
        <v>648</v>
      </c>
      <c r="N293" s="106">
        <v>2201062</v>
      </c>
      <c r="O293" s="68" t="s">
        <v>149</v>
      </c>
      <c r="P293" s="34" t="s">
        <v>38</v>
      </c>
      <c r="Q293" s="68" t="s">
        <v>150</v>
      </c>
      <c r="R293" s="66">
        <v>220106200</v>
      </c>
      <c r="S293" s="68" t="s">
        <v>151</v>
      </c>
      <c r="T293" s="72" t="s">
        <v>1451</v>
      </c>
      <c r="U293" s="34">
        <v>15</v>
      </c>
      <c r="V293" s="136" t="s">
        <v>1268</v>
      </c>
      <c r="W293" s="119" t="s">
        <v>1269</v>
      </c>
      <c r="X293" s="119" t="s">
        <v>1270</v>
      </c>
      <c r="Y293" s="127">
        <f>308302422.9+20706441.05</f>
        <v>329008863.94999999</v>
      </c>
      <c r="Z293" s="107"/>
      <c r="AA293" s="107"/>
      <c r="AB293" s="107"/>
      <c r="AC293" s="107"/>
      <c r="AD293" s="107"/>
      <c r="AE293" s="107"/>
      <c r="AF293" s="107"/>
      <c r="AG293" s="107"/>
      <c r="AH293" s="107"/>
      <c r="AI293" s="134"/>
      <c r="AJ293" s="107"/>
      <c r="AK293" s="121"/>
      <c r="AL293" s="121"/>
      <c r="AM293" s="91">
        <f t="shared" ref="AM293:AM305" si="6">+Y293+Z293+AA293+AB293+AC293+AD293+AE293+AF293+AG293+AH293+AI293+AJ293+AK293</f>
        <v>329008863.94999999</v>
      </c>
      <c r="AN293" s="81" t="s">
        <v>1439</v>
      </c>
      <c r="AO293" s="6"/>
    </row>
    <row r="294" spans="1:41" s="1" customFormat="1" ht="132" hidden="1" customHeight="1" x14ac:dyDescent="0.2">
      <c r="A294" s="69">
        <v>320</v>
      </c>
      <c r="B294" s="126" t="s">
        <v>1411</v>
      </c>
      <c r="C294" s="69">
        <v>3</v>
      </c>
      <c r="D294" s="119" t="s">
        <v>1412</v>
      </c>
      <c r="E294" s="69">
        <v>24</v>
      </c>
      <c r="F294" s="69" t="s">
        <v>175</v>
      </c>
      <c r="G294" s="66">
        <v>2402</v>
      </c>
      <c r="H294" s="119" t="s">
        <v>176</v>
      </c>
      <c r="I294" s="66">
        <v>2402</v>
      </c>
      <c r="J294" s="119" t="s">
        <v>1372</v>
      </c>
      <c r="K294" s="119" t="s">
        <v>1271</v>
      </c>
      <c r="L294" s="34" t="s">
        <v>38</v>
      </c>
      <c r="M294" s="68" t="s">
        <v>184</v>
      </c>
      <c r="N294" s="106">
        <v>2402041</v>
      </c>
      <c r="O294" s="68" t="s">
        <v>185</v>
      </c>
      <c r="P294" s="34" t="s">
        <v>38</v>
      </c>
      <c r="Q294" s="68" t="s">
        <v>186</v>
      </c>
      <c r="R294" s="106">
        <v>240204100</v>
      </c>
      <c r="S294" s="68" t="s">
        <v>187</v>
      </c>
      <c r="T294" s="72" t="s">
        <v>1449</v>
      </c>
      <c r="U294" s="33">
        <v>130</v>
      </c>
      <c r="V294" s="136" t="s">
        <v>1272</v>
      </c>
      <c r="W294" s="175" t="s">
        <v>1273</v>
      </c>
      <c r="X294" s="68" t="s">
        <v>1274</v>
      </c>
      <c r="Y294" s="107"/>
      <c r="Z294" s="107"/>
      <c r="AA294" s="134"/>
      <c r="AB294" s="107"/>
      <c r="AC294" s="107"/>
      <c r="AD294" s="107"/>
      <c r="AE294" s="107"/>
      <c r="AF294" s="107"/>
      <c r="AG294" s="107"/>
      <c r="AH294" s="107"/>
      <c r="AI294" s="134"/>
      <c r="AJ294" s="128">
        <f>199461691.2+149435040</f>
        <v>348896731.19999999</v>
      </c>
      <c r="AK294" s="107"/>
      <c r="AL294" s="107"/>
      <c r="AM294" s="91">
        <f t="shared" si="6"/>
        <v>348896731.19999999</v>
      </c>
      <c r="AN294" s="81" t="s">
        <v>1439</v>
      </c>
      <c r="AO294" s="6"/>
    </row>
    <row r="295" spans="1:41" s="1" customFormat="1" ht="105" hidden="1" customHeight="1" x14ac:dyDescent="0.2">
      <c r="A295" s="69">
        <v>320</v>
      </c>
      <c r="B295" s="126" t="s">
        <v>1411</v>
      </c>
      <c r="C295" s="69">
        <v>3</v>
      </c>
      <c r="D295" s="119" t="s">
        <v>1412</v>
      </c>
      <c r="E295" s="66">
        <v>40</v>
      </c>
      <c r="F295" s="68" t="s">
        <v>209</v>
      </c>
      <c r="G295" s="88">
        <v>4001</v>
      </c>
      <c r="H295" s="68" t="s">
        <v>210</v>
      </c>
      <c r="I295" s="88">
        <v>4001</v>
      </c>
      <c r="J295" s="68" t="s">
        <v>1385</v>
      </c>
      <c r="K295" s="68" t="s">
        <v>211</v>
      </c>
      <c r="L295" s="88">
        <v>4001001</v>
      </c>
      <c r="M295" s="68" t="s">
        <v>1275</v>
      </c>
      <c r="N295" s="88">
        <v>4001001</v>
      </c>
      <c r="O295" s="68" t="s">
        <v>1275</v>
      </c>
      <c r="P295" s="34" t="s">
        <v>1276</v>
      </c>
      <c r="Q295" s="126" t="s">
        <v>1277</v>
      </c>
      <c r="R295" s="34" t="s">
        <v>1276</v>
      </c>
      <c r="S295" s="126" t="s">
        <v>1277</v>
      </c>
      <c r="T295" s="72" t="s">
        <v>1451</v>
      </c>
      <c r="U295" s="34">
        <v>3</v>
      </c>
      <c r="V295" s="136" t="s">
        <v>1278</v>
      </c>
      <c r="W295" s="175" t="s">
        <v>1279</v>
      </c>
      <c r="X295" s="68" t="s">
        <v>1280</v>
      </c>
      <c r="Y295" s="127">
        <v>0</v>
      </c>
      <c r="Z295" s="107"/>
      <c r="AA295" s="107"/>
      <c r="AB295" s="107"/>
      <c r="AC295" s="107"/>
      <c r="AD295" s="107"/>
      <c r="AE295" s="107"/>
      <c r="AF295" s="107"/>
      <c r="AG295" s="107"/>
      <c r="AH295" s="107"/>
      <c r="AI295" s="134"/>
      <c r="AJ295" s="107">
        <f>9973084.56-9973084.56</f>
        <v>0</v>
      </c>
      <c r="AK295" s="121"/>
      <c r="AL295" s="121"/>
      <c r="AM295" s="91">
        <f t="shared" si="6"/>
        <v>0</v>
      </c>
      <c r="AN295" s="81" t="s">
        <v>1439</v>
      </c>
      <c r="AO295" s="6"/>
    </row>
    <row r="296" spans="1:41" s="1" customFormat="1" ht="90" hidden="1" customHeight="1" x14ac:dyDescent="0.2">
      <c r="A296" s="69">
        <v>320</v>
      </c>
      <c r="B296" s="126" t="s">
        <v>1411</v>
      </c>
      <c r="C296" s="69">
        <v>3</v>
      </c>
      <c r="D296" s="119" t="s">
        <v>1412</v>
      </c>
      <c r="E296" s="66">
        <v>40</v>
      </c>
      <c r="F296" s="68" t="s">
        <v>209</v>
      </c>
      <c r="G296" s="88">
        <v>4001</v>
      </c>
      <c r="H296" s="68" t="s">
        <v>210</v>
      </c>
      <c r="I296" s="88">
        <v>4001</v>
      </c>
      <c r="J296" s="68" t="s">
        <v>1385</v>
      </c>
      <c r="K296" s="68" t="s">
        <v>1281</v>
      </c>
      <c r="L296" s="88">
        <v>4001017</v>
      </c>
      <c r="M296" s="68" t="s">
        <v>1282</v>
      </c>
      <c r="N296" s="88">
        <v>4001017</v>
      </c>
      <c r="O296" s="68" t="s">
        <v>1282</v>
      </c>
      <c r="P296" s="34" t="s">
        <v>1283</v>
      </c>
      <c r="Q296" s="126" t="s">
        <v>1284</v>
      </c>
      <c r="R296" s="34" t="s">
        <v>1283</v>
      </c>
      <c r="S296" s="126" t="s">
        <v>1284</v>
      </c>
      <c r="T296" s="72" t="s">
        <v>1451</v>
      </c>
      <c r="U296" s="34">
        <v>25</v>
      </c>
      <c r="V296" s="136" t="s">
        <v>1278</v>
      </c>
      <c r="W296" s="175" t="s">
        <v>1279</v>
      </c>
      <c r="X296" s="68" t="s">
        <v>1280</v>
      </c>
      <c r="Y296" s="127">
        <f>51383737.16+62209722.85+22290833.34</f>
        <v>135884293.34999999</v>
      </c>
      <c r="Z296" s="107"/>
      <c r="AA296" s="107"/>
      <c r="AB296" s="107"/>
      <c r="AC296" s="107"/>
      <c r="AD296" s="107"/>
      <c r="AE296" s="107"/>
      <c r="AF296" s="107"/>
      <c r="AG296" s="107"/>
      <c r="AH296" s="107"/>
      <c r="AI296" s="134"/>
      <c r="AJ296" s="107">
        <f>29919253.68+27767253.39+12918750+7031749.71</f>
        <v>77637006.779999986</v>
      </c>
      <c r="AK296" s="121"/>
      <c r="AL296" s="121"/>
      <c r="AM296" s="91">
        <f t="shared" si="6"/>
        <v>213521300.13</v>
      </c>
      <c r="AN296" s="81" t="s">
        <v>1439</v>
      </c>
      <c r="AO296" s="6"/>
    </row>
    <row r="297" spans="1:41" s="1" customFormat="1" ht="96" hidden="1" customHeight="1" x14ac:dyDescent="0.2">
      <c r="A297" s="69">
        <v>320</v>
      </c>
      <c r="B297" s="126" t="s">
        <v>1411</v>
      </c>
      <c r="C297" s="69">
        <v>3</v>
      </c>
      <c r="D297" s="119" t="s">
        <v>1412</v>
      </c>
      <c r="E297" s="66">
        <v>40</v>
      </c>
      <c r="F297" s="68" t="s">
        <v>209</v>
      </c>
      <c r="G297" s="88">
        <v>4001</v>
      </c>
      <c r="H297" s="68" t="s">
        <v>210</v>
      </c>
      <c r="I297" s="88">
        <v>4001</v>
      </c>
      <c r="J297" s="68" t="s">
        <v>1385</v>
      </c>
      <c r="K297" s="68" t="s">
        <v>211</v>
      </c>
      <c r="L297" s="88">
        <v>4001018</v>
      </c>
      <c r="M297" s="68" t="s">
        <v>1285</v>
      </c>
      <c r="N297" s="88">
        <v>4001018</v>
      </c>
      <c r="O297" s="68" t="s">
        <v>1285</v>
      </c>
      <c r="P297" s="34" t="s">
        <v>1286</v>
      </c>
      <c r="Q297" s="126" t="s">
        <v>1287</v>
      </c>
      <c r="R297" s="34" t="s">
        <v>1286</v>
      </c>
      <c r="S297" s="126" t="s">
        <v>1287</v>
      </c>
      <c r="T297" s="72" t="s">
        <v>1451</v>
      </c>
      <c r="U297" s="34">
        <v>75</v>
      </c>
      <c r="V297" s="136" t="s">
        <v>1278</v>
      </c>
      <c r="W297" s="175" t="s">
        <v>1279</v>
      </c>
      <c r="X297" s="68" t="s">
        <v>1280</v>
      </c>
      <c r="Y297" s="127">
        <f>143874464.02-70555072.61-38000000</f>
        <v>35319391.410000011</v>
      </c>
      <c r="Z297" s="107"/>
      <c r="AA297" s="107"/>
      <c r="AB297" s="107"/>
      <c r="AC297" s="107"/>
      <c r="AD297" s="107"/>
      <c r="AE297" s="107"/>
      <c r="AF297" s="107"/>
      <c r="AG297" s="107"/>
      <c r="AH297" s="107"/>
      <c r="AI297" s="134"/>
      <c r="AJ297" s="107">
        <f>59838507.38-8822723.33-49193298.55</f>
        <v>1822485.5000000075</v>
      </c>
      <c r="AK297" s="121"/>
      <c r="AL297" s="121"/>
      <c r="AM297" s="91">
        <f t="shared" si="6"/>
        <v>37141876.910000019</v>
      </c>
      <c r="AN297" s="81" t="s">
        <v>1439</v>
      </c>
      <c r="AO297" s="6"/>
    </row>
    <row r="298" spans="1:41" s="1" customFormat="1" ht="97.5" hidden="1" customHeight="1" x14ac:dyDescent="0.2">
      <c r="A298" s="69">
        <v>320</v>
      </c>
      <c r="B298" s="126" t="s">
        <v>1411</v>
      </c>
      <c r="C298" s="69">
        <v>3</v>
      </c>
      <c r="D298" s="119" t="s">
        <v>1412</v>
      </c>
      <c r="E298" s="66">
        <v>40</v>
      </c>
      <c r="F298" s="68" t="s">
        <v>209</v>
      </c>
      <c r="G298" s="88">
        <v>4001</v>
      </c>
      <c r="H298" s="68" t="s">
        <v>210</v>
      </c>
      <c r="I298" s="88">
        <v>4001</v>
      </c>
      <c r="J298" s="68" t="s">
        <v>1385</v>
      </c>
      <c r="K298" s="68" t="s">
        <v>211</v>
      </c>
      <c r="L298" s="88">
        <v>4001030</v>
      </c>
      <c r="M298" s="68" t="s">
        <v>1288</v>
      </c>
      <c r="N298" s="88">
        <v>4001030</v>
      </c>
      <c r="O298" s="68" t="s">
        <v>1288</v>
      </c>
      <c r="P298" s="34" t="s">
        <v>1289</v>
      </c>
      <c r="Q298" s="126" t="s">
        <v>235</v>
      </c>
      <c r="R298" s="34" t="s">
        <v>1289</v>
      </c>
      <c r="S298" s="126" t="s">
        <v>235</v>
      </c>
      <c r="T298" s="72" t="s">
        <v>1451</v>
      </c>
      <c r="U298" s="34">
        <v>3</v>
      </c>
      <c r="V298" s="136" t="s">
        <v>1278</v>
      </c>
      <c r="W298" s="175" t="s">
        <v>1279</v>
      </c>
      <c r="X298" s="68" t="s">
        <v>1280</v>
      </c>
      <c r="Y298" s="127">
        <v>0</v>
      </c>
      <c r="Z298" s="107"/>
      <c r="AA298" s="107"/>
      <c r="AB298" s="107"/>
      <c r="AC298" s="107"/>
      <c r="AD298" s="107"/>
      <c r="AE298" s="107"/>
      <c r="AF298" s="107"/>
      <c r="AG298" s="107"/>
      <c r="AH298" s="107"/>
      <c r="AI298" s="128"/>
      <c r="AJ298" s="107">
        <v>9973084.5600000005</v>
      </c>
      <c r="AK298" s="121"/>
      <c r="AL298" s="121"/>
      <c r="AM298" s="91">
        <f t="shared" si="6"/>
        <v>9973084.5600000005</v>
      </c>
      <c r="AN298" s="81" t="s">
        <v>1439</v>
      </c>
      <c r="AO298" s="6"/>
    </row>
    <row r="299" spans="1:41" s="1" customFormat="1" ht="97.5" hidden="1" customHeight="1" x14ac:dyDescent="0.2">
      <c r="A299" s="69">
        <v>320</v>
      </c>
      <c r="B299" s="126" t="s">
        <v>1411</v>
      </c>
      <c r="C299" s="69">
        <v>3</v>
      </c>
      <c r="D299" s="119" t="s">
        <v>1412</v>
      </c>
      <c r="E299" s="66">
        <v>40</v>
      </c>
      <c r="F299" s="68" t="s">
        <v>209</v>
      </c>
      <c r="G299" s="88">
        <v>4001</v>
      </c>
      <c r="H299" s="68" t="s">
        <v>210</v>
      </c>
      <c r="I299" s="88">
        <v>4001</v>
      </c>
      <c r="J299" s="68" t="s">
        <v>1385</v>
      </c>
      <c r="K299" s="68" t="s">
        <v>211</v>
      </c>
      <c r="L299" s="88">
        <v>4001031</v>
      </c>
      <c r="M299" s="68" t="s">
        <v>1290</v>
      </c>
      <c r="N299" s="88">
        <v>4001031</v>
      </c>
      <c r="O299" s="68" t="s">
        <v>1290</v>
      </c>
      <c r="P299" s="34">
        <v>400103103</v>
      </c>
      <c r="Q299" s="68" t="s">
        <v>1291</v>
      </c>
      <c r="R299" s="34">
        <v>400103103</v>
      </c>
      <c r="S299" s="68" t="s">
        <v>1291</v>
      </c>
      <c r="T299" s="72" t="s">
        <v>1451</v>
      </c>
      <c r="U299" s="34">
        <v>8</v>
      </c>
      <c r="V299" s="136" t="s">
        <v>1278</v>
      </c>
      <c r="W299" s="175" t="s">
        <v>1279</v>
      </c>
      <c r="X299" s="68" t="s">
        <v>1280</v>
      </c>
      <c r="Y299" s="164">
        <f>99360196.46+60000000-27836408.05</f>
        <v>131523788.40999998</v>
      </c>
      <c r="Z299" s="107"/>
      <c r="AA299" s="107"/>
      <c r="AB299" s="107"/>
      <c r="AC299" s="107"/>
      <c r="AD299" s="107"/>
      <c r="AE299" s="107"/>
      <c r="AF299" s="107"/>
      <c r="AG299" s="107"/>
      <c r="AH299" s="107"/>
      <c r="AI299" s="128"/>
      <c r="AJ299" s="107">
        <f>598385073.6+110029114.38</f>
        <v>708414187.98000002</v>
      </c>
      <c r="AK299" s="121"/>
      <c r="AL299" s="121"/>
      <c r="AM299" s="91">
        <f t="shared" si="6"/>
        <v>839937976.38999999</v>
      </c>
      <c r="AN299" s="81" t="s">
        <v>1439</v>
      </c>
      <c r="AO299" s="6"/>
    </row>
    <row r="300" spans="1:41" s="1" customFormat="1" ht="97.5" hidden="1" customHeight="1" x14ac:dyDescent="0.2">
      <c r="A300" s="69">
        <v>320</v>
      </c>
      <c r="B300" s="126" t="s">
        <v>1411</v>
      </c>
      <c r="C300" s="69">
        <v>3</v>
      </c>
      <c r="D300" s="119" t="s">
        <v>1412</v>
      </c>
      <c r="E300" s="66">
        <v>40</v>
      </c>
      <c r="F300" s="68" t="s">
        <v>209</v>
      </c>
      <c r="G300" s="88">
        <v>4001</v>
      </c>
      <c r="H300" s="68" t="s">
        <v>210</v>
      </c>
      <c r="I300" s="88">
        <v>4001</v>
      </c>
      <c r="J300" s="68" t="s">
        <v>1385</v>
      </c>
      <c r="K300" s="68" t="s">
        <v>1281</v>
      </c>
      <c r="L300" s="88" t="s">
        <v>1292</v>
      </c>
      <c r="M300" s="68" t="s">
        <v>1293</v>
      </c>
      <c r="N300" s="88" t="s">
        <v>1292</v>
      </c>
      <c r="O300" s="68" t="s">
        <v>1293</v>
      </c>
      <c r="P300" s="34" t="s">
        <v>1294</v>
      </c>
      <c r="Q300" s="126" t="s">
        <v>1293</v>
      </c>
      <c r="R300" s="34" t="s">
        <v>1294</v>
      </c>
      <c r="S300" s="126" t="s">
        <v>1293</v>
      </c>
      <c r="T300" s="72" t="s">
        <v>1451</v>
      </c>
      <c r="U300" s="34">
        <v>35</v>
      </c>
      <c r="V300" s="136" t="s">
        <v>1278</v>
      </c>
      <c r="W300" s="175" t="s">
        <v>1279</v>
      </c>
      <c r="X300" s="68" t="s">
        <v>1280</v>
      </c>
      <c r="Y300" s="127">
        <f>71937232.01-57179838.22-14757393.79</f>
        <v>0</v>
      </c>
      <c r="Z300" s="107"/>
      <c r="AA300" s="107"/>
      <c r="AB300" s="107"/>
      <c r="AC300" s="107"/>
      <c r="AD300" s="107"/>
      <c r="AE300" s="107"/>
      <c r="AF300" s="107"/>
      <c r="AG300" s="107"/>
      <c r="AH300" s="107"/>
      <c r="AI300" s="128"/>
      <c r="AJ300" s="107">
        <f>29919253.68-27767253.39-2152000.29</f>
        <v>0</v>
      </c>
      <c r="AK300" s="121"/>
      <c r="AL300" s="121"/>
      <c r="AM300" s="91">
        <f t="shared" si="6"/>
        <v>0</v>
      </c>
      <c r="AN300" s="81" t="s">
        <v>1439</v>
      </c>
      <c r="AO300" s="6"/>
    </row>
    <row r="301" spans="1:41" s="1" customFormat="1" ht="97.5" hidden="1" customHeight="1" x14ac:dyDescent="0.2">
      <c r="A301" s="69">
        <v>320</v>
      </c>
      <c r="B301" s="126" t="s">
        <v>1411</v>
      </c>
      <c r="C301" s="69">
        <v>3</v>
      </c>
      <c r="D301" s="119" t="s">
        <v>1412</v>
      </c>
      <c r="E301" s="66">
        <v>40</v>
      </c>
      <c r="F301" s="68" t="s">
        <v>209</v>
      </c>
      <c r="G301" s="88">
        <v>4001</v>
      </c>
      <c r="H301" s="68" t="s">
        <v>210</v>
      </c>
      <c r="I301" s="88">
        <v>4001</v>
      </c>
      <c r="J301" s="68" t="s">
        <v>1385</v>
      </c>
      <c r="K301" s="68" t="s">
        <v>211</v>
      </c>
      <c r="L301" s="88" t="s">
        <v>1295</v>
      </c>
      <c r="M301" s="68" t="s">
        <v>214</v>
      </c>
      <c r="N301" s="88" t="s">
        <v>1295</v>
      </c>
      <c r="O301" s="68" t="s">
        <v>214</v>
      </c>
      <c r="P301" s="34">
        <v>400101500</v>
      </c>
      <c r="Q301" s="126" t="s">
        <v>214</v>
      </c>
      <c r="R301" s="34">
        <v>400101500</v>
      </c>
      <c r="S301" s="126" t="s">
        <v>214</v>
      </c>
      <c r="T301" s="72" t="s">
        <v>1451</v>
      </c>
      <c r="U301" s="66">
        <v>50</v>
      </c>
      <c r="V301" s="136" t="s">
        <v>1278</v>
      </c>
      <c r="W301" s="175" t="s">
        <v>1279</v>
      </c>
      <c r="X301" s="68" t="s">
        <v>1280</v>
      </c>
      <c r="Y301" s="127">
        <v>168342424.03999999</v>
      </c>
      <c r="Z301" s="107"/>
      <c r="AA301" s="107"/>
      <c r="AB301" s="107"/>
      <c r="AC301" s="107"/>
      <c r="AD301" s="107"/>
      <c r="AE301" s="107"/>
      <c r="AF301" s="107"/>
      <c r="AG301" s="107"/>
      <c r="AH301" s="107"/>
      <c r="AI301" s="128"/>
      <c r="AJ301" s="107"/>
      <c r="AK301" s="121"/>
      <c r="AL301" s="121"/>
      <c r="AM301" s="91">
        <f t="shared" si="6"/>
        <v>168342424.03999999</v>
      </c>
      <c r="AN301" s="81" t="s">
        <v>1439</v>
      </c>
      <c r="AO301" s="6"/>
    </row>
    <row r="302" spans="1:41" s="1" customFormat="1" ht="132.75" customHeight="1" x14ac:dyDescent="0.2">
      <c r="A302" s="69">
        <v>321</v>
      </c>
      <c r="B302" s="126" t="s">
        <v>1413</v>
      </c>
      <c r="C302" s="69">
        <v>3</v>
      </c>
      <c r="D302" s="119" t="s">
        <v>1412</v>
      </c>
      <c r="E302" s="66">
        <v>24</v>
      </c>
      <c r="F302" s="125" t="s">
        <v>175</v>
      </c>
      <c r="G302" s="69">
        <v>2409</v>
      </c>
      <c r="H302" s="126" t="s">
        <v>1297</v>
      </c>
      <c r="I302" s="69">
        <v>2409</v>
      </c>
      <c r="J302" s="126" t="s">
        <v>1373</v>
      </c>
      <c r="K302" s="126" t="s">
        <v>1298</v>
      </c>
      <c r="L302" s="34" t="s">
        <v>38</v>
      </c>
      <c r="M302" s="68" t="s">
        <v>1299</v>
      </c>
      <c r="N302" s="66">
        <v>2409009</v>
      </c>
      <c r="O302" s="68" t="s">
        <v>1300</v>
      </c>
      <c r="P302" s="34" t="s">
        <v>38</v>
      </c>
      <c r="Q302" s="126" t="s">
        <v>1301</v>
      </c>
      <c r="R302" s="66">
        <v>240900900</v>
      </c>
      <c r="S302" s="126" t="s">
        <v>1302</v>
      </c>
      <c r="T302" s="72" t="s">
        <v>1449</v>
      </c>
      <c r="U302" s="34">
        <v>1</v>
      </c>
      <c r="V302" s="136" t="s">
        <v>1303</v>
      </c>
      <c r="W302" s="175" t="s">
        <v>1304</v>
      </c>
      <c r="X302" s="68" t="s">
        <v>1305</v>
      </c>
      <c r="Y302" s="107"/>
      <c r="Z302" s="107"/>
      <c r="AA302" s="107"/>
      <c r="AB302" s="107"/>
      <c r="AC302" s="107"/>
      <c r="AD302" s="107"/>
      <c r="AE302" s="107"/>
      <c r="AF302" s="107"/>
      <c r="AG302" s="107"/>
      <c r="AH302" s="107"/>
      <c r="AI302" s="134"/>
      <c r="AJ302" s="134">
        <f>27192000+1300000</f>
        <v>28492000</v>
      </c>
      <c r="AK302" s="107"/>
      <c r="AL302" s="107"/>
      <c r="AM302" s="91">
        <f t="shared" si="6"/>
        <v>28492000</v>
      </c>
      <c r="AN302" s="81" t="s">
        <v>1453</v>
      </c>
      <c r="AO302" s="6"/>
    </row>
    <row r="303" spans="1:41" s="1" customFormat="1" ht="109.5" customHeight="1" x14ac:dyDescent="0.2">
      <c r="A303" s="69">
        <v>321</v>
      </c>
      <c r="B303" s="126" t="s">
        <v>1413</v>
      </c>
      <c r="C303" s="69">
        <v>3</v>
      </c>
      <c r="D303" s="119" t="s">
        <v>1412</v>
      </c>
      <c r="E303" s="66">
        <v>24</v>
      </c>
      <c r="F303" s="125" t="s">
        <v>175</v>
      </c>
      <c r="G303" s="69">
        <v>2409</v>
      </c>
      <c r="H303" s="126" t="s">
        <v>1297</v>
      </c>
      <c r="I303" s="69">
        <v>2409</v>
      </c>
      <c r="J303" s="126" t="s">
        <v>1373</v>
      </c>
      <c r="K303" s="126" t="s">
        <v>1298</v>
      </c>
      <c r="L303" s="34" t="s">
        <v>38</v>
      </c>
      <c r="M303" s="68" t="s">
        <v>1306</v>
      </c>
      <c r="N303" s="66">
        <v>2409022</v>
      </c>
      <c r="O303" s="68" t="s">
        <v>1307</v>
      </c>
      <c r="P303" s="34" t="s">
        <v>38</v>
      </c>
      <c r="Q303" s="126" t="s">
        <v>1308</v>
      </c>
      <c r="R303" s="66">
        <v>240902202</v>
      </c>
      <c r="S303" s="126" t="s">
        <v>1332</v>
      </c>
      <c r="T303" s="72" t="s">
        <v>1449</v>
      </c>
      <c r="U303" s="34">
        <v>1</v>
      </c>
      <c r="V303" s="136" t="s">
        <v>1303</v>
      </c>
      <c r="W303" s="175" t="s">
        <v>1304</v>
      </c>
      <c r="X303" s="68" t="s">
        <v>1305</v>
      </c>
      <c r="Y303" s="107"/>
      <c r="Z303" s="107"/>
      <c r="AA303" s="107"/>
      <c r="AB303" s="107"/>
      <c r="AC303" s="107"/>
      <c r="AD303" s="107"/>
      <c r="AE303" s="107"/>
      <c r="AF303" s="107"/>
      <c r="AG303" s="107"/>
      <c r="AH303" s="107"/>
      <c r="AI303" s="134"/>
      <c r="AJ303" s="134">
        <f>8652000+5250000</f>
        <v>13902000</v>
      </c>
      <c r="AK303" s="107"/>
      <c r="AL303" s="107"/>
      <c r="AM303" s="91">
        <f t="shared" si="6"/>
        <v>13902000</v>
      </c>
      <c r="AN303" s="81" t="s">
        <v>1453</v>
      </c>
      <c r="AO303" s="6"/>
    </row>
    <row r="304" spans="1:41" s="1" customFormat="1" ht="108.75" customHeight="1" x14ac:dyDescent="0.2">
      <c r="A304" s="69">
        <v>321</v>
      </c>
      <c r="B304" s="126" t="s">
        <v>1413</v>
      </c>
      <c r="C304" s="69">
        <v>3</v>
      </c>
      <c r="D304" s="119" t="s">
        <v>1412</v>
      </c>
      <c r="E304" s="66">
        <v>24</v>
      </c>
      <c r="F304" s="125" t="s">
        <v>175</v>
      </c>
      <c r="G304" s="69">
        <v>2409</v>
      </c>
      <c r="H304" s="126" t="s">
        <v>1297</v>
      </c>
      <c r="I304" s="69">
        <v>2409</v>
      </c>
      <c r="J304" s="126" t="s">
        <v>1373</v>
      </c>
      <c r="K304" s="126" t="s">
        <v>1298</v>
      </c>
      <c r="L304" s="34" t="s">
        <v>38</v>
      </c>
      <c r="M304" s="68" t="s">
        <v>1333</v>
      </c>
      <c r="N304" s="66">
        <v>2409014</v>
      </c>
      <c r="O304" s="68" t="s">
        <v>221</v>
      </c>
      <c r="P304" s="34" t="s">
        <v>38</v>
      </c>
      <c r="Q304" s="126" t="s">
        <v>1309</v>
      </c>
      <c r="R304" s="66">
        <v>240901400</v>
      </c>
      <c r="S304" s="126" t="s">
        <v>945</v>
      </c>
      <c r="T304" s="72" t="s">
        <v>1449</v>
      </c>
      <c r="U304" s="34">
        <v>1</v>
      </c>
      <c r="V304" s="136" t="s">
        <v>1303</v>
      </c>
      <c r="W304" s="175" t="s">
        <v>1304</v>
      </c>
      <c r="X304" s="68" t="s">
        <v>1305</v>
      </c>
      <c r="Y304" s="107"/>
      <c r="Z304" s="107"/>
      <c r="AA304" s="107"/>
      <c r="AB304" s="107"/>
      <c r="AC304" s="107"/>
      <c r="AD304" s="107"/>
      <c r="AE304" s="107"/>
      <c r="AF304" s="107"/>
      <c r="AG304" s="107"/>
      <c r="AH304" s="107"/>
      <c r="AI304" s="134"/>
      <c r="AJ304" s="134">
        <v>32076000</v>
      </c>
      <c r="AK304" s="107"/>
      <c r="AL304" s="107"/>
      <c r="AM304" s="91">
        <f t="shared" si="6"/>
        <v>32076000</v>
      </c>
      <c r="AN304" s="81" t="s">
        <v>1453</v>
      </c>
      <c r="AO304" s="6"/>
    </row>
    <row r="305" spans="1:79" ht="132" customHeight="1" x14ac:dyDescent="0.2">
      <c r="A305" s="69">
        <v>321</v>
      </c>
      <c r="B305" s="126" t="s">
        <v>1413</v>
      </c>
      <c r="C305" s="69">
        <v>3</v>
      </c>
      <c r="D305" s="119" t="s">
        <v>1412</v>
      </c>
      <c r="E305" s="66">
        <v>24</v>
      </c>
      <c r="F305" s="125" t="s">
        <v>175</v>
      </c>
      <c r="G305" s="69">
        <v>2409</v>
      </c>
      <c r="H305" s="126" t="s">
        <v>1297</v>
      </c>
      <c r="I305" s="69">
        <v>2409</v>
      </c>
      <c r="J305" s="126" t="s">
        <v>1373</v>
      </c>
      <c r="K305" s="126" t="s">
        <v>1298</v>
      </c>
      <c r="L305" s="34" t="s">
        <v>38</v>
      </c>
      <c r="M305" s="68" t="s">
        <v>1310</v>
      </c>
      <c r="N305" s="66">
        <v>2409039</v>
      </c>
      <c r="O305" s="68" t="s">
        <v>1311</v>
      </c>
      <c r="P305" s="34" t="s">
        <v>38</v>
      </c>
      <c r="Q305" s="126" t="s">
        <v>1312</v>
      </c>
      <c r="R305" s="66">
        <v>240903905</v>
      </c>
      <c r="S305" s="126" t="s">
        <v>1313</v>
      </c>
      <c r="T305" s="72" t="s">
        <v>1449</v>
      </c>
      <c r="U305" s="34">
        <v>1</v>
      </c>
      <c r="V305" s="136" t="s">
        <v>1303</v>
      </c>
      <c r="W305" s="175" t="s">
        <v>1304</v>
      </c>
      <c r="X305" s="68" t="s">
        <v>1305</v>
      </c>
      <c r="Y305" s="107"/>
      <c r="Z305" s="107"/>
      <c r="AA305" s="107"/>
      <c r="AB305" s="107"/>
      <c r="AC305" s="107"/>
      <c r="AD305" s="107"/>
      <c r="AE305" s="107"/>
      <c r="AF305" s="107"/>
      <c r="AG305" s="107"/>
      <c r="AH305" s="107"/>
      <c r="AI305" s="134"/>
      <c r="AJ305" s="134">
        <f>48410000-12670000</f>
        <v>35740000</v>
      </c>
      <c r="AK305" s="107"/>
      <c r="AL305" s="107"/>
      <c r="AM305" s="91">
        <f t="shared" si="6"/>
        <v>35740000</v>
      </c>
      <c r="AN305" s="81" t="s">
        <v>1453</v>
      </c>
      <c r="AO305" s="6"/>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row>
    <row r="306" spans="1:79" s="38" customFormat="1" ht="33" hidden="1" customHeight="1" x14ac:dyDescent="0.25">
      <c r="A306" s="92" t="s">
        <v>1316</v>
      </c>
      <c r="B306" s="93"/>
      <c r="C306" s="94"/>
      <c r="D306" s="94"/>
      <c r="E306" s="94"/>
      <c r="F306" s="94"/>
      <c r="G306" s="95"/>
      <c r="H306" s="96"/>
      <c r="I306" s="96"/>
      <c r="J306" s="96"/>
      <c r="K306" s="97"/>
      <c r="L306" s="97"/>
      <c r="M306" s="97"/>
      <c r="N306" s="95"/>
      <c r="O306" s="97"/>
      <c r="P306" s="97"/>
      <c r="Q306" s="98"/>
      <c r="R306" s="99"/>
      <c r="S306" s="98"/>
      <c r="T306" s="96"/>
      <c r="U306" s="100"/>
      <c r="V306" s="101"/>
      <c r="W306" s="102"/>
      <c r="X306" s="102"/>
      <c r="Y306" s="103">
        <f>SUM(Y8:Y285)</f>
        <v>12833687966.630001</v>
      </c>
      <c r="Z306" s="103">
        <f t="shared" ref="Z306:AM306" si="7">SUM(Z8:Z285)</f>
        <v>4387879528.3299999</v>
      </c>
      <c r="AA306" s="103">
        <f t="shared" si="7"/>
        <v>56108067</v>
      </c>
      <c r="AB306" s="103">
        <f t="shared" si="7"/>
        <v>2375738582.6599998</v>
      </c>
      <c r="AC306" s="103">
        <f t="shared" si="7"/>
        <v>7620632943.1700001</v>
      </c>
      <c r="AD306" s="103">
        <f t="shared" si="7"/>
        <v>43392723005.519997</v>
      </c>
      <c r="AE306" s="103">
        <f t="shared" si="7"/>
        <v>137945793424.22</v>
      </c>
      <c r="AF306" s="103">
        <f t="shared" si="7"/>
        <v>28315024554</v>
      </c>
      <c r="AG306" s="103">
        <f t="shared" si="7"/>
        <v>12544566918.389999</v>
      </c>
      <c r="AH306" s="103">
        <f t="shared" si="7"/>
        <v>2895159641.6800003</v>
      </c>
      <c r="AI306" s="103">
        <f t="shared" si="7"/>
        <v>40207374655.399986</v>
      </c>
      <c r="AJ306" s="103">
        <f t="shared" si="7"/>
        <v>1146429972.01</v>
      </c>
      <c r="AK306" s="103">
        <f t="shared" si="7"/>
        <v>25113738287.240002</v>
      </c>
      <c r="AL306" s="103">
        <f t="shared" si="7"/>
        <v>655606585.65999997</v>
      </c>
      <c r="AM306" s="103">
        <f t="shared" si="7"/>
        <v>319490464131.9101</v>
      </c>
      <c r="AN306" s="104"/>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row>
    <row r="307" spans="1:79" s="41" customFormat="1" ht="33" hidden="1" customHeight="1" x14ac:dyDescent="0.25">
      <c r="A307" s="73" t="s">
        <v>1314</v>
      </c>
      <c r="B307" s="74"/>
      <c r="C307" s="50"/>
      <c r="D307" s="50"/>
      <c r="E307" s="50"/>
      <c r="F307" s="50"/>
      <c r="G307" s="51"/>
      <c r="H307" s="52"/>
      <c r="I307" s="52"/>
      <c r="J307" s="52"/>
      <c r="K307" s="53"/>
      <c r="L307" s="53"/>
      <c r="M307" s="53"/>
      <c r="N307" s="51"/>
      <c r="O307" s="53"/>
      <c r="P307" s="53"/>
      <c r="Q307" s="54"/>
      <c r="R307" s="56"/>
      <c r="S307" s="54"/>
      <c r="T307" s="52"/>
      <c r="U307" s="55"/>
      <c r="V307" s="49"/>
      <c r="W307" s="29"/>
      <c r="X307" s="29"/>
      <c r="Y307" s="39">
        <f>SUM(Y286:Y305)</f>
        <v>2742159298.9199996</v>
      </c>
      <c r="Z307" s="39">
        <f t="shared" ref="Z307:AM307" si="8">SUM(Z286:Z305)</f>
        <v>0</v>
      </c>
      <c r="AA307" s="39">
        <f t="shared" si="8"/>
        <v>0</v>
      </c>
      <c r="AB307" s="39">
        <f t="shared" si="8"/>
        <v>0</v>
      </c>
      <c r="AC307" s="39">
        <f t="shared" si="8"/>
        <v>0</v>
      </c>
      <c r="AD307" s="39">
        <f t="shared" si="8"/>
        <v>0</v>
      </c>
      <c r="AE307" s="39">
        <f t="shared" si="8"/>
        <v>0</v>
      </c>
      <c r="AF307" s="39">
        <f t="shared" si="8"/>
        <v>0</v>
      </c>
      <c r="AG307" s="39">
        <f t="shared" si="8"/>
        <v>0</v>
      </c>
      <c r="AH307" s="39">
        <f t="shared" si="8"/>
        <v>0</v>
      </c>
      <c r="AI307" s="39">
        <f t="shared" si="8"/>
        <v>1047130260.64</v>
      </c>
      <c r="AJ307" s="39">
        <f t="shared" si="8"/>
        <v>5663266581.4099998</v>
      </c>
      <c r="AK307" s="39">
        <f t="shared" si="8"/>
        <v>455357884</v>
      </c>
      <c r="AL307" s="39">
        <f t="shared" si="8"/>
        <v>0</v>
      </c>
      <c r="AM307" s="39">
        <f t="shared" si="8"/>
        <v>9907914024.9699993</v>
      </c>
      <c r="AN307" s="40"/>
      <c r="AO307" s="5"/>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row>
    <row r="308" spans="1:79" ht="33" hidden="1" customHeight="1" x14ac:dyDescent="0.2">
      <c r="A308" s="26" t="s">
        <v>1454</v>
      </c>
      <c r="B308" s="42"/>
      <c r="C308" s="87"/>
      <c r="D308" s="87"/>
      <c r="E308" s="87"/>
      <c r="F308" s="87"/>
      <c r="G308" s="43"/>
      <c r="H308" s="44"/>
      <c r="I308" s="44"/>
      <c r="J308" s="44"/>
      <c r="K308" s="45"/>
      <c r="L308" s="45"/>
      <c r="M308" s="45"/>
      <c r="N308" s="43"/>
      <c r="O308" s="45"/>
      <c r="P308" s="45"/>
      <c r="Q308" s="46"/>
      <c r="R308" s="48"/>
      <c r="S308" s="46"/>
      <c r="T308" s="44"/>
      <c r="U308" s="47"/>
      <c r="V308" s="35"/>
      <c r="W308" s="27"/>
      <c r="X308" s="27"/>
      <c r="Y308" s="36">
        <f>Y306+Y307</f>
        <v>15575847265.550001</v>
      </c>
      <c r="Z308" s="36">
        <f t="shared" ref="Z308:AM308" si="9">Z306+Z307</f>
        <v>4387879528.3299999</v>
      </c>
      <c r="AA308" s="36">
        <f t="shared" si="9"/>
        <v>56108067</v>
      </c>
      <c r="AB308" s="36">
        <f t="shared" si="9"/>
        <v>2375738582.6599998</v>
      </c>
      <c r="AC308" s="36">
        <f t="shared" si="9"/>
        <v>7620632943.1700001</v>
      </c>
      <c r="AD308" s="36">
        <f t="shared" si="9"/>
        <v>43392723005.519997</v>
      </c>
      <c r="AE308" s="36">
        <f t="shared" si="9"/>
        <v>137945793424.22</v>
      </c>
      <c r="AF308" s="36">
        <f t="shared" si="9"/>
        <v>28315024554</v>
      </c>
      <c r="AG308" s="36">
        <f t="shared" si="9"/>
        <v>12544566918.389999</v>
      </c>
      <c r="AH308" s="36">
        <f t="shared" si="9"/>
        <v>2895159641.6800003</v>
      </c>
      <c r="AI308" s="36">
        <f t="shared" si="9"/>
        <v>41254504916.039986</v>
      </c>
      <c r="AJ308" s="36">
        <f t="shared" si="9"/>
        <v>6809696553.4200001</v>
      </c>
      <c r="AK308" s="36">
        <f t="shared" si="9"/>
        <v>25569096171.240002</v>
      </c>
      <c r="AL308" s="36">
        <f t="shared" si="9"/>
        <v>655606585.65999997</v>
      </c>
      <c r="AM308" s="36">
        <f t="shared" si="9"/>
        <v>329398378156.88007</v>
      </c>
      <c r="AN308" s="37"/>
    </row>
    <row r="309" spans="1:79" x14ac:dyDescent="0.2">
      <c r="AB309" s="2"/>
      <c r="AC309" s="2"/>
      <c r="AD309" s="2"/>
      <c r="AG309" s="2"/>
      <c r="AH309" s="2"/>
      <c r="AI309" s="2"/>
      <c r="AJ309" s="2"/>
      <c r="AK309" s="2"/>
      <c r="AL309" s="2"/>
    </row>
    <row r="310" spans="1:79" x14ac:dyDescent="0.2">
      <c r="AE310" s="1"/>
      <c r="AF310" s="1"/>
      <c r="AI310" s="1"/>
      <c r="AM310" s="1"/>
      <c r="AN310" s="1"/>
    </row>
    <row r="311" spans="1:79" ht="36" customHeight="1" x14ac:dyDescent="0.2">
      <c r="AM311" s="5"/>
    </row>
    <row r="313" spans="1:79" ht="42.75" customHeight="1" x14ac:dyDescent="0.2">
      <c r="Y313" s="187"/>
    </row>
    <row r="314" spans="1:79" x14ac:dyDescent="0.2">
      <c r="AL314" s="1">
        <f>AL257+AL312</f>
        <v>0</v>
      </c>
    </row>
  </sheetData>
  <autoFilter ref="A6:CA308" xr:uid="{00000000-0001-0000-0000-000000000000}">
    <filterColumn colId="1">
      <filters>
        <filter val="Instituto Departamental de Tránsito del Quindío"/>
      </filters>
    </filterColumn>
  </autoFilter>
  <mergeCells count="38">
    <mergeCell ref="C1:AL1"/>
    <mergeCell ref="C2:AL2"/>
    <mergeCell ref="C3:AL3"/>
    <mergeCell ref="C4:AL4"/>
    <mergeCell ref="X6:X7"/>
    <mergeCell ref="P5:S5"/>
    <mergeCell ref="V5:X5"/>
    <mergeCell ref="L5:O5"/>
    <mergeCell ref="C5:D5"/>
    <mergeCell ref="E5:F5"/>
    <mergeCell ref="A5:B5"/>
    <mergeCell ref="A6:A7"/>
    <mergeCell ref="B6:B7"/>
    <mergeCell ref="I6:I7"/>
    <mergeCell ref="J6:J7"/>
    <mergeCell ref="C6:C7"/>
    <mergeCell ref="D6:D7"/>
    <mergeCell ref="E6:E7"/>
    <mergeCell ref="F6:F7"/>
    <mergeCell ref="G6:G7"/>
    <mergeCell ref="H6:H7"/>
    <mergeCell ref="G5:K5"/>
    <mergeCell ref="K6:K7"/>
    <mergeCell ref="T5:U5"/>
    <mergeCell ref="T6:T7"/>
    <mergeCell ref="Y5:AL5"/>
    <mergeCell ref="L6:L7"/>
    <mergeCell ref="M6:M7"/>
    <mergeCell ref="N6:N7"/>
    <mergeCell ref="O6:O7"/>
    <mergeCell ref="P6:P7"/>
    <mergeCell ref="Q6:Q7"/>
    <mergeCell ref="R6:R7"/>
    <mergeCell ref="W6:W7"/>
    <mergeCell ref="S6:S7"/>
    <mergeCell ref="U6:U7"/>
    <mergeCell ref="V6:V7"/>
    <mergeCell ref="AN6:AN7"/>
  </mergeCells>
  <phoneticPr fontId="9" type="noConversion"/>
  <conditionalFormatting sqref="R201">
    <cfRule type="duplicateValues" dxfId="61" priority="74"/>
  </conditionalFormatting>
  <conditionalFormatting sqref="R209">
    <cfRule type="duplicateValues" dxfId="60" priority="72"/>
  </conditionalFormatting>
  <conditionalFormatting sqref="R209">
    <cfRule type="duplicateValues" dxfId="59" priority="73"/>
  </conditionalFormatting>
  <conditionalFormatting sqref="R216">
    <cfRule type="duplicateValues" dxfId="58" priority="70"/>
  </conditionalFormatting>
  <conditionalFormatting sqref="R216">
    <cfRule type="duplicateValues" dxfId="57" priority="71"/>
  </conditionalFormatting>
  <conditionalFormatting sqref="R73">
    <cfRule type="duplicateValues" dxfId="56" priority="68"/>
  </conditionalFormatting>
  <conditionalFormatting sqref="R90">
    <cfRule type="duplicateValues" dxfId="55" priority="67"/>
  </conditionalFormatting>
  <conditionalFormatting sqref="R91">
    <cfRule type="duplicateValues" dxfId="54" priority="66"/>
  </conditionalFormatting>
  <conditionalFormatting sqref="R191">
    <cfRule type="duplicateValues" dxfId="53" priority="64"/>
  </conditionalFormatting>
  <conditionalFormatting sqref="R191">
    <cfRule type="duplicateValues" dxfId="52" priority="65"/>
  </conditionalFormatting>
  <conditionalFormatting sqref="R93">
    <cfRule type="duplicateValues" dxfId="51" priority="63"/>
  </conditionalFormatting>
  <conditionalFormatting sqref="R94">
    <cfRule type="duplicateValues" dxfId="50" priority="59"/>
  </conditionalFormatting>
  <conditionalFormatting sqref="R94">
    <cfRule type="duplicateValues" dxfId="49" priority="60"/>
  </conditionalFormatting>
  <conditionalFormatting sqref="R94">
    <cfRule type="duplicateValues" dxfId="48" priority="61"/>
  </conditionalFormatting>
  <conditionalFormatting sqref="R98">
    <cfRule type="duplicateValues" dxfId="47" priority="57"/>
  </conditionalFormatting>
  <conditionalFormatting sqref="R98">
    <cfRule type="duplicateValues" dxfId="46" priority="58"/>
  </conditionalFormatting>
  <conditionalFormatting sqref="R99">
    <cfRule type="duplicateValues" dxfId="45" priority="55"/>
  </conditionalFormatting>
  <conditionalFormatting sqref="R99">
    <cfRule type="duplicateValues" dxfId="44" priority="56"/>
  </conditionalFormatting>
  <conditionalFormatting sqref="R100">
    <cfRule type="duplicateValues" dxfId="43" priority="52"/>
  </conditionalFormatting>
  <conditionalFormatting sqref="R100">
    <cfRule type="duplicateValues" dxfId="42" priority="53"/>
  </conditionalFormatting>
  <conditionalFormatting sqref="R105">
    <cfRule type="duplicateValues" dxfId="41" priority="50"/>
  </conditionalFormatting>
  <conditionalFormatting sqref="R105">
    <cfRule type="duplicateValues" dxfId="40" priority="51"/>
  </conditionalFormatting>
  <conditionalFormatting sqref="R106">
    <cfRule type="duplicateValues" dxfId="39" priority="48"/>
  </conditionalFormatting>
  <conditionalFormatting sqref="R106">
    <cfRule type="duplicateValues" dxfId="38" priority="49"/>
  </conditionalFormatting>
  <conditionalFormatting sqref="R107">
    <cfRule type="duplicateValues" dxfId="37" priority="46"/>
  </conditionalFormatting>
  <conditionalFormatting sqref="R107">
    <cfRule type="duplicateValues" dxfId="36" priority="47"/>
  </conditionalFormatting>
  <conditionalFormatting sqref="R108">
    <cfRule type="duplicateValues" dxfId="35" priority="44"/>
  </conditionalFormatting>
  <conditionalFormatting sqref="R108">
    <cfRule type="duplicateValues" dxfId="34" priority="45"/>
  </conditionalFormatting>
  <conditionalFormatting sqref="R217">
    <cfRule type="duplicateValues" dxfId="33" priority="42"/>
  </conditionalFormatting>
  <conditionalFormatting sqref="R217">
    <cfRule type="duplicateValues" dxfId="32" priority="43"/>
  </conditionalFormatting>
  <conditionalFormatting sqref="R92">
    <cfRule type="duplicateValues" dxfId="31" priority="75"/>
  </conditionalFormatting>
  <conditionalFormatting sqref="P73">
    <cfRule type="duplicateValues" dxfId="30" priority="31"/>
  </conditionalFormatting>
  <conditionalFormatting sqref="P90">
    <cfRule type="duplicateValues" dxfId="29" priority="30"/>
  </conditionalFormatting>
  <conditionalFormatting sqref="P91">
    <cfRule type="duplicateValues" dxfId="28" priority="29"/>
  </conditionalFormatting>
  <conditionalFormatting sqref="P92">
    <cfRule type="duplicateValues" dxfId="27" priority="28"/>
  </conditionalFormatting>
  <conditionalFormatting sqref="P93">
    <cfRule type="duplicateValues" dxfId="26" priority="27"/>
  </conditionalFormatting>
  <conditionalFormatting sqref="P94">
    <cfRule type="duplicateValues" dxfId="25" priority="24"/>
  </conditionalFormatting>
  <conditionalFormatting sqref="P94">
    <cfRule type="duplicateValues" dxfId="24" priority="25"/>
  </conditionalFormatting>
  <conditionalFormatting sqref="P94">
    <cfRule type="duplicateValues" dxfId="23" priority="26"/>
  </conditionalFormatting>
  <conditionalFormatting sqref="P98">
    <cfRule type="duplicateValues" dxfId="22" priority="22"/>
  </conditionalFormatting>
  <conditionalFormatting sqref="P98">
    <cfRule type="duplicateValues" dxfId="21" priority="23"/>
  </conditionalFormatting>
  <conditionalFormatting sqref="P99">
    <cfRule type="duplicateValues" dxfId="20" priority="20"/>
  </conditionalFormatting>
  <conditionalFormatting sqref="P99">
    <cfRule type="duplicateValues" dxfId="19" priority="21"/>
  </conditionalFormatting>
  <conditionalFormatting sqref="P100">
    <cfRule type="duplicateValues" dxfId="18" priority="18"/>
  </conditionalFormatting>
  <conditionalFormatting sqref="P100">
    <cfRule type="duplicateValues" dxfId="17" priority="19"/>
  </conditionalFormatting>
  <conditionalFormatting sqref="P105">
    <cfRule type="duplicateValues" dxfId="16" priority="16"/>
  </conditionalFormatting>
  <conditionalFormatting sqref="P105">
    <cfRule type="duplicateValues" dxfId="15" priority="17"/>
  </conditionalFormatting>
  <conditionalFormatting sqref="P106">
    <cfRule type="duplicateValues" dxfId="14" priority="14"/>
  </conditionalFormatting>
  <conditionalFormatting sqref="P106">
    <cfRule type="duplicateValues" dxfId="13" priority="15"/>
  </conditionalFormatting>
  <conditionalFormatting sqref="P107">
    <cfRule type="duplicateValues" dxfId="12" priority="12"/>
  </conditionalFormatting>
  <conditionalFormatting sqref="P107">
    <cfRule type="duplicateValues" dxfId="11" priority="13"/>
  </conditionalFormatting>
  <conditionalFormatting sqref="P108">
    <cfRule type="duplicateValues" dxfId="10" priority="10"/>
  </conditionalFormatting>
  <conditionalFormatting sqref="P108">
    <cfRule type="duplicateValues" dxfId="9" priority="11"/>
  </conditionalFormatting>
  <conditionalFormatting sqref="P191">
    <cfRule type="duplicateValues" dxfId="8" priority="8"/>
  </conditionalFormatting>
  <conditionalFormatting sqref="P191">
    <cfRule type="duplicateValues" dxfId="7" priority="9"/>
  </conditionalFormatting>
  <conditionalFormatting sqref="P201">
    <cfRule type="duplicateValues" dxfId="6" priority="7"/>
  </conditionalFormatting>
  <conditionalFormatting sqref="P209">
    <cfRule type="duplicateValues" dxfId="5" priority="5"/>
  </conditionalFormatting>
  <conditionalFormatting sqref="P209">
    <cfRule type="duplicateValues" dxfId="4" priority="6"/>
  </conditionalFormatting>
  <conditionalFormatting sqref="P216">
    <cfRule type="duplicateValues" dxfId="3" priority="3"/>
  </conditionalFormatting>
  <conditionalFormatting sqref="P216">
    <cfRule type="duplicateValues" dxfId="2" priority="4"/>
  </conditionalFormatting>
  <conditionalFormatting sqref="P217">
    <cfRule type="duplicateValues" dxfId="1" priority="1"/>
  </conditionalFormatting>
  <conditionalFormatting sqref="P217">
    <cfRule type="duplicateValues" dxfId="0" priority="2"/>
  </conditionalFormatting>
  <pageMargins left="0.7" right="0.7" top="0.75" bottom="0.75" header="0.3" footer="0.3"/>
  <pageSetup orientation="portrait" horizontalDpi="360" verticalDpi="360" r:id="rId1"/>
  <ignoredErrors>
    <ignoredError sqref="R35 R29 N29 N43 N44 R74 R75:R76 R77:R80 R81:R82 R90:R93 R100 R101:R102 R103 R104 R105:R106 R110:R111 R120 R121:R123 R124:R126 N198:N200 R199:R200 R44 R84 R98:R99 R95:R96" numberStoredAsText="1"/>
  </ignoredErrors>
  <drawing r:id="rId2"/>
  <legacyDrawing r:id="rId3"/>
  <controls>
    <mc:AlternateContent xmlns:mc="http://schemas.openxmlformats.org/markup-compatibility/2006">
      <mc:Choice Requires="x14">
        <control shapeId="1032" r:id="rId4" name="Control 8">
          <controlPr defaultSize="0" r:id="rId5">
            <anchor moveWithCells="1">
              <from>
                <xdr:col>37</xdr:col>
                <xdr:colOff>66675</xdr:colOff>
                <xdr:row>304</xdr:row>
                <xdr:rowOff>1095375</xdr:rowOff>
              </from>
              <to>
                <xdr:col>37</xdr:col>
                <xdr:colOff>342900</xdr:colOff>
                <xdr:row>304</xdr:row>
                <xdr:rowOff>1438275</xdr:rowOff>
              </to>
            </anchor>
          </controlPr>
        </control>
      </mc:Choice>
      <mc:Fallback>
        <control shapeId="1032" r:id="rId4" name="Control 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7"/>
  <sheetViews>
    <sheetView showGridLines="0" tabSelected="1" zoomScale="70" zoomScaleNormal="70" workbookViewId="0">
      <selection activeCell="E16" sqref="E16"/>
    </sheetView>
  </sheetViews>
  <sheetFormatPr baseColWidth="10" defaultColWidth="11.42578125" defaultRowHeight="15" x14ac:dyDescent="0.2"/>
  <cols>
    <col min="1" max="1" width="18.5703125" style="9" customWidth="1"/>
    <col min="2" max="2" width="13.85546875" style="9" customWidth="1"/>
    <col min="3" max="3" width="18.140625" style="9" customWidth="1"/>
    <col min="4" max="4" width="62.85546875" style="10" customWidth="1"/>
    <col min="5" max="5" width="34.42578125" style="10" customWidth="1"/>
    <col min="6" max="7" width="11.42578125" style="2"/>
    <col min="8" max="8" width="21.85546875" style="1" bestFit="1" customWidth="1"/>
    <col min="9" max="16384" width="11.42578125" style="1"/>
  </cols>
  <sheetData>
    <row r="1" spans="1:7" ht="26.25" customHeight="1" x14ac:dyDescent="0.2">
      <c r="A1" s="236" t="s">
        <v>1464</v>
      </c>
      <c r="B1" s="237"/>
      <c r="C1" s="237"/>
      <c r="D1" s="237"/>
      <c r="E1" s="238"/>
      <c r="F1" s="62"/>
    </row>
    <row r="2" spans="1:7" ht="26.25" customHeight="1" x14ac:dyDescent="0.2">
      <c r="A2" s="239"/>
      <c r="B2" s="240"/>
      <c r="C2" s="240"/>
      <c r="D2" s="240"/>
      <c r="E2" s="241"/>
      <c r="F2" s="62"/>
    </row>
    <row r="3" spans="1:7" ht="26.25" customHeight="1" x14ac:dyDescent="0.2">
      <c r="A3" s="242"/>
      <c r="B3" s="243"/>
      <c r="C3" s="243"/>
      <c r="D3" s="243"/>
      <c r="E3" s="244"/>
      <c r="F3" s="62"/>
    </row>
    <row r="4" spans="1:7" ht="24.75" customHeight="1" x14ac:dyDescent="0.2">
      <c r="A4" s="18"/>
      <c r="B4" s="19"/>
      <c r="C4" s="19"/>
      <c r="D4" s="19"/>
      <c r="E4" s="19"/>
    </row>
    <row r="5" spans="1:7" s="4" customFormat="1" ht="56.25" customHeight="1" x14ac:dyDescent="0.25">
      <c r="A5" s="245" t="s">
        <v>5</v>
      </c>
      <c r="B5" s="245" t="s">
        <v>6</v>
      </c>
      <c r="C5" s="247" t="s">
        <v>7</v>
      </c>
      <c r="D5" s="247"/>
      <c r="E5" s="205" t="s">
        <v>12</v>
      </c>
      <c r="F5" s="3"/>
      <c r="G5" s="3"/>
    </row>
    <row r="6" spans="1:7" ht="24" customHeight="1" x14ac:dyDescent="0.2">
      <c r="A6" s="246"/>
      <c r="B6" s="246"/>
      <c r="C6" s="248"/>
      <c r="D6" s="248"/>
      <c r="E6" s="35" t="s">
        <v>1422</v>
      </c>
    </row>
    <row r="7" spans="1:7" s="7" customFormat="1" ht="18.75" customHeight="1" x14ac:dyDescent="0.2">
      <c r="A7" s="9"/>
      <c r="B7" s="9"/>
      <c r="C7" s="9"/>
      <c r="D7" s="10"/>
      <c r="E7" s="57"/>
      <c r="F7" s="14"/>
      <c r="G7" s="14"/>
    </row>
    <row r="8" spans="1:7" ht="24" customHeight="1" x14ac:dyDescent="0.2">
      <c r="A8" s="24" t="s">
        <v>1296</v>
      </c>
      <c r="B8" s="188"/>
      <c r="C8" s="190"/>
      <c r="D8" s="191"/>
      <c r="E8" s="189">
        <f>E9</f>
        <v>110210000</v>
      </c>
    </row>
    <row r="9" spans="1:7" ht="24" customHeight="1" x14ac:dyDescent="0.2">
      <c r="A9" s="200">
        <v>3</v>
      </c>
      <c r="B9" s="192" t="s">
        <v>174</v>
      </c>
      <c r="C9" s="192"/>
      <c r="D9" s="192"/>
      <c r="E9" s="193">
        <f>E10</f>
        <v>110210000</v>
      </c>
    </row>
    <row r="10" spans="1:7" ht="24" customHeight="1" x14ac:dyDescent="0.2">
      <c r="A10" s="60"/>
      <c r="B10" s="195">
        <v>24</v>
      </c>
      <c r="C10" s="197" t="s">
        <v>175</v>
      </c>
      <c r="D10" s="196"/>
      <c r="E10" s="194">
        <f>E11</f>
        <v>110210000</v>
      </c>
    </row>
    <row r="11" spans="1:7" ht="54" customHeight="1" x14ac:dyDescent="0.2">
      <c r="A11" s="61"/>
      <c r="B11" s="32"/>
      <c r="C11" s="25">
        <v>2409</v>
      </c>
      <c r="D11" s="63" t="s">
        <v>1297</v>
      </c>
      <c r="E11" s="64">
        <f>SUM('SGTO POAI VIGENCIA 2021'!AM302:AM305)</f>
        <v>110210000</v>
      </c>
      <c r="F11" s="1"/>
      <c r="G11" s="1"/>
    </row>
    <row r="12" spans="1:7" s="22" customFormat="1" ht="23.25" customHeight="1" x14ac:dyDescent="0.2">
      <c r="A12" s="9"/>
      <c r="B12" s="9"/>
      <c r="C12" s="9"/>
      <c r="D12" s="10"/>
      <c r="E12" s="58"/>
      <c r="F12" s="14"/>
      <c r="G12" s="14"/>
    </row>
    <row r="13" spans="1:7" s="17" customFormat="1" ht="30" customHeight="1" x14ac:dyDescent="0.25">
      <c r="A13" s="24" t="s">
        <v>1314</v>
      </c>
      <c r="B13" s="24"/>
      <c r="C13" s="24"/>
      <c r="D13" s="24"/>
      <c r="E13" s="83">
        <f>E8</f>
        <v>110210000</v>
      </c>
    </row>
    <row r="14" spans="1:7" s="17" customFormat="1" ht="16.5" thickBot="1" x14ac:dyDescent="0.3">
      <c r="A14" s="20"/>
      <c r="B14" s="20"/>
      <c r="C14" s="20"/>
      <c r="D14" s="21"/>
      <c r="E14" s="59"/>
    </row>
    <row r="15" spans="1:7" s="17" customFormat="1" ht="30" customHeight="1" thickBot="1" x14ac:dyDescent="0.3">
      <c r="A15" s="30" t="s">
        <v>1315</v>
      </c>
      <c r="B15" s="31"/>
      <c r="C15" s="31"/>
      <c r="D15" s="198"/>
      <c r="E15" s="199">
        <f>E13</f>
        <v>110210000</v>
      </c>
    </row>
    <row r="17" ht="28.5" customHeight="1" x14ac:dyDescent="0.2"/>
  </sheetData>
  <mergeCells count="4">
    <mergeCell ref="A1:E3"/>
    <mergeCell ref="A5:A6"/>
    <mergeCell ref="B5:B6"/>
    <mergeCell ref="C5:D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SGTO POAI VIGENCIA 2021</vt:lpstr>
      <vt:lpstr>RESUMEN POR UNIDAD</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Bryan</cp:lastModifiedBy>
  <cp:revision/>
  <dcterms:created xsi:type="dcterms:W3CDTF">2020-08-12T15:20:51Z</dcterms:created>
  <dcterms:modified xsi:type="dcterms:W3CDTF">2023-06-02T22:14:06Z</dcterms:modified>
</cp:coreProperties>
</file>