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Gobernación 2021\SGTO PDD 2021\SGTO PDD II TRIMESTRE 2021\"/>
    </mc:Choice>
  </mc:AlternateContent>
  <bookViews>
    <workbookView xWindow="0" yWindow="0" windowWidth="24000" windowHeight="9645"/>
  </bookViews>
  <sheets>
    <sheet name="SGTO POAI -JUNIO-2021" sheetId="1" r:id="rId1"/>
    <sheet name="RESUMEN POR UNIDAD" sheetId="5" r:id="rId2"/>
    <sheet name="UNIDADES + FUENTE" sheetId="6" r:id="rId3"/>
    <sheet name="PROGRAMAS" sheetId="9" r:id="rId4"/>
    <sheet name="EJE ESTRATEGICO" sheetId="8" r:id="rId5"/>
    <sheet name="PROYECTOS" sheetId="10" r:id="rId6"/>
  </sheets>
  <definedNames>
    <definedName name="_1._Apoyo_con_equipos_para_la_seguridad_vial_Licenciamiento_de_software_para_comunicaciones">#REF!</definedName>
    <definedName name="_xlnm._FilterDatabase" localSheetId="1" hidden="1">'RESUMEN POR UNIDAD'!$E$1:$E$186</definedName>
    <definedName name="_xlnm._FilterDatabase" localSheetId="0" hidden="1">'SGTO POAI -JUNIO-2021'!$A$336:$BY$336</definedName>
    <definedName name="aa">#REF!</definedName>
    <definedName name="CODIGO_DIVIPOLA">#REF!</definedName>
    <definedName name="DboREGISTRO_LEY_617">#REF!</definedName>
    <definedName name="ññ">#REF!</definedName>
  </definedNames>
  <calcPr calcId="162913"/>
</workbook>
</file>

<file path=xl/calcChain.xml><?xml version="1.0" encoding="utf-8"?>
<calcChain xmlns="http://schemas.openxmlformats.org/spreadsheetml/2006/main">
  <c r="AJ255" i="1" l="1"/>
  <c r="AF449" i="1" l="1"/>
  <c r="AI442" i="1" l="1"/>
  <c r="AI441" i="1" s="1"/>
  <c r="AI440" i="1" s="1"/>
  <c r="AI439" i="1" s="1"/>
  <c r="AF442" i="1"/>
  <c r="Z394" i="1" l="1"/>
  <c r="G108" i="6" l="1"/>
  <c r="G111" i="6"/>
  <c r="G110" i="6" s="1"/>
  <c r="AG471" i="1" l="1"/>
  <c r="AG470" i="1"/>
  <c r="AG467" i="1"/>
  <c r="AG466" i="1"/>
  <c r="V471" i="1"/>
  <c r="V470" i="1"/>
  <c r="V466" i="1"/>
  <c r="AF309" i="1" l="1"/>
  <c r="AF308" i="1"/>
  <c r="AJ182" i="1" l="1"/>
  <c r="AJ176" i="1"/>
  <c r="AJ172" i="1"/>
  <c r="AI169" i="1"/>
  <c r="G101" i="6" s="1"/>
  <c r="AI181" i="1"/>
  <c r="G102" i="6" s="1"/>
  <c r="G100" i="6" l="1"/>
  <c r="G99" i="6" s="1"/>
  <c r="G98" i="6" s="1"/>
  <c r="AI168" i="1"/>
  <c r="AI167" i="1" s="1"/>
  <c r="AI166" i="1" s="1"/>
  <c r="AH341" i="1" l="1"/>
  <c r="Z341" i="1"/>
  <c r="AJ433" i="1" l="1"/>
  <c r="AA394" i="1"/>
  <c r="V312" i="1" l="1"/>
  <c r="AG145" i="1" l="1"/>
  <c r="AH41" i="1" l="1"/>
  <c r="AF424" i="1" l="1"/>
  <c r="AF423" i="1"/>
  <c r="AF409" i="1"/>
  <c r="Y394" i="1" l="1"/>
  <c r="Z393" i="1"/>
  <c r="Z388" i="1"/>
  <c r="Z349" i="1"/>
  <c r="Z347" i="1"/>
  <c r="AA392" i="1"/>
  <c r="AH382" i="1"/>
  <c r="AF331" i="1"/>
  <c r="AF319" i="1"/>
  <c r="AF306" i="1"/>
  <c r="AF303" i="1"/>
  <c r="AF296" i="1"/>
  <c r="AF293" i="1"/>
  <c r="AF290" i="1"/>
  <c r="AF289" i="1"/>
  <c r="AF244" i="1"/>
  <c r="AF243" i="1"/>
  <c r="AF242" i="1"/>
  <c r="AF229" i="1" l="1"/>
  <c r="AF209" i="1"/>
  <c r="AF173" i="1"/>
  <c r="AG158" i="1"/>
  <c r="AF135" i="1"/>
  <c r="W111" i="1"/>
  <c r="AF129" i="1"/>
  <c r="AF128" i="1"/>
  <c r="AF126" i="1"/>
  <c r="AF125" i="1"/>
  <c r="AF121" i="1"/>
  <c r="AF120" i="1"/>
  <c r="AF119" i="1"/>
  <c r="AF116" i="1"/>
  <c r="AF112" i="1"/>
  <c r="AF108" i="1"/>
  <c r="AF105" i="1"/>
  <c r="AF106" i="1"/>
  <c r="AF104" i="1"/>
  <c r="AF103" i="1"/>
  <c r="AF102" i="1"/>
  <c r="AF99" i="1"/>
  <c r="AF94" i="1"/>
  <c r="AF92" i="1"/>
  <c r="AF84" i="1"/>
  <c r="AF65" i="1"/>
  <c r="AF57" i="1"/>
  <c r="AF51" i="1"/>
  <c r="AE76" i="1" l="1"/>
  <c r="V77" i="1"/>
  <c r="V60" i="1"/>
  <c r="AF23" i="1"/>
  <c r="AJ23" i="1" s="1"/>
  <c r="V464" i="1" l="1"/>
  <c r="AL124" i="1"/>
  <c r="AL101" i="1"/>
  <c r="AL100" i="1" s="1"/>
  <c r="C209" i="6" l="1"/>
  <c r="B180" i="5"/>
  <c r="K135" i="6"/>
  <c r="K134" i="6" s="1"/>
  <c r="K133" i="6" s="1"/>
  <c r="AB262" i="1" l="1"/>
  <c r="AD242" i="1"/>
  <c r="AJ69" i="1" l="1"/>
  <c r="AJ112" i="1"/>
  <c r="AJ252" i="1" l="1"/>
  <c r="AJ249" i="1" l="1"/>
  <c r="AJ222" i="1"/>
  <c r="AJ221" i="1"/>
  <c r="AJ220" i="1"/>
  <c r="AJ218" i="1"/>
  <c r="AJ217" i="1"/>
  <c r="AJ216" i="1"/>
  <c r="AJ214" i="1"/>
  <c r="AJ212" i="1"/>
  <c r="AJ211" i="1"/>
  <c r="AJ205" i="1"/>
  <c r="AJ204" i="1"/>
  <c r="AJ200" i="1"/>
  <c r="AJ199" i="1"/>
  <c r="AJ196" i="1"/>
  <c r="AJ195" i="1"/>
  <c r="AJ194" i="1"/>
  <c r="AJ192" i="1"/>
  <c r="AJ191" i="1"/>
  <c r="AJ189" i="1"/>
  <c r="AJ187" i="1"/>
  <c r="AJ185" i="1"/>
  <c r="AJ184" i="1"/>
  <c r="AJ180" i="1"/>
  <c r="AJ179" i="1"/>
  <c r="AJ178" i="1"/>
  <c r="AJ177" i="1"/>
  <c r="AJ175" i="1"/>
  <c r="AJ174" i="1"/>
  <c r="AJ173" i="1"/>
  <c r="AJ171" i="1"/>
  <c r="AJ170" i="1"/>
  <c r="V141" i="1" l="1"/>
  <c r="AF141" i="1"/>
  <c r="AF140" i="1" l="1"/>
  <c r="V140" i="1"/>
  <c r="V142" i="1" l="1"/>
  <c r="AF136" i="1"/>
  <c r="V136" i="1"/>
  <c r="AJ135" i="1"/>
  <c r="AF138" i="1"/>
  <c r="AF262" i="1"/>
  <c r="AF259" i="1"/>
  <c r="AJ253" i="1"/>
  <c r="AF387" i="1"/>
  <c r="AF383" i="1"/>
  <c r="AF347" i="1"/>
  <c r="AB264" i="1"/>
  <c r="AB251" i="1"/>
  <c r="AB240" i="1"/>
  <c r="AJ240" i="1" s="1"/>
  <c r="AB237" i="1"/>
  <c r="AF157" i="1"/>
  <c r="AJ70" i="1"/>
  <c r="AF48" i="1"/>
  <c r="AF42" i="1"/>
  <c r="AF41" i="1"/>
  <c r="A120" i="10" l="1"/>
  <c r="A119" i="10"/>
  <c r="B8" i="5" l="1"/>
  <c r="AA357" i="1" l="1"/>
  <c r="AA356" i="1"/>
  <c r="AA355" i="1"/>
  <c r="AA391" i="1" l="1"/>
  <c r="Y393" i="1" l="1"/>
  <c r="Y386" i="1" l="1"/>
  <c r="Y373" i="1"/>
  <c r="Y347" i="1"/>
  <c r="AF32" i="1" l="1"/>
  <c r="AF33" i="1"/>
  <c r="E191" i="6" l="1"/>
  <c r="E190" i="6"/>
  <c r="C140" i="6"/>
  <c r="E46" i="6"/>
  <c r="D46" i="6"/>
  <c r="D45" i="6"/>
  <c r="C45" i="6"/>
  <c r="D54" i="5"/>
  <c r="C6" i="9" s="1"/>
  <c r="C54" i="5"/>
  <c r="D182" i="5"/>
  <c r="C58" i="9" s="1"/>
  <c r="C182" i="5"/>
  <c r="B58" i="9" s="1"/>
  <c r="C181" i="5"/>
  <c r="B181" i="5"/>
  <c r="A180" i="5"/>
  <c r="D177" i="5"/>
  <c r="C59" i="9" s="1"/>
  <c r="C177" i="5"/>
  <c r="B59" i="9" s="1"/>
  <c r="C176" i="5"/>
  <c r="B176" i="5"/>
  <c r="D175" i="5"/>
  <c r="C57" i="9" s="1"/>
  <c r="C175" i="5"/>
  <c r="B57" i="9" s="1"/>
  <c r="C174" i="5"/>
  <c r="B174" i="5"/>
  <c r="B173" i="5"/>
  <c r="A173" i="5"/>
  <c r="D172" i="5"/>
  <c r="C53" i="9" s="1"/>
  <c r="C172" i="5"/>
  <c r="B53" i="9" s="1"/>
  <c r="C171" i="5"/>
  <c r="B171" i="5"/>
  <c r="D170" i="5"/>
  <c r="C54" i="9" s="1"/>
  <c r="C170" i="5"/>
  <c r="B54" i="9" s="1"/>
  <c r="C169" i="5"/>
  <c r="B169" i="5"/>
  <c r="B168" i="5"/>
  <c r="E211" i="6"/>
  <c r="D211" i="6"/>
  <c r="D210" i="6"/>
  <c r="C210" i="6"/>
  <c r="B209" i="6"/>
  <c r="E204" i="6"/>
  <c r="D204" i="6"/>
  <c r="D203" i="6"/>
  <c r="C203" i="6"/>
  <c r="E202" i="6"/>
  <c r="D202" i="6"/>
  <c r="D201" i="6"/>
  <c r="C201" i="6"/>
  <c r="C200" i="6"/>
  <c r="B200" i="6"/>
  <c r="E199" i="6"/>
  <c r="D199" i="6"/>
  <c r="E198" i="6"/>
  <c r="D198" i="6"/>
  <c r="D197" i="6"/>
  <c r="C197" i="6"/>
  <c r="C196" i="6"/>
  <c r="B196" i="6"/>
  <c r="A168" i="5" l="1"/>
  <c r="D191" i="6"/>
  <c r="D190" i="6"/>
  <c r="D189" i="6"/>
  <c r="C189" i="6"/>
  <c r="C188" i="6"/>
  <c r="B188" i="6"/>
  <c r="D165" i="5"/>
  <c r="C55" i="9" s="1"/>
  <c r="C165" i="5"/>
  <c r="B55" i="9" s="1"/>
  <c r="D164" i="5"/>
  <c r="C164" i="5"/>
  <c r="C163" i="5"/>
  <c r="B163" i="5"/>
  <c r="B162" i="5"/>
  <c r="A162" i="5"/>
  <c r="E181" i="6"/>
  <c r="D181" i="6"/>
  <c r="D180" i="6"/>
  <c r="C180" i="6"/>
  <c r="C179" i="6"/>
  <c r="B179" i="6"/>
  <c r="E178" i="6"/>
  <c r="D178" i="6"/>
  <c r="E177" i="6"/>
  <c r="D177" i="6"/>
  <c r="D176" i="6"/>
  <c r="C176" i="6"/>
  <c r="C175" i="6"/>
  <c r="B175" i="6"/>
  <c r="E174" i="6"/>
  <c r="D174" i="6"/>
  <c r="E173" i="6"/>
  <c r="D173" i="6"/>
  <c r="D172" i="6"/>
  <c r="C172" i="6"/>
  <c r="D157" i="5"/>
  <c r="C46" i="9" s="1"/>
  <c r="C157" i="5"/>
  <c r="C156" i="5"/>
  <c r="B156" i="5"/>
  <c r="B155" i="5"/>
  <c r="A155" i="5"/>
  <c r="D154" i="5"/>
  <c r="C34" i="9" s="1"/>
  <c r="D153" i="5"/>
  <c r="C33" i="9" s="1"/>
  <c r="C154" i="5"/>
  <c r="C153" i="5"/>
  <c r="C152" i="5"/>
  <c r="B152" i="5"/>
  <c r="B151" i="5"/>
  <c r="A151" i="5"/>
  <c r="D150" i="5"/>
  <c r="C13" i="9" s="1"/>
  <c r="D149" i="5"/>
  <c r="C12" i="9" s="1"/>
  <c r="C150" i="5"/>
  <c r="C149" i="5"/>
  <c r="C148" i="5"/>
  <c r="B148" i="5"/>
  <c r="B147" i="5"/>
  <c r="A147" i="5"/>
  <c r="C171" i="6"/>
  <c r="B171" i="6"/>
  <c r="E166" i="6"/>
  <c r="E165" i="6"/>
  <c r="E164" i="6"/>
  <c r="C7" i="9" s="1"/>
  <c r="D166" i="6"/>
  <c r="D165" i="6"/>
  <c r="D164" i="6"/>
  <c r="D163" i="6"/>
  <c r="C163" i="6"/>
  <c r="C162" i="6"/>
  <c r="B162" i="6"/>
  <c r="D144" i="5"/>
  <c r="D143" i="5"/>
  <c r="D142" i="5"/>
  <c r="C144" i="5"/>
  <c r="C143" i="5"/>
  <c r="C142" i="5"/>
  <c r="C141" i="5"/>
  <c r="B141" i="5"/>
  <c r="B140" i="5"/>
  <c r="A140" i="5"/>
  <c r="D137" i="5"/>
  <c r="D136" i="5"/>
  <c r="C137" i="5"/>
  <c r="C136" i="5"/>
  <c r="C135" i="5"/>
  <c r="B135" i="5"/>
  <c r="B134" i="5"/>
  <c r="A134" i="5"/>
  <c r="D133" i="5"/>
  <c r="C32" i="9" s="1"/>
  <c r="C133" i="5"/>
  <c r="C132" i="5"/>
  <c r="B132" i="5"/>
  <c r="D131" i="5"/>
  <c r="C131" i="5"/>
  <c r="C130" i="5"/>
  <c r="B130" i="5"/>
  <c r="B129" i="5"/>
  <c r="A129" i="5"/>
  <c r="E157" i="6"/>
  <c r="E156" i="6"/>
  <c r="D157" i="6"/>
  <c r="D156" i="6"/>
  <c r="D155" i="6"/>
  <c r="C155" i="6"/>
  <c r="C154" i="6"/>
  <c r="C45" i="9" s="1"/>
  <c r="C6" i="8" s="1"/>
  <c r="B154" i="6"/>
  <c r="E153" i="6"/>
  <c r="D153" i="6"/>
  <c r="D152" i="6"/>
  <c r="C152" i="6"/>
  <c r="E151" i="6"/>
  <c r="D151" i="6"/>
  <c r="D150" i="6"/>
  <c r="C150" i="6"/>
  <c r="C149" i="6"/>
  <c r="B149" i="6"/>
  <c r="E148" i="6"/>
  <c r="E147" i="6"/>
  <c r="E146" i="6"/>
  <c r="D148" i="6"/>
  <c r="D147" i="6"/>
  <c r="D146" i="6"/>
  <c r="D145" i="6"/>
  <c r="C145" i="6"/>
  <c r="E144" i="6"/>
  <c r="D144" i="6"/>
  <c r="D143" i="6"/>
  <c r="C143" i="6"/>
  <c r="E142" i="6"/>
  <c r="D142" i="6"/>
  <c r="D141" i="6"/>
  <c r="C141" i="6"/>
  <c r="B140" i="6"/>
  <c r="D128" i="5"/>
  <c r="C19" i="9" s="1"/>
  <c r="D127" i="5"/>
  <c r="C18" i="9" s="1"/>
  <c r="D126" i="5"/>
  <c r="C17" i="9" s="1"/>
  <c r="C128" i="5"/>
  <c r="C127" i="5"/>
  <c r="C126" i="5"/>
  <c r="C125" i="5"/>
  <c r="B125" i="5"/>
  <c r="D124" i="5"/>
  <c r="C124" i="5"/>
  <c r="C123" i="5"/>
  <c r="B123" i="5"/>
  <c r="D122" i="5"/>
  <c r="C8" i="9" s="1"/>
  <c r="C122" i="5"/>
  <c r="C121" i="5"/>
  <c r="B121" i="5"/>
  <c r="B120" i="5"/>
  <c r="A120" i="5"/>
  <c r="E135" i="6"/>
  <c r="D135" i="6"/>
  <c r="D134" i="6"/>
  <c r="C134" i="6"/>
  <c r="C133" i="6"/>
  <c r="B133" i="6"/>
  <c r="D117" i="5"/>
  <c r="C117" i="5"/>
  <c r="C116" i="5"/>
  <c r="B116" i="5"/>
  <c r="B115" i="5"/>
  <c r="A115" i="5"/>
  <c r="D114" i="5"/>
  <c r="C11" i="9" s="1"/>
  <c r="D113" i="5"/>
  <c r="C114" i="5"/>
  <c r="C113" i="5"/>
  <c r="C112" i="5"/>
  <c r="B112" i="5"/>
  <c r="B111" i="5"/>
  <c r="A111" i="5"/>
  <c r="E132" i="6"/>
  <c r="E131" i="6"/>
  <c r="D132" i="6"/>
  <c r="D131" i="6"/>
  <c r="D130" i="6"/>
  <c r="C130" i="6"/>
  <c r="C129" i="6"/>
  <c r="B129" i="6"/>
  <c r="D108" i="5"/>
  <c r="D107" i="5"/>
  <c r="C108" i="5"/>
  <c r="C107" i="5"/>
  <c r="C106" i="5"/>
  <c r="B106" i="5"/>
  <c r="B105" i="5"/>
  <c r="A105" i="5"/>
  <c r="E124" i="6"/>
  <c r="D124" i="6"/>
  <c r="E123" i="6"/>
  <c r="D123" i="6"/>
  <c r="D122" i="6"/>
  <c r="C122" i="6"/>
  <c r="C121" i="6"/>
  <c r="B121" i="6"/>
  <c r="E116" i="6"/>
  <c r="E115" i="6"/>
  <c r="E114" i="6"/>
  <c r="E113" i="6"/>
  <c r="E112" i="6"/>
  <c r="D116" i="6"/>
  <c r="D115" i="6"/>
  <c r="D114" i="6"/>
  <c r="D113" i="6"/>
  <c r="D112" i="6"/>
  <c r="D111" i="6"/>
  <c r="C111" i="6"/>
  <c r="C110" i="6"/>
  <c r="B110" i="6"/>
  <c r="D102" i="5"/>
  <c r="C41" i="9" s="1"/>
  <c r="D101" i="5"/>
  <c r="C40" i="9" s="1"/>
  <c r="D100" i="5"/>
  <c r="C39" i="9" s="1"/>
  <c r="D99" i="5"/>
  <c r="C38" i="9" s="1"/>
  <c r="D98" i="5"/>
  <c r="C37" i="9" s="1"/>
  <c r="C102" i="5"/>
  <c r="C101" i="5"/>
  <c r="C100" i="5"/>
  <c r="C99" i="5"/>
  <c r="C98" i="5"/>
  <c r="C97" i="5"/>
  <c r="B97" i="5"/>
  <c r="B96" i="5"/>
  <c r="A96" i="5"/>
  <c r="D95" i="5"/>
  <c r="C95" i="5"/>
  <c r="C94" i="5"/>
  <c r="B94" i="5"/>
  <c r="E109" i="6"/>
  <c r="D109" i="6"/>
  <c r="D108" i="6"/>
  <c r="C108" i="6"/>
  <c r="E107" i="6"/>
  <c r="E106" i="6"/>
  <c r="E105" i="6"/>
  <c r="E104" i="6"/>
  <c r="E103" i="6"/>
  <c r="E102" i="6"/>
  <c r="E101" i="6"/>
  <c r="D107" i="6"/>
  <c r="D106" i="6"/>
  <c r="D105" i="6"/>
  <c r="D104" i="6"/>
  <c r="D103" i="6"/>
  <c r="D102" i="6"/>
  <c r="D101" i="6"/>
  <c r="D100" i="6"/>
  <c r="C100" i="6"/>
  <c r="C99" i="6"/>
  <c r="B99" i="6"/>
  <c r="D93" i="5"/>
  <c r="C29" i="9" s="1"/>
  <c r="D92" i="5"/>
  <c r="C28" i="9" s="1"/>
  <c r="D91" i="5"/>
  <c r="C27" i="9" s="1"/>
  <c r="D90" i="5"/>
  <c r="C26" i="9" s="1"/>
  <c r="D89" i="5"/>
  <c r="C25" i="9" s="1"/>
  <c r="D88" i="5"/>
  <c r="C24" i="9" s="1"/>
  <c r="D87" i="5"/>
  <c r="C23" i="9" s="1"/>
  <c r="C93" i="5"/>
  <c r="C92" i="5"/>
  <c r="C91" i="5"/>
  <c r="C90" i="5"/>
  <c r="C89" i="5"/>
  <c r="C88" i="5"/>
  <c r="C87" i="5"/>
  <c r="C86" i="5"/>
  <c r="B85" i="5"/>
  <c r="A85" i="5"/>
  <c r="E94" i="6"/>
  <c r="D94" i="6"/>
  <c r="D93" i="6"/>
  <c r="C93" i="6"/>
  <c r="E92" i="6"/>
  <c r="D92" i="6"/>
  <c r="D91" i="6"/>
  <c r="C91" i="6"/>
  <c r="C90" i="6"/>
  <c r="B90" i="6"/>
  <c r="D82" i="5"/>
  <c r="C31" i="9" s="1"/>
  <c r="C82" i="5"/>
  <c r="C81" i="5"/>
  <c r="B81" i="5"/>
  <c r="D80" i="5"/>
  <c r="C30" i="9" s="1"/>
  <c r="C80" i="5"/>
  <c r="C79" i="5"/>
  <c r="B79" i="5"/>
  <c r="B78" i="5"/>
  <c r="A78" i="5"/>
  <c r="C75" i="5"/>
  <c r="D75" i="5"/>
  <c r="C15" i="9" s="1"/>
  <c r="D74" i="5"/>
  <c r="C74" i="5"/>
  <c r="C73" i="5"/>
  <c r="B73" i="5"/>
  <c r="B72" i="5"/>
  <c r="A72" i="5"/>
  <c r="E85" i="6"/>
  <c r="D85" i="6"/>
  <c r="E84" i="6"/>
  <c r="D84" i="6"/>
  <c r="D83" i="6"/>
  <c r="C83" i="6"/>
  <c r="C82" i="6"/>
  <c r="B82" i="6"/>
  <c r="E77" i="6"/>
  <c r="D77" i="6"/>
  <c r="D76" i="6"/>
  <c r="C76" i="6"/>
  <c r="C75" i="6"/>
  <c r="B75" i="6"/>
  <c r="D69" i="5"/>
  <c r="C69" i="5"/>
  <c r="C68" i="5"/>
  <c r="B68" i="5"/>
  <c r="B67" i="5"/>
  <c r="A67" i="5"/>
  <c r="D66" i="5"/>
  <c r="C44" i="9" s="1"/>
  <c r="C66" i="5"/>
  <c r="C65" i="5"/>
  <c r="B65" i="5"/>
  <c r="E74" i="6"/>
  <c r="D74" i="6"/>
  <c r="D73" i="6"/>
  <c r="C73" i="6"/>
  <c r="E72" i="6"/>
  <c r="D72" i="6"/>
  <c r="D71" i="6"/>
  <c r="C71" i="6"/>
  <c r="C70" i="6"/>
  <c r="B70" i="6"/>
  <c r="D64" i="5"/>
  <c r="C64" i="5"/>
  <c r="C63" i="5"/>
  <c r="B63" i="5"/>
  <c r="B62" i="5"/>
  <c r="A62" i="5"/>
  <c r="D61" i="5"/>
  <c r="C21" i="9" s="1"/>
  <c r="C61" i="5"/>
  <c r="C60" i="5"/>
  <c r="B60" i="5"/>
  <c r="E69" i="6"/>
  <c r="D69" i="6"/>
  <c r="D68" i="6"/>
  <c r="C68" i="6"/>
  <c r="E67" i="6"/>
  <c r="D67" i="6"/>
  <c r="E66" i="6"/>
  <c r="D66" i="6"/>
  <c r="D65" i="6"/>
  <c r="C65" i="6"/>
  <c r="D59" i="5"/>
  <c r="C59" i="5"/>
  <c r="D58" i="5"/>
  <c r="C16" i="9" s="1"/>
  <c r="C58" i="5"/>
  <c r="C57" i="5"/>
  <c r="B57" i="5"/>
  <c r="D56" i="5"/>
  <c r="C56" i="5"/>
  <c r="C55" i="5"/>
  <c r="B55" i="5"/>
  <c r="E64" i="6"/>
  <c r="D64" i="6"/>
  <c r="D63" i="6"/>
  <c r="C63" i="6"/>
  <c r="E62" i="6"/>
  <c r="D62" i="6"/>
  <c r="E61" i="6"/>
  <c r="E60" i="6"/>
  <c r="D61" i="6"/>
  <c r="D60" i="6"/>
  <c r="D59" i="6"/>
  <c r="C59" i="6"/>
  <c r="C58" i="6"/>
  <c r="B58" i="6"/>
  <c r="D53" i="5"/>
  <c r="C5" i="9" s="1"/>
  <c r="D52" i="5"/>
  <c r="C53" i="5"/>
  <c r="C52" i="5"/>
  <c r="C51" i="5"/>
  <c r="B51" i="5"/>
  <c r="B50" i="5"/>
  <c r="A50" i="5"/>
  <c r="D47" i="5"/>
  <c r="C47" i="5"/>
  <c r="E53" i="6"/>
  <c r="D53" i="6"/>
  <c r="E52" i="6"/>
  <c r="D52" i="6"/>
  <c r="D51" i="6"/>
  <c r="C51" i="6"/>
  <c r="C50" i="6"/>
  <c r="B50" i="6"/>
  <c r="D46" i="5"/>
  <c r="C46" i="5"/>
  <c r="C45" i="5"/>
  <c r="B45" i="5"/>
  <c r="B44" i="5"/>
  <c r="A44" i="5"/>
  <c r="D43" i="5"/>
  <c r="C43" i="9" s="1"/>
  <c r="C43" i="5"/>
  <c r="D42" i="5"/>
  <c r="C42" i="9" s="1"/>
  <c r="C42" i="5"/>
  <c r="C41" i="5"/>
  <c r="B41" i="5"/>
  <c r="E49" i="6"/>
  <c r="D49" i="6"/>
  <c r="E48" i="6"/>
  <c r="D48" i="6"/>
  <c r="D47" i="6"/>
  <c r="C47" i="6"/>
  <c r="D40" i="5"/>
  <c r="C40" i="5"/>
  <c r="C39" i="5"/>
  <c r="B39" i="5"/>
  <c r="D38" i="5"/>
  <c r="C36" i="9" s="1"/>
  <c r="C38" i="5"/>
  <c r="C37" i="5"/>
  <c r="B37" i="5"/>
  <c r="B36" i="5"/>
  <c r="A36" i="5"/>
  <c r="E44" i="6"/>
  <c r="D44" i="6"/>
  <c r="D43" i="6"/>
  <c r="C43" i="6"/>
  <c r="C42" i="6"/>
  <c r="B42" i="6"/>
  <c r="E41" i="6"/>
  <c r="D41" i="6"/>
  <c r="D40" i="6"/>
  <c r="C40" i="6"/>
  <c r="D35" i="5"/>
  <c r="C20" i="9" s="1"/>
  <c r="C35" i="5"/>
  <c r="C34" i="5"/>
  <c r="B34" i="5"/>
  <c r="D33" i="5"/>
  <c r="C14" i="9" s="1"/>
  <c r="C33" i="5"/>
  <c r="C32" i="5"/>
  <c r="B32" i="5"/>
  <c r="E39" i="6"/>
  <c r="D39" i="6"/>
  <c r="D38" i="6"/>
  <c r="C38" i="6"/>
  <c r="E37" i="6"/>
  <c r="D37" i="6"/>
  <c r="D36" i="6"/>
  <c r="C36" i="6"/>
  <c r="D31" i="5"/>
  <c r="C10" i="9" s="1"/>
  <c r="C31" i="5"/>
  <c r="C30" i="5"/>
  <c r="B30" i="5"/>
  <c r="D29" i="5"/>
  <c r="C9" i="9" s="1"/>
  <c r="C29" i="5"/>
  <c r="C28" i="5"/>
  <c r="B28" i="5"/>
  <c r="E35" i="6"/>
  <c r="D35" i="6"/>
  <c r="D34" i="6"/>
  <c r="C34" i="6"/>
  <c r="E33" i="6"/>
  <c r="D33" i="6"/>
  <c r="D32" i="6"/>
  <c r="C32" i="6"/>
  <c r="C31" i="6"/>
  <c r="B31" i="6"/>
  <c r="D27" i="5"/>
  <c r="C4" i="9" s="1"/>
  <c r="C27" i="5"/>
  <c r="C26" i="5"/>
  <c r="B26" i="5"/>
  <c r="B25" i="5"/>
  <c r="A25" i="5"/>
  <c r="D22" i="5"/>
  <c r="C22" i="5"/>
  <c r="C21" i="5"/>
  <c r="B21" i="5"/>
  <c r="B20" i="5"/>
  <c r="A20" i="5"/>
  <c r="E26" i="6"/>
  <c r="D26" i="6"/>
  <c r="D25" i="6"/>
  <c r="C25" i="6"/>
  <c r="C24" i="6"/>
  <c r="B24" i="6"/>
  <c r="E19" i="6"/>
  <c r="D19" i="6"/>
  <c r="E18" i="6"/>
  <c r="D18" i="6"/>
  <c r="D17" i="6"/>
  <c r="C17" i="6"/>
  <c r="C16" i="6"/>
  <c r="B16" i="6"/>
  <c r="D11" i="6"/>
  <c r="E11" i="6"/>
  <c r="E10" i="6"/>
  <c r="D10" i="6"/>
  <c r="D9" i="6"/>
  <c r="C9" i="6"/>
  <c r="D17" i="5"/>
  <c r="C17" i="5"/>
  <c r="D16" i="5"/>
  <c r="C16" i="5"/>
  <c r="C15" i="5"/>
  <c r="B15" i="5"/>
  <c r="B14" i="5"/>
  <c r="A14" i="5"/>
  <c r="C11" i="5"/>
  <c r="D10" i="5"/>
  <c r="C48" i="9" s="1"/>
  <c r="C10" i="5"/>
  <c r="C8" i="6"/>
  <c r="B8" i="6"/>
  <c r="D11" i="5"/>
  <c r="C47" i="9" s="1"/>
  <c r="C9" i="5"/>
  <c r="B9" i="5"/>
  <c r="A8" i="5"/>
  <c r="C35" i="9" l="1"/>
  <c r="C5" i="8"/>
  <c r="C3" i="9"/>
  <c r="C3" i="8"/>
  <c r="C22" i="9"/>
  <c r="C4" i="8"/>
  <c r="B45" i="9"/>
  <c r="B6" i="8"/>
  <c r="B35" i="9"/>
  <c r="B5" i="8"/>
  <c r="B22" i="9"/>
  <c r="B4" i="8"/>
  <c r="B3" i="9"/>
  <c r="B3" i="8"/>
  <c r="AJ138" i="1"/>
  <c r="AF324" i="1" l="1"/>
  <c r="AF330" i="1" l="1"/>
  <c r="AJ330" i="1" l="1"/>
  <c r="C120" i="10" s="1"/>
  <c r="AJ325" i="1"/>
  <c r="C110" i="10" s="1"/>
  <c r="AJ324" i="1"/>
  <c r="C111" i="10" s="1"/>
  <c r="AJ293" i="1"/>
  <c r="F157" i="6" l="1"/>
  <c r="AF281" i="1"/>
  <c r="AG328" i="1" l="1"/>
  <c r="Z328" i="1"/>
  <c r="AA328" i="1"/>
  <c r="AB328" i="1"/>
  <c r="AC328" i="1"/>
  <c r="AD328" i="1"/>
  <c r="AE328" i="1"/>
  <c r="AH328" i="1"/>
  <c r="AK328" i="1"/>
  <c r="Y328" i="1"/>
  <c r="AJ331" i="1"/>
  <c r="C113" i="10" s="1"/>
  <c r="AF328" i="1" l="1"/>
  <c r="AJ329" i="1" l="1"/>
  <c r="AL328" i="1"/>
  <c r="X328" i="1"/>
  <c r="W328" i="1"/>
  <c r="V328" i="1"/>
  <c r="AJ292" i="1"/>
  <c r="C97" i="10" s="1"/>
  <c r="AJ328" i="1" l="1"/>
  <c r="E137" i="5" s="1"/>
  <c r="C119" i="10"/>
  <c r="AB246" i="1"/>
  <c r="AJ237" i="1"/>
  <c r="AF238" i="1"/>
  <c r="AJ238" i="1" s="1"/>
  <c r="G157" i="6" l="1"/>
  <c r="H157" i="6" s="1"/>
  <c r="AF272" i="1"/>
  <c r="AK279" i="1" l="1"/>
  <c r="AL279" i="1"/>
  <c r="AG322" i="1"/>
  <c r="AH322" i="1"/>
  <c r="AK322" i="1"/>
  <c r="AL322" i="1"/>
  <c r="AF322" i="1"/>
  <c r="AJ327" i="1"/>
  <c r="C115" i="10" s="1"/>
  <c r="AJ326" i="1"/>
  <c r="C114" i="10" s="1"/>
  <c r="AG124" i="1"/>
  <c r="AH124" i="1"/>
  <c r="AK124" i="1"/>
  <c r="AF124" i="1"/>
  <c r="AJ125" i="1"/>
  <c r="C42" i="10" s="1"/>
  <c r="AJ239" i="1" l="1"/>
  <c r="AJ241" i="1"/>
  <c r="AJ250" i="1"/>
  <c r="AJ251" i="1"/>
  <c r="AF154" i="1" l="1"/>
  <c r="AH476" i="1" l="1"/>
  <c r="AH475" i="1" s="1"/>
  <c r="AH474" i="1" s="1"/>
  <c r="AH473" i="1" s="1"/>
  <c r="AG476" i="1"/>
  <c r="AG475" i="1" s="1"/>
  <c r="AG474" i="1" s="1"/>
  <c r="AG473" i="1" s="1"/>
  <c r="AF476" i="1"/>
  <c r="AF475" i="1" s="1"/>
  <c r="AF474" i="1" s="1"/>
  <c r="AF473" i="1" s="1"/>
  <c r="AE476" i="1"/>
  <c r="AE475" i="1" s="1"/>
  <c r="AE474" i="1" s="1"/>
  <c r="AE473" i="1" s="1"/>
  <c r="AD476" i="1"/>
  <c r="AD475" i="1" s="1"/>
  <c r="AD474" i="1" s="1"/>
  <c r="AD473" i="1" s="1"/>
  <c r="AC476" i="1"/>
  <c r="AC475" i="1" s="1"/>
  <c r="AC474" i="1" s="1"/>
  <c r="AC473" i="1" s="1"/>
  <c r="AB476" i="1"/>
  <c r="AB475" i="1" s="1"/>
  <c r="AB474" i="1" s="1"/>
  <c r="AB473" i="1" s="1"/>
  <c r="AA476" i="1"/>
  <c r="AA475" i="1" s="1"/>
  <c r="AA474" i="1" s="1"/>
  <c r="AA473" i="1" s="1"/>
  <c r="Z476" i="1"/>
  <c r="Z475" i="1" s="1"/>
  <c r="Z474" i="1" s="1"/>
  <c r="Z473" i="1" s="1"/>
  <c r="Y476" i="1"/>
  <c r="Y475" i="1" s="1"/>
  <c r="Y474" i="1" s="1"/>
  <c r="Y473" i="1" s="1"/>
  <c r="X476" i="1"/>
  <c r="X475" i="1" s="1"/>
  <c r="X474" i="1" s="1"/>
  <c r="X473" i="1" s="1"/>
  <c r="W476" i="1"/>
  <c r="W475" i="1" s="1"/>
  <c r="W474" i="1" s="1"/>
  <c r="W473" i="1" s="1"/>
  <c r="V476" i="1"/>
  <c r="V475" i="1" s="1"/>
  <c r="V474" i="1" s="1"/>
  <c r="V473" i="1" s="1"/>
  <c r="W464" i="1"/>
  <c r="W463" i="1" s="1"/>
  <c r="X464" i="1"/>
  <c r="X463" i="1" s="1"/>
  <c r="Y464" i="1"/>
  <c r="Y463" i="1" s="1"/>
  <c r="Z464" i="1"/>
  <c r="Z463" i="1" s="1"/>
  <c r="AA464" i="1"/>
  <c r="AA463" i="1" s="1"/>
  <c r="AB464" i="1"/>
  <c r="AB463" i="1" s="1"/>
  <c r="AC464" i="1"/>
  <c r="AC463" i="1" s="1"/>
  <c r="AD464" i="1"/>
  <c r="AD463" i="1" s="1"/>
  <c r="AE464" i="1"/>
  <c r="AE463" i="1" s="1"/>
  <c r="AF464" i="1"/>
  <c r="AF463" i="1" s="1"/>
  <c r="AG464" i="1"/>
  <c r="AG463" i="1" s="1"/>
  <c r="AH464" i="1"/>
  <c r="AH463" i="1" s="1"/>
  <c r="W461" i="1"/>
  <c r="W460" i="1" s="1"/>
  <c r="X461" i="1"/>
  <c r="X460" i="1" s="1"/>
  <c r="Y461" i="1"/>
  <c r="Y460" i="1" s="1"/>
  <c r="Z461" i="1"/>
  <c r="Z460" i="1" s="1"/>
  <c r="AA461" i="1"/>
  <c r="AA460" i="1" s="1"/>
  <c r="AB461" i="1"/>
  <c r="AB460" i="1" s="1"/>
  <c r="AC461" i="1"/>
  <c r="AC460" i="1" s="1"/>
  <c r="AD461" i="1"/>
  <c r="AD460" i="1" s="1"/>
  <c r="AE461" i="1"/>
  <c r="AE460" i="1" s="1"/>
  <c r="AF461" i="1"/>
  <c r="AF460" i="1" s="1"/>
  <c r="AG461" i="1"/>
  <c r="AG460" i="1" s="1"/>
  <c r="AH461" i="1"/>
  <c r="AH460" i="1" s="1"/>
  <c r="V463" i="1"/>
  <c r="W457" i="1"/>
  <c r="W456" i="1" s="1"/>
  <c r="X457" i="1"/>
  <c r="X456" i="1" s="1"/>
  <c r="Y457" i="1"/>
  <c r="Y456" i="1" s="1"/>
  <c r="Z457" i="1"/>
  <c r="Z456" i="1" s="1"/>
  <c r="AA457" i="1"/>
  <c r="AA456" i="1" s="1"/>
  <c r="AB457" i="1"/>
  <c r="AB456" i="1" s="1"/>
  <c r="AC457" i="1"/>
  <c r="AC456" i="1" s="1"/>
  <c r="AD457" i="1"/>
  <c r="AD456" i="1" s="1"/>
  <c r="AE457" i="1"/>
  <c r="AE456" i="1" s="1"/>
  <c r="AF457" i="1"/>
  <c r="AF456" i="1" s="1"/>
  <c r="AG457" i="1"/>
  <c r="AG456" i="1" s="1"/>
  <c r="AH457" i="1"/>
  <c r="AH456" i="1" s="1"/>
  <c r="W454" i="1"/>
  <c r="W453" i="1" s="1"/>
  <c r="X454" i="1"/>
  <c r="X453" i="1" s="1"/>
  <c r="Y454" i="1"/>
  <c r="Y453" i="1" s="1"/>
  <c r="Z454" i="1"/>
  <c r="Z453" i="1" s="1"/>
  <c r="AA454" i="1"/>
  <c r="AA453" i="1" s="1"/>
  <c r="AB454" i="1"/>
  <c r="AB453" i="1" s="1"/>
  <c r="AC454" i="1"/>
  <c r="AC453" i="1" s="1"/>
  <c r="AD454" i="1"/>
  <c r="AD453" i="1" s="1"/>
  <c r="AE454" i="1"/>
  <c r="AE453" i="1" s="1"/>
  <c r="AF454" i="1"/>
  <c r="AF453" i="1" s="1"/>
  <c r="AG454" i="1"/>
  <c r="AG453" i="1" s="1"/>
  <c r="AH454" i="1"/>
  <c r="AH453" i="1" s="1"/>
  <c r="V457" i="1"/>
  <c r="V456" i="1" s="1"/>
  <c r="V454" i="1"/>
  <c r="V453" i="1" s="1"/>
  <c r="W447" i="1"/>
  <c r="X447" i="1"/>
  <c r="Y447" i="1"/>
  <c r="Z447" i="1"/>
  <c r="AA447" i="1"/>
  <c r="AB447" i="1"/>
  <c r="AC447" i="1"/>
  <c r="AD447" i="1"/>
  <c r="AE447" i="1"/>
  <c r="AF447" i="1"/>
  <c r="AF441" i="1" s="1"/>
  <c r="AG447" i="1"/>
  <c r="AH447" i="1"/>
  <c r="V447" i="1"/>
  <c r="F191" i="6" s="1"/>
  <c r="W442" i="1"/>
  <c r="X442" i="1"/>
  <c r="Y442" i="1"/>
  <c r="Z442" i="1"/>
  <c r="AA442" i="1"/>
  <c r="AB442" i="1"/>
  <c r="AC442" i="1"/>
  <c r="AD442" i="1"/>
  <c r="AE442" i="1"/>
  <c r="AH442" i="1"/>
  <c r="I190" i="6" s="1"/>
  <c r="I189" i="6" s="1"/>
  <c r="I188" i="6" s="1"/>
  <c r="I187" i="6" s="1"/>
  <c r="V442" i="1"/>
  <c r="F190" i="6" s="1"/>
  <c r="F189" i="6" s="1"/>
  <c r="F188" i="6" s="1"/>
  <c r="F187" i="6" s="1"/>
  <c r="AH404" i="1"/>
  <c r="AG404" i="1"/>
  <c r="AF404" i="1"/>
  <c r="AE404" i="1"/>
  <c r="AD404" i="1"/>
  <c r="AC404" i="1"/>
  <c r="AB404" i="1"/>
  <c r="AA404" i="1"/>
  <c r="Z404" i="1"/>
  <c r="Y404" i="1"/>
  <c r="X404" i="1"/>
  <c r="W404" i="1"/>
  <c r="V404" i="1"/>
  <c r="W115" i="1"/>
  <c r="W114" i="1" s="1"/>
  <c r="X115" i="1"/>
  <c r="X114" i="1" s="1"/>
  <c r="Y115" i="1"/>
  <c r="Y114" i="1" s="1"/>
  <c r="Z115" i="1"/>
  <c r="Z114" i="1" s="1"/>
  <c r="AA115" i="1"/>
  <c r="AA114" i="1" s="1"/>
  <c r="AB115" i="1"/>
  <c r="AB114" i="1" s="1"/>
  <c r="AC115" i="1"/>
  <c r="AC114" i="1" s="1"/>
  <c r="AD115" i="1"/>
  <c r="AD114" i="1" s="1"/>
  <c r="AE115" i="1"/>
  <c r="AE114" i="1" s="1"/>
  <c r="AF115" i="1"/>
  <c r="AF114" i="1" s="1"/>
  <c r="AG115" i="1"/>
  <c r="AG114" i="1" s="1"/>
  <c r="AH115" i="1"/>
  <c r="AH114" i="1" s="1"/>
  <c r="AF47" i="1"/>
  <c r="AF46" i="1" s="1"/>
  <c r="AH430" i="1"/>
  <c r="AH429" i="1" s="1"/>
  <c r="AH428" i="1" s="1"/>
  <c r="AG430" i="1"/>
  <c r="AG429" i="1" s="1"/>
  <c r="AG428" i="1" s="1"/>
  <c r="AF430" i="1"/>
  <c r="AF429" i="1" s="1"/>
  <c r="AF428" i="1" s="1"/>
  <c r="AE430" i="1"/>
  <c r="AE429" i="1" s="1"/>
  <c r="AE428" i="1" s="1"/>
  <c r="AD430" i="1"/>
  <c r="AD429" i="1" s="1"/>
  <c r="AD428" i="1" s="1"/>
  <c r="AC430" i="1"/>
  <c r="AC429" i="1" s="1"/>
  <c r="AC428" i="1" s="1"/>
  <c r="AB430" i="1"/>
  <c r="AB429" i="1" s="1"/>
  <c r="AB428" i="1" s="1"/>
  <c r="AA430" i="1"/>
  <c r="AA429" i="1" s="1"/>
  <c r="AA428" i="1" s="1"/>
  <c r="Z430" i="1"/>
  <c r="Z429" i="1" s="1"/>
  <c r="Z428" i="1" s="1"/>
  <c r="Y430" i="1"/>
  <c r="Y429" i="1" s="1"/>
  <c r="Y428" i="1" s="1"/>
  <c r="X430" i="1"/>
  <c r="X429" i="1" s="1"/>
  <c r="X428" i="1" s="1"/>
  <c r="W430" i="1"/>
  <c r="W429" i="1" s="1"/>
  <c r="W428" i="1" s="1"/>
  <c r="V430" i="1"/>
  <c r="V429" i="1" s="1"/>
  <c r="V428" i="1" s="1"/>
  <c r="W426" i="1"/>
  <c r="X426" i="1"/>
  <c r="Y426" i="1"/>
  <c r="Z426" i="1"/>
  <c r="AA426" i="1"/>
  <c r="AB426" i="1"/>
  <c r="AC426" i="1"/>
  <c r="AD426" i="1"/>
  <c r="AE426" i="1"/>
  <c r="AF426" i="1"/>
  <c r="AG426" i="1"/>
  <c r="AH426" i="1"/>
  <c r="V426" i="1"/>
  <c r="W414" i="1"/>
  <c r="X414" i="1"/>
  <c r="Y414" i="1"/>
  <c r="Z414" i="1"/>
  <c r="AA414" i="1"/>
  <c r="AB414" i="1"/>
  <c r="AC414" i="1"/>
  <c r="AD414" i="1"/>
  <c r="AE414" i="1"/>
  <c r="AF414" i="1"/>
  <c r="AG414" i="1"/>
  <c r="AH414" i="1"/>
  <c r="V414" i="1"/>
  <c r="W422" i="1"/>
  <c r="X422" i="1"/>
  <c r="Y422" i="1"/>
  <c r="Z422" i="1"/>
  <c r="AA422" i="1"/>
  <c r="AB422" i="1"/>
  <c r="AC422" i="1"/>
  <c r="AD422" i="1"/>
  <c r="AE422" i="1"/>
  <c r="AF422" i="1"/>
  <c r="AG422" i="1"/>
  <c r="AH422" i="1"/>
  <c r="V422" i="1"/>
  <c r="W336" i="1"/>
  <c r="X336" i="1"/>
  <c r="Y336" i="1"/>
  <c r="G164" i="6" s="1"/>
  <c r="AA336" i="1"/>
  <c r="AB336" i="1"/>
  <c r="AC336" i="1"/>
  <c r="AD336" i="1"/>
  <c r="AE336" i="1"/>
  <c r="AG336" i="1"/>
  <c r="W288" i="1"/>
  <c r="X288" i="1"/>
  <c r="Y288" i="1"/>
  <c r="Z288" i="1"/>
  <c r="AA288" i="1"/>
  <c r="AB288" i="1"/>
  <c r="AC288" i="1"/>
  <c r="AD288" i="1"/>
  <c r="AE288" i="1"/>
  <c r="AF288" i="1"/>
  <c r="G146" i="6" s="1"/>
  <c r="AG288" i="1"/>
  <c r="AH288" i="1"/>
  <c r="AJ298" i="1"/>
  <c r="C101" i="10" s="1"/>
  <c r="AJ297" i="1"/>
  <c r="AJ296" i="1"/>
  <c r="AJ295" i="1"/>
  <c r="C99" i="10" s="1"/>
  <c r="AJ294" i="1"/>
  <c r="C98" i="10" s="1"/>
  <c r="AJ291" i="1"/>
  <c r="C96" i="10" s="1"/>
  <c r="AJ290" i="1"/>
  <c r="AJ289" i="1"/>
  <c r="AJ283" i="1"/>
  <c r="AJ282" i="1"/>
  <c r="AJ286" i="1"/>
  <c r="AH281" i="1"/>
  <c r="AG281" i="1"/>
  <c r="AG280" i="1" s="1"/>
  <c r="AF280" i="1"/>
  <c r="AE281" i="1"/>
  <c r="AE280" i="1" s="1"/>
  <c r="AD281" i="1"/>
  <c r="AD280" i="1" s="1"/>
  <c r="AC281" i="1"/>
  <c r="AC280" i="1" s="1"/>
  <c r="AB281" i="1"/>
  <c r="AB280" i="1" s="1"/>
  <c r="AA281" i="1"/>
  <c r="AA280" i="1" s="1"/>
  <c r="Z281" i="1"/>
  <c r="Z280" i="1" s="1"/>
  <c r="Y281" i="1"/>
  <c r="Y280" i="1" s="1"/>
  <c r="X281" i="1"/>
  <c r="X280" i="1" s="1"/>
  <c r="W281" i="1"/>
  <c r="W280" i="1" s="1"/>
  <c r="AH280" i="1"/>
  <c r="V299" i="1"/>
  <c r="V288" i="1"/>
  <c r="F146" i="6" s="1"/>
  <c r="V281" i="1"/>
  <c r="V280" i="1" s="1"/>
  <c r="AF285" i="1"/>
  <c r="AF284" i="1" s="1"/>
  <c r="W315" i="1"/>
  <c r="W314" i="1" s="1"/>
  <c r="X315" i="1"/>
  <c r="X314" i="1" s="1"/>
  <c r="Y315" i="1"/>
  <c r="Y314" i="1" s="1"/>
  <c r="Z315" i="1"/>
  <c r="Z314" i="1" s="1"/>
  <c r="AA315" i="1"/>
  <c r="AA314" i="1" s="1"/>
  <c r="AB315" i="1"/>
  <c r="AB314" i="1" s="1"/>
  <c r="AC315" i="1"/>
  <c r="AC314" i="1" s="1"/>
  <c r="AD315" i="1"/>
  <c r="AD314" i="1" s="1"/>
  <c r="AE315" i="1"/>
  <c r="AE314" i="1" s="1"/>
  <c r="AF315" i="1"/>
  <c r="AF314" i="1" s="1"/>
  <c r="AG315" i="1"/>
  <c r="AG314" i="1" s="1"/>
  <c r="AH315" i="1"/>
  <c r="AH314" i="1" s="1"/>
  <c r="W318" i="1"/>
  <c r="W317" i="1" s="1"/>
  <c r="X318" i="1"/>
  <c r="X317" i="1" s="1"/>
  <c r="Y318" i="1"/>
  <c r="Y317" i="1" s="1"/>
  <c r="Z318" i="1"/>
  <c r="Z317" i="1" s="1"/>
  <c r="AA318" i="1"/>
  <c r="AA317" i="1" s="1"/>
  <c r="AB318" i="1"/>
  <c r="AB317" i="1" s="1"/>
  <c r="AC318" i="1"/>
  <c r="AC317" i="1" s="1"/>
  <c r="AD318" i="1"/>
  <c r="AD317" i="1" s="1"/>
  <c r="AE318" i="1"/>
  <c r="AE317" i="1" s="1"/>
  <c r="AF318" i="1"/>
  <c r="AF317" i="1" s="1"/>
  <c r="AG318" i="1"/>
  <c r="AG317" i="1" s="1"/>
  <c r="AH318" i="1"/>
  <c r="AH317" i="1" s="1"/>
  <c r="W322" i="1"/>
  <c r="W321" i="1" s="1"/>
  <c r="W320" i="1" s="1"/>
  <c r="X322" i="1"/>
  <c r="X321" i="1" s="1"/>
  <c r="X320" i="1" s="1"/>
  <c r="Y322" i="1"/>
  <c r="Y321" i="1" s="1"/>
  <c r="Y320" i="1" s="1"/>
  <c r="Z322" i="1"/>
  <c r="Z321" i="1" s="1"/>
  <c r="Z320" i="1" s="1"/>
  <c r="AA322" i="1"/>
  <c r="AA321" i="1" s="1"/>
  <c r="AA320" i="1" s="1"/>
  <c r="AB322" i="1"/>
  <c r="AB321" i="1" s="1"/>
  <c r="AB320" i="1" s="1"/>
  <c r="AC322" i="1"/>
  <c r="AC321" i="1" s="1"/>
  <c r="AC320" i="1" s="1"/>
  <c r="AD322" i="1"/>
  <c r="AD321" i="1" s="1"/>
  <c r="AD320" i="1" s="1"/>
  <c r="AE322" i="1"/>
  <c r="AE321" i="1" s="1"/>
  <c r="AE320" i="1" s="1"/>
  <c r="AF321" i="1"/>
  <c r="AF320" i="1" s="1"/>
  <c r="AG321" i="1"/>
  <c r="AG320" i="1" s="1"/>
  <c r="AH321" i="1"/>
  <c r="AH320" i="1" s="1"/>
  <c r="W285" i="1"/>
  <c r="W284" i="1" s="1"/>
  <c r="X285" i="1"/>
  <c r="X284" i="1" s="1"/>
  <c r="Y285" i="1"/>
  <c r="Y284" i="1" s="1"/>
  <c r="Z285" i="1"/>
  <c r="Z284" i="1" s="1"/>
  <c r="AA285" i="1"/>
  <c r="AA284" i="1" s="1"/>
  <c r="AB285" i="1"/>
  <c r="AB284" i="1" s="1"/>
  <c r="AC285" i="1"/>
  <c r="AC284" i="1" s="1"/>
  <c r="AD285" i="1"/>
  <c r="AD284" i="1" s="1"/>
  <c r="AE285" i="1"/>
  <c r="AE284" i="1" s="1"/>
  <c r="AG285" i="1"/>
  <c r="AG284" i="1" s="1"/>
  <c r="AH285" i="1"/>
  <c r="AH284" i="1" s="1"/>
  <c r="V285" i="1"/>
  <c r="V284" i="1" s="1"/>
  <c r="W236" i="1"/>
  <c r="X236" i="1"/>
  <c r="Y236" i="1"/>
  <c r="Z236" i="1"/>
  <c r="AA236" i="1"/>
  <c r="AC236" i="1"/>
  <c r="AD236" i="1"/>
  <c r="AE236" i="1"/>
  <c r="AG236" i="1"/>
  <c r="L131" i="6" s="1"/>
  <c r="L130" i="6" s="1"/>
  <c r="L129" i="6" s="1"/>
  <c r="L128" i="6" s="1"/>
  <c r="AH236" i="1"/>
  <c r="K131" i="6" s="1"/>
  <c r="W271" i="1"/>
  <c r="X271" i="1"/>
  <c r="Y271" i="1"/>
  <c r="Z271" i="1"/>
  <c r="AA271" i="1"/>
  <c r="AB271" i="1"/>
  <c r="AC271" i="1"/>
  <c r="AD271" i="1"/>
  <c r="AE271" i="1"/>
  <c r="AG271" i="1"/>
  <c r="AH271" i="1"/>
  <c r="K132" i="6" s="1"/>
  <c r="W275" i="1"/>
  <c r="W274" i="1" s="1"/>
  <c r="W273" i="1" s="1"/>
  <c r="X275" i="1"/>
  <c r="X274" i="1" s="1"/>
  <c r="X273" i="1" s="1"/>
  <c r="Y275" i="1"/>
  <c r="Y274" i="1" s="1"/>
  <c r="Y273" i="1" s="1"/>
  <c r="Z275" i="1"/>
  <c r="Z274" i="1" s="1"/>
  <c r="Z273" i="1" s="1"/>
  <c r="AA275" i="1"/>
  <c r="AA274" i="1" s="1"/>
  <c r="AA273" i="1" s="1"/>
  <c r="AB275" i="1"/>
  <c r="AB274" i="1" s="1"/>
  <c r="AB273" i="1" s="1"/>
  <c r="AC275" i="1"/>
  <c r="AC274" i="1" s="1"/>
  <c r="AC273" i="1" s="1"/>
  <c r="AD275" i="1"/>
  <c r="AD274" i="1" s="1"/>
  <c r="AD273" i="1" s="1"/>
  <c r="AE275" i="1"/>
  <c r="AE274" i="1" s="1"/>
  <c r="AE273" i="1" s="1"/>
  <c r="AF275" i="1"/>
  <c r="AF274" i="1" s="1"/>
  <c r="AF273" i="1" s="1"/>
  <c r="AG275" i="1"/>
  <c r="AG274" i="1" s="1"/>
  <c r="AG273" i="1" s="1"/>
  <c r="AH275" i="1"/>
  <c r="AH274" i="1" s="1"/>
  <c r="AH273" i="1" s="1"/>
  <c r="V275" i="1"/>
  <c r="V274" i="1" s="1"/>
  <c r="V273" i="1" s="1"/>
  <c r="V271" i="1"/>
  <c r="V236" i="1"/>
  <c r="W230" i="1"/>
  <c r="X230" i="1"/>
  <c r="Y230" i="1"/>
  <c r="Z230" i="1"/>
  <c r="AA230" i="1"/>
  <c r="AB230" i="1"/>
  <c r="AC230" i="1"/>
  <c r="AD230" i="1"/>
  <c r="AE230" i="1"/>
  <c r="AF230" i="1"/>
  <c r="AG230" i="1"/>
  <c r="AH230" i="1"/>
  <c r="W227" i="1"/>
  <c r="X227" i="1"/>
  <c r="X226" i="1" s="1"/>
  <c r="X225" i="1" s="1"/>
  <c r="X224" i="1" s="1"/>
  <c r="Y227" i="1"/>
  <c r="Z227" i="1"/>
  <c r="AA227" i="1"/>
  <c r="AA226" i="1" s="1"/>
  <c r="AA225" i="1" s="1"/>
  <c r="AA224" i="1" s="1"/>
  <c r="AB227" i="1"/>
  <c r="AB226" i="1" s="1"/>
  <c r="AB225" i="1" s="1"/>
  <c r="AB224" i="1" s="1"/>
  <c r="AC227" i="1"/>
  <c r="AD227" i="1"/>
  <c r="AD226" i="1" s="1"/>
  <c r="AD225" i="1" s="1"/>
  <c r="AD224" i="1" s="1"/>
  <c r="AE227" i="1"/>
  <c r="AF227" i="1"/>
  <c r="AF226" i="1" s="1"/>
  <c r="AF225" i="1" s="1"/>
  <c r="AF224" i="1" s="1"/>
  <c r="AG227" i="1"/>
  <c r="AH227" i="1"/>
  <c r="AH226" i="1" s="1"/>
  <c r="AH225" i="1" s="1"/>
  <c r="AH224" i="1" s="1"/>
  <c r="V230" i="1"/>
  <c r="V227" i="1"/>
  <c r="W203" i="1"/>
  <c r="X203" i="1"/>
  <c r="Y203" i="1"/>
  <c r="Z203" i="1"/>
  <c r="AA203" i="1"/>
  <c r="AB203" i="1"/>
  <c r="AC203" i="1"/>
  <c r="AD203" i="1"/>
  <c r="AE203" i="1"/>
  <c r="AF203" i="1"/>
  <c r="AG203" i="1"/>
  <c r="AH203" i="1"/>
  <c r="V203" i="1"/>
  <c r="W198" i="1"/>
  <c r="W197" i="1" s="1"/>
  <c r="X198" i="1"/>
  <c r="X197" i="1" s="1"/>
  <c r="Y198" i="1"/>
  <c r="Y197" i="1" s="1"/>
  <c r="Z198" i="1"/>
  <c r="Z197" i="1" s="1"/>
  <c r="AA198" i="1"/>
  <c r="AA197" i="1" s="1"/>
  <c r="AB198" i="1"/>
  <c r="AB197" i="1" s="1"/>
  <c r="AC198" i="1"/>
  <c r="AC197" i="1" s="1"/>
  <c r="AD198" i="1"/>
  <c r="AD197" i="1" s="1"/>
  <c r="AE198" i="1"/>
  <c r="AE197" i="1" s="1"/>
  <c r="AF198" i="1"/>
  <c r="AF197" i="1" s="1"/>
  <c r="AG198" i="1"/>
  <c r="AG197" i="1" s="1"/>
  <c r="AH198" i="1"/>
  <c r="AH197" i="1" s="1"/>
  <c r="V198" i="1"/>
  <c r="V197" i="1" s="1"/>
  <c r="V193" i="1"/>
  <c r="W169" i="1"/>
  <c r="X169" i="1"/>
  <c r="Y169" i="1"/>
  <c r="Z169" i="1"/>
  <c r="AA169" i="1"/>
  <c r="AB169" i="1"/>
  <c r="AC169" i="1"/>
  <c r="AD169" i="1"/>
  <c r="AE169" i="1"/>
  <c r="AF169" i="1"/>
  <c r="F101" i="6" s="1"/>
  <c r="H101" i="6" s="1"/>
  <c r="AG169" i="1"/>
  <c r="AH169" i="1"/>
  <c r="V169" i="1"/>
  <c r="W219" i="1"/>
  <c r="X219" i="1"/>
  <c r="Y219" i="1"/>
  <c r="Z219" i="1"/>
  <c r="AA219" i="1"/>
  <c r="AB219" i="1"/>
  <c r="AC219" i="1"/>
  <c r="AD219" i="1"/>
  <c r="AE219" i="1"/>
  <c r="AF219" i="1"/>
  <c r="AG219" i="1"/>
  <c r="AH219" i="1"/>
  <c r="V219" i="1"/>
  <c r="V215" i="1"/>
  <c r="W206" i="1"/>
  <c r="X206" i="1"/>
  <c r="Y206" i="1"/>
  <c r="Z206" i="1"/>
  <c r="AA206" i="1"/>
  <c r="AB206" i="1"/>
  <c r="AC206" i="1"/>
  <c r="AD206" i="1"/>
  <c r="AE206" i="1"/>
  <c r="AG206" i="1"/>
  <c r="AH206" i="1"/>
  <c r="V206" i="1"/>
  <c r="V186" i="1"/>
  <c r="V183" i="1"/>
  <c r="V181" i="1"/>
  <c r="V188" i="1"/>
  <c r="V190" i="1"/>
  <c r="W150" i="1"/>
  <c r="W149" i="1" s="1"/>
  <c r="X150" i="1"/>
  <c r="X149" i="1" s="1"/>
  <c r="Y150" i="1"/>
  <c r="Y149" i="1" s="1"/>
  <c r="Z150" i="1"/>
  <c r="Z149" i="1" s="1"/>
  <c r="AA150" i="1"/>
  <c r="AA149" i="1" s="1"/>
  <c r="AB150" i="1"/>
  <c r="AB149" i="1" s="1"/>
  <c r="AC150" i="1"/>
  <c r="AC149" i="1" s="1"/>
  <c r="AD150" i="1"/>
  <c r="AD149" i="1" s="1"/>
  <c r="AE150" i="1"/>
  <c r="AE149" i="1" s="1"/>
  <c r="AF150" i="1"/>
  <c r="AH150" i="1"/>
  <c r="AH149" i="1" s="1"/>
  <c r="V150" i="1"/>
  <c r="V149" i="1" s="1"/>
  <c r="W160" i="1"/>
  <c r="W159" i="1" s="1"/>
  <c r="X160" i="1"/>
  <c r="X159" i="1" s="1"/>
  <c r="Y160" i="1"/>
  <c r="Y159" i="1" s="1"/>
  <c r="Z160" i="1"/>
  <c r="Z159" i="1" s="1"/>
  <c r="AA160" i="1"/>
  <c r="AA159" i="1" s="1"/>
  <c r="AB160" i="1"/>
  <c r="AB159" i="1" s="1"/>
  <c r="AC160" i="1"/>
  <c r="AC159" i="1" s="1"/>
  <c r="AD160" i="1"/>
  <c r="AD159" i="1" s="1"/>
  <c r="AE160" i="1"/>
  <c r="AE159" i="1" s="1"/>
  <c r="AF160" i="1"/>
  <c r="AG160" i="1"/>
  <c r="AH160" i="1"/>
  <c r="AH159" i="1" s="1"/>
  <c r="V160" i="1"/>
  <c r="V159" i="1" s="1"/>
  <c r="W134" i="1"/>
  <c r="X134" i="1"/>
  <c r="Y134" i="1"/>
  <c r="Z134" i="1"/>
  <c r="AA134" i="1"/>
  <c r="AB134" i="1"/>
  <c r="AC134" i="1"/>
  <c r="AD134" i="1"/>
  <c r="AE134" i="1"/>
  <c r="AF134" i="1"/>
  <c r="AG134" i="1"/>
  <c r="AH134" i="1"/>
  <c r="W101" i="1"/>
  <c r="X101" i="1"/>
  <c r="Y101" i="1"/>
  <c r="Z101" i="1"/>
  <c r="AA101" i="1"/>
  <c r="AB101" i="1"/>
  <c r="AC101" i="1"/>
  <c r="AD101" i="1"/>
  <c r="AE101" i="1"/>
  <c r="AF101" i="1"/>
  <c r="AG101" i="1"/>
  <c r="AH101" i="1"/>
  <c r="AK101" i="1"/>
  <c r="AK100" i="1" s="1"/>
  <c r="W124" i="1"/>
  <c r="W123" i="1" s="1"/>
  <c r="W122" i="1" s="1"/>
  <c r="X124" i="1"/>
  <c r="X123" i="1" s="1"/>
  <c r="X122" i="1" s="1"/>
  <c r="Y124" i="1"/>
  <c r="Y123" i="1" s="1"/>
  <c r="Y122" i="1" s="1"/>
  <c r="Z124" i="1"/>
  <c r="Z123" i="1" s="1"/>
  <c r="Z122" i="1" s="1"/>
  <c r="AA124" i="1"/>
  <c r="AA123" i="1" s="1"/>
  <c r="AA122" i="1" s="1"/>
  <c r="AB124" i="1"/>
  <c r="AB123" i="1" s="1"/>
  <c r="AB122" i="1" s="1"/>
  <c r="AC124" i="1"/>
  <c r="AC123" i="1" s="1"/>
  <c r="AC122" i="1" s="1"/>
  <c r="AD124" i="1"/>
  <c r="AD123" i="1" s="1"/>
  <c r="AD122" i="1" s="1"/>
  <c r="AE124" i="1"/>
  <c r="AE123" i="1" s="1"/>
  <c r="AE122" i="1" s="1"/>
  <c r="AF123" i="1"/>
  <c r="AF122" i="1" s="1"/>
  <c r="AG123" i="1"/>
  <c r="AG122" i="1" s="1"/>
  <c r="AH123" i="1"/>
  <c r="AH122" i="1" s="1"/>
  <c r="V124" i="1"/>
  <c r="V123" i="1" s="1"/>
  <c r="V122" i="1" s="1"/>
  <c r="V118" i="1"/>
  <c r="V117" i="1" s="1"/>
  <c r="X118" i="1"/>
  <c r="X117" i="1" s="1"/>
  <c r="Y118" i="1"/>
  <c r="Y117" i="1" s="1"/>
  <c r="Z118" i="1"/>
  <c r="Z117" i="1" s="1"/>
  <c r="AA118" i="1"/>
  <c r="AA117" i="1" s="1"/>
  <c r="AB118" i="1"/>
  <c r="AB117" i="1" s="1"/>
  <c r="AC118" i="1"/>
  <c r="AC117" i="1" s="1"/>
  <c r="AD118" i="1"/>
  <c r="AD117" i="1" s="1"/>
  <c r="AE118" i="1"/>
  <c r="AE117" i="1" s="1"/>
  <c r="AF118" i="1"/>
  <c r="AF117" i="1" s="1"/>
  <c r="AG118" i="1"/>
  <c r="AG117" i="1" s="1"/>
  <c r="AH118" i="1"/>
  <c r="AH117" i="1" s="1"/>
  <c r="W118" i="1"/>
  <c r="W117" i="1" s="1"/>
  <c r="X91" i="1"/>
  <c r="Y91" i="1"/>
  <c r="Z91" i="1"/>
  <c r="AA91" i="1"/>
  <c r="AB91" i="1"/>
  <c r="AC91" i="1"/>
  <c r="AD91" i="1"/>
  <c r="AE91" i="1"/>
  <c r="AF91" i="1"/>
  <c r="AG91" i="1"/>
  <c r="AH91" i="1"/>
  <c r="X110" i="1"/>
  <c r="X109" i="1" s="1"/>
  <c r="Y110" i="1"/>
  <c r="Y109" i="1" s="1"/>
  <c r="Z110" i="1"/>
  <c r="Z109" i="1" s="1"/>
  <c r="AA110" i="1"/>
  <c r="AA109" i="1" s="1"/>
  <c r="AB110" i="1"/>
  <c r="AB109" i="1" s="1"/>
  <c r="AC110" i="1"/>
  <c r="AC109" i="1" s="1"/>
  <c r="AD110" i="1"/>
  <c r="AD109" i="1" s="1"/>
  <c r="AE110" i="1"/>
  <c r="AE109" i="1" s="1"/>
  <c r="AF110" i="1"/>
  <c r="AF109" i="1" s="1"/>
  <c r="AG110" i="1"/>
  <c r="AG109" i="1" s="1"/>
  <c r="AH110" i="1"/>
  <c r="AH109" i="1" s="1"/>
  <c r="V110" i="1"/>
  <c r="V109" i="1" s="1"/>
  <c r="W107" i="1"/>
  <c r="X107" i="1"/>
  <c r="Y107" i="1"/>
  <c r="Z107" i="1"/>
  <c r="AA107" i="1"/>
  <c r="AB107" i="1"/>
  <c r="AC107" i="1"/>
  <c r="AD107" i="1"/>
  <c r="AE107" i="1"/>
  <c r="AF107" i="1"/>
  <c r="AG107" i="1"/>
  <c r="AH107" i="1"/>
  <c r="V107" i="1"/>
  <c r="V101" i="1"/>
  <c r="W98" i="1"/>
  <c r="W97" i="1" s="1"/>
  <c r="X98" i="1"/>
  <c r="X97" i="1" s="1"/>
  <c r="Y98" i="1"/>
  <c r="Y97" i="1" s="1"/>
  <c r="Z98" i="1"/>
  <c r="Z97" i="1" s="1"/>
  <c r="AA98" i="1"/>
  <c r="AA97" i="1" s="1"/>
  <c r="AB98" i="1"/>
  <c r="AB97" i="1" s="1"/>
  <c r="AC98" i="1"/>
  <c r="AC97" i="1" s="1"/>
  <c r="AD98" i="1"/>
  <c r="AD97" i="1" s="1"/>
  <c r="AE98" i="1"/>
  <c r="AE97" i="1" s="1"/>
  <c r="AF98" i="1"/>
  <c r="AF97" i="1" s="1"/>
  <c r="AG98" i="1"/>
  <c r="AG97" i="1" s="1"/>
  <c r="AH98" i="1"/>
  <c r="AH97" i="1" s="1"/>
  <c r="V98" i="1"/>
  <c r="V97" i="1" s="1"/>
  <c r="W95" i="1"/>
  <c r="X95" i="1"/>
  <c r="Y95" i="1"/>
  <c r="Z95" i="1"/>
  <c r="AA95" i="1"/>
  <c r="AB95" i="1"/>
  <c r="AC95" i="1"/>
  <c r="AD95" i="1"/>
  <c r="AE95" i="1"/>
  <c r="AF95" i="1"/>
  <c r="AG95" i="1"/>
  <c r="AH95" i="1"/>
  <c r="V95" i="1"/>
  <c r="W93" i="1"/>
  <c r="X93" i="1"/>
  <c r="Y93" i="1"/>
  <c r="Z93" i="1"/>
  <c r="AA93" i="1"/>
  <c r="AB93" i="1"/>
  <c r="AC93" i="1"/>
  <c r="AD93" i="1"/>
  <c r="AE93" i="1"/>
  <c r="AF93" i="1"/>
  <c r="AG93" i="1"/>
  <c r="AH93" i="1"/>
  <c r="V93" i="1"/>
  <c r="W91" i="1"/>
  <c r="V91" i="1"/>
  <c r="W83" i="1"/>
  <c r="X83" i="1"/>
  <c r="Y83" i="1"/>
  <c r="Z83" i="1"/>
  <c r="AA83" i="1"/>
  <c r="AB83" i="1"/>
  <c r="AC83" i="1"/>
  <c r="AD83" i="1"/>
  <c r="AE83" i="1"/>
  <c r="AF83" i="1"/>
  <c r="AG83" i="1"/>
  <c r="AH83" i="1"/>
  <c r="W63" i="1"/>
  <c r="W62" i="1" s="1"/>
  <c r="X63" i="1"/>
  <c r="X62" i="1" s="1"/>
  <c r="Y63" i="1"/>
  <c r="Y62" i="1" s="1"/>
  <c r="Z63" i="1"/>
  <c r="Z62" i="1" s="1"/>
  <c r="AA63" i="1"/>
  <c r="AA62" i="1" s="1"/>
  <c r="AB63" i="1"/>
  <c r="AB62" i="1" s="1"/>
  <c r="AC63" i="1"/>
  <c r="AC62" i="1" s="1"/>
  <c r="AD63" i="1"/>
  <c r="AD62" i="1" s="1"/>
  <c r="AE63" i="1"/>
  <c r="AE62" i="1" s="1"/>
  <c r="AF63" i="1"/>
  <c r="AF62" i="1" s="1"/>
  <c r="AG63" i="1"/>
  <c r="AG62" i="1" s="1"/>
  <c r="AH63" i="1"/>
  <c r="W68" i="1"/>
  <c r="W67" i="1" s="1"/>
  <c r="X68" i="1"/>
  <c r="Y68" i="1"/>
  <c r="Y67" i="1" s="1"/>
  <c r="Z68" i="1"/>
  <c r="Z67" i="1" s="1"/>
  <c r="AA68" i="1"/>
  <c r="AA67" i="1" s="1"/>
  <c r="AB68" i="1"/>
  <c r="AB67" i="1" s="1"/>
  <c r="AC68" i="1"/>
  <c r="AC67" i="1" s="1"/>
  <c r="AD68" i="1"/>
  <c r="AD67" i="1" s="1"/>
  <c r="AE68" i="1"/>
  <c r="AE67" i="1" s="1"/>
  <c r="AF68" i="1"/>
  <c r="AF67" i="1" s="1"/>
  <c r="AG68" i="1"/>
  <c r="AG67" i="1" s="1"/>
  <c r="AH68" i="1"/>
  <c r="AH67" i="1" s="1"/>
  <c r="W72" i="1"/>
  <c r="X72" i="1"/>
  <c r="Y72" i="1"/>
  <c r="Z72" i="1"/>
  <c r="AA72" i="1"/>
  <c r="AB72" i="1"/>
  <c r="AC72" i="1"/>
  <c r="AD72" i="1"/>
  <c r="AE72" i="1"/>
  <c r="AF72" i="1"/>
  <c r="AG72" i="1"/>
  <c r="AH72" i="1"/>
  <c r="W74" i="1"/>
  <c r="X74" i="1"/>
  <c r="Y74" i="1"/>
  <c r="Z74" i="1"/>
  <c r="AA74" i="1"/>
  <c r="AB74" i="1"/>
  <c r="AC74" i="1"/>
  <c r="AD74" i="1"/>
  <c r="AE74" i="1"/>
  <c r="AF74" i="1"/>
  <c r="AG74" i="1"/>
  <c r="AH74" i="1"/>
  <c r="V68" i="1"/>
  <c r="V67" i="1" s="1"/>
  <c r="V63" i="1"/>
  <c r="V62" i="1" s="1"/>
  <c r="V74" i="1"/>
  <c r="W47" i="1"/>
  <c r="W46" i="1" s="1"/>
  <c r="X47" i="1"/>
  <c r="X46" i="1" s="1"/>
  <c r="Y47" i="1"/>
  <c r="Y46" i="1" s="1"/>
  <c r="Z47" i="1"/>
  <c r="Z46" i="1" s="1"/>
  <c r="AA47" i="1"/>
  <c r="AA46" i="1" s="1"/>
  <c r="AB47" i="1"/>
  <c r="AB46" i="1" s="1"/>
  <c r="AC47" i="1"/>
  <c r="AC46" i="1" s="1"/>
  <c r="AD47" i="1"/>
  <c r="AD46" i="1" s="1"/>
  <c r="AE47" i="1"/>
  <c r="AE46" i="1" s="1"/>
  <c r="AG47" i="1"/>
  <c r="AG46" i="1" s="1"/>
  <c r="AH47" i="1"/>
  <c r="AH46" i="1" s="1"/>
  <c r="W40" i="1"/>
  <c r="W39" i="1" s="1"/>
  <c r="W38" i="1" s="1"/>
  <c r="W37" i="1" s="1"/>
  <c r="X40" i="1"/>
  <c r="X39" i="1" s="1"/>
  <c r="X38" i="1" s="1"/>
  <c r="X37" i="1" s="1"/>
  <c r="Y40" i="1"/>
  <c r="Y39" i="1" s="1"/>
  <c r="Y38" i="1" s="1"/>
  <c r="Y37" i="1" s="1"/>
  <c r="Z40" i="1"/>
  <c r="Z39" i="1" s="1"/>
  <c r="Z38" i="1" s="1"/>
  <c r="Z37" i="1" s="1"/>
  <c r="AA40" i="1"/>
  <c r="AA39" i="1" s="1"/>
  <c r="AA38" i="1" s="1"/>
  <c r="AA37" i="1" s="1"/>
  <c r="AB40" i="1"/>
  <c r="AB39" i="1" s="1"/>
  <c r="AB38" i="1" s="1"/>
  <c r="AB37" i="1" s="1"/>
  <c r="AC40" i="1"/>
  <c r="AC39" i="1" s="1"/>
  <c r="AC38" i="1" s="1"/>
  <c r="AC37" i="1" s="1"/>
  <c r="AD40" i="1"/>
  <c r="AD39" i="1" s="1"/>
  <c r="AD38" i="1" s="1"/>
  <c r="AD37" i="1" s="1"/>
  <c r="AE40" i="1"/>
  <c r="AE39" i="1" s="1"/>
  <c r="AE38" i="1" s="1"/>
  <c r="AE37" i="1" s="1"/>
  <c r="AG40" i="1"/>
  <c r="AG39" i="1" s="1"/>
  <c r="AG38" i="1" s="1"/>
  <c r="AG37" i="1" s="1"/>
  <c r="AH40" i="1"/>
  <c r="AH39" i="1" s="1"/>
  <c r="AH38" i="1" s="1"/>
  <c r="AH37" i="1" s="1"/>
  <c r="V40" i="1"/>
  <c r="V39" i="1" s="1"/>
  <c r="V38" i="1" s="1"/>
  <c r="V37" i="1" s="1"/>
  <c r="W25" i="1"/>
  <c r="X25" i="1"/>
  <c r="Y25" i="1"/>
  <c r="Z25" i="1"/>
  <c r="AA25" i="1"/>
  <c r="AB25" i="1"/>
  <c r="AC25" i="1"/>
  <c r="AD25" i="1"/>
  <c r="AE25" i="1"/>
  <c r="AG25" i="1"/>
  <c r="AH25" i="1"/>
  <c r="AK25" i="1"/>
  <c r="AL25" i="1"/>
  <c r="V25" i="1"/>
  <c r="W22" i="1"/>
  <c r="X22" i="1"/>
  <c r="Y22" i="1"/>
  <c r="Z22" i="1"/>
  <c r="AA22" i="1"/>
  <c r="AB22" i="1"/>
  <c r="AC22" i="1"/>
  <c r="AD22" i="1"/>
  <c r="AE22" i="1"/>
  <c r="AF22" i="1"/>
  <c r="AG22" i="1"/>
  <c r="AH22" i="1"/>
  <c r="AK22" i="1"/>
  <c r="AL22" i="1"/>
  <c r="V22" i="1"/>
  <c r="W12" i="1"/>
  <c r="X12" i="1"/>
  <c r="Y12" i="1"/>
  <c r="Z12" i="1"/>
  <c r="AA12" i="1"/>
  <c r="AB12" i="1"/>
  <c r="AC12" i="1"/>
  <c r="AD12" i="1"/>
  <c r="AE12" i="1"/>
  <c r="AF12" i="1"/>
  <c r="AG12" i="1"/>
  <c r="AH12" i="1"/>
  <c r="V12" i="1"/>
  <c r="C100" i="10" l="1"/>
  <c r="AH62" i="1"/>
  <c r="J44" i="6"/>
  <c r="J43" i="6" s="1"/>
  <c r="J42" i="6" s="1"/>
  <c r="V452" i="1"/>
  <c r="H146" i="6"/>
  <c r="AF159" i="1"/>
  <c r="F94" i="6"/>
  <c r="AF149" i="1"/>
  <c r="F92" i="6"/>
  <c r="X67" i="1"/>
  <c r="G46" i="6"/>
  <c r="G45" i="6" s="1"/>
  <c r="G42" i="6" s="1"/>
  <c r="G30" i="6" s="1"/>
  <c r="AG159" i="1"/>
  <c r="G94" i="6"/>
  <c r="G93" i="6" s="1"/>
  <c r="K130" i="6"/>
  <c r="K129" i="6" s="1"/>
  <c r="K128" i="6" s="1"/>
  <c r="AJ285" i="1"/>
  <c r="AJ284" i="1" s="1"/>
  <c r="C94" i="10"/>
  <c r="C93" i="10"/>
  <c r="C95" i="10"/>
  <c r="AH21" i="1"/>
  <c r="AH20" i="1" s="1"/>
  <c r="AH19" i="1" s="1"/>
  <c r="AF403" i="1"/>
  <c r="AF402" i="1" s="1"/>
  <c r="X403" i="1"/>
  <c r="X402" i="1" s="1"/>
  <c r="V421" i="1"/>
  <c r="V420" i="1" s="1"/>
  <c r="AA421" i="1"/>
  <c r="AA420" i="1" s="1"/>
  <c r="W421" i="1"/>
  <c r="W420" i="1" s="1"/>
  <c r="V100" i="1"/>
  <c r="AH421" i="1"/>
  <c r="AH420" i="1" s="1"/>
  <c r="AD421" i="1"/>
  <c r="AD420" i="1" s="1"/>
  <c r="AD100" i="1"/>
  <c r="AJ288" i="1"/>
  <c r="Z100" i="1"/>
  <c r="AG21" i="1"/>
  <c r="AG20" i="1" s="1"/>
  <c r="AG19" i="1" s="1"/>
  <c r="AG100" i="1"/>
  <c r="AF313" i="1"/>
  <c r="AB313" i="1"/>
  <c r="X313" i="1"/>
  <c r="Z235" i="1"/>
  <c r="Z234" i="1" s="1"/>
  <c r="Z233" i="1" s="1"/>
  <c r="AF421" i="1"/>
  <c r="AF420" i="1" s="1"/>
  <c r="AB421" i="1"/>
  <c r="AB420" i="1" s="1"/>
  <c r="AH403" i="1"/>
  <c r="AH402" i="1" s="1"/>
  <c r="AH441" i="1"/>
  <c r="AH440" i="1" s="1"/>
  <c r="AH439" i="1" s="1"/>
  <c r="AH100" i="1"/>
  <c r="V168" i="1"/>
  <c r="AE441" i="1"/>
  <c r="AE440" i="1" s="1"/>
  <c r="AE439" i="1" s="1"/>
  <c r="W441" i="1"/>
  <c r="W440" i="1" s="1"/>
  <c r="W439" i="1" s="1"/>
  <c r="AE21" i="1"/>
  <c r="AE20" i="1" s="1"/>
  <c r="AE19" i="1" s="1"/>
  <c r="AF100" i="1"/>
  <c r="AB100" i="1"/>
  <c r="X100" i="1"/>
  <c r="V226" i="1"/>
  <c r="V225" i="1" s="1"/>
  <c r="AE226" i="1"/>
  <c r="AE225" i="1" s="1"/>
  <c r="AE224" i="1" s="1"/>
  <c r="AD235" i="1"/>
  <c r="AD234" i="1" s="1"/>
  <c r="AD233" i="1" s="1"/>
  <c r="AH235" i="1"/>
  <c r="AH234" i="1" s="1"/>
  <c r="AH233" i="1" s="1"/>
  <c r="AD113" i="1"/>
  <c r="V403" i="1"/>
  <c r="V402" i="1" s="1"/>
  <c r="Z403" i="1"/>
  <c r="Z402" i="1" s="1"/>
  <c r="AD403" i="1"/>
  <c r="AD402" i="1" s="1"/>
  <c r="AD441" i="1"/>
  <c r="AD440" i="1" s="1"/>
  <c r="AD439" i="1" s="1"/>
  <c r="Z441" i="1"/>
  <c r="Z440" i="1" s="1"/>
  <c r="Z439" i="1" s="1"/>
  <c r="AD21" i="1"/>
  <c r="AD20" i="1" s="1"/>
  <c r="AD19" i="1" s="1"/>
  <c r="Z21" i="1"/>
  <c r="Z20" i="1" s="1"/>
  <c r="Z19" i="1" s="1"/>
  <c r="AE100" i="1"/>
  <c r="AA100" i="1"/>
  <c r="W100" i="1"/>
  <c r="V235" i="1"/>
  <c r="V234" i="1" s="1"/>
  <c r="AG235" i="1"/>
  <c r="AG234" i="1" s="1"/>
  <c r="AG233" i="1" s="1"/>
  <c r="AJ281" i="1"/>
  <c r="AJ280" i="1" s="1"/>
  <c r="AA441" i="1"/>
  <c r="AA440" i="1" s="1"/>
  <c r="AA439" i="1" s="1"/>
  <c r="AD90" i="1"/>
  <c r="AF113" i="1"/>
  <c r="AB113" i="1"/>
  <c r="X113" i="1"/>
  <c r="AB403" i="1"/>
  <c r="AB402" i="1" s="1"/>
  <c r="AC71" i="1"/>
  <c r="AC61" i="1" s="1"/>
  <c r="AC100" i="1"/>
  <c r="Y100" i="1"/>
  <c r="Z113" i="1"/>
  <c r="AH113" i="1"/>
  <c r="W71" i="1"/>
  <c r="W61" i="1" s="1"/>
  <c r="AH90" i="1"/>
  <c r="V148" i="1"/>
  <c r="V147" i="1" s="1"/>
  <c r="W226" i="1"/>
  <c r="W225" i="1" s="1"/>
  <c r="W224" i="1" s="1"/>
  <c r="X235" i="1"/>
  <c r="X234" i="1" s="1"/>
  <c r="X233" i="1" s="1"/>
  <c r="AE313" i="1"/>
  <c r="AA21" i="1"/>
  <c r="AA20" i="1" s="1"/>
  <c r="AA19" i="1" s="1"/>
  <c r="AG90" i="1"/>
  <c r="W235" i="1"/>
  <c r="W234" i="1" s="1"/>
  <c r="W233" i="1" s="1"/>
  <c r="AD313" i="1"/>
  <c r="AA113" i="1"/>
  <c r="Y403" i="1"/>
  <c r="Y402" i="1" s="1"/>
  <c r="AG71" i="1"/>
  <c r="AG61" i="1" s="1"/>
  <c r="AF90" i="1"/>
  <c r="AC313" i="1"/>
  <c r="V90" i="1"/>
  <c r="AE90" i="1"/>
  <c r="AE421" i="1"/>
  <c r="AE420" i="1" s="1"/>
  <c r="Y113" i="1"/>
  <c r="AA403" i="1"/>
  <c r="AA402" i="1" s="1"/>
  <c r="AC90" i="1"/>
  <c r="AC89" i="1" s="1"/>
  <c r="AE235" i="1"/>
  <c r="AE234" i="1" s="1"/>
  <c r="AE233" i="1" s="1"/>
  <c r="Z313" i="1"/>
  <c r="W113" i="1"/>
  <c r="AC403" i="1"/>
  <c r="AC402" i="1" s="1"/>
  <c r="V441" i="1"/>
  <c r="V440" i="1" s="1"/>
  <c r="W90" i="1"/>
  <c r="AB90" i="1"/>
  <c r="Z226" i="1"/>
  <c r="Z225" i="1" s="1"/>
  <c r="Z224" i="1" s="1"/>
  <c r="Y313" i="1"/>
  <c r="X421" i="1"/>
  <c r="X420" i="1" s="1"/>
  <c r="AC235" i="1"/>
  <c r="AC234" i="1" s="1"/>
  <c r="AC233" i="1" s="1"/>
  <c r="AG113" i="1"/>
  <c r="AE403" i="1"/>
  <c r="AE402" i="1" s="1"/>
  <c r="AA313" i="1"/>
  <c r="AA71" i="1"/>
  <c r="AA61" i="1" s="1"/>
  <c r="Z90" i="1"/>
  <c r="W313" i="1"/>
  <c r="Z421" i="1"/>
  <c r="Z420" i="1" s="1"/>
  <c r="Y90" i="1"/>
  <c r="AA235" i="1"/>
  <c r="AA234" i="1" s="1"/>
  <c r="AA233" i="1" s="1"/>
  <c r="AH313" i="1"/>
  <c r="AE113" i="1"/>
  <c r="AG403" i="1"/>
  <c r="AG402" i="1" s="1"/>
  <c r="Y71" i="1"/>
  <c r="Y61" i="1" s="1"/>
  <c r="X90" i="1"/>
  <c r="AG313" i="1"/>
  <c r="AE71" i="1"/>
  <c r="AE61" i="1" s="1"/>
  <c r="AA90" i="1"/>
  <c r="Y235" i="1"/>
  <c r="Y234" i="1" s="1"/>
  <c r="Y233" i="1" s="1"/>
  <c r="AC113" i="1"/>
  <c r="W403" i="1"/>
  <c r="W402" i="1" s="1"/>
  <c r="X459" i="1"/>
  <c r="AG459" i="1"/>
  <c r="AC459" i="1"/>
  <c r="Y459" i="1"/>
  <c r="AB459" i="1"/>
  <c r="AE459" i="1"/>
  <c r="AA459" i="1"/>
  <c r="W459" i="1"/>
  <c r="AH459" i="1"/>
  <c r="AD459" i="1"/>
  <c r="Z459" i="1"/>
  <c r="AF459" i="1"/>
  <c r="AB452" i="1"/>
  <c r="AE452" i="1"/>
  <c r="AG452" i="1"/>
  <c r="Y452" i="1"/>
  <c r="Y451" i="1" s="1"/>
  <c r="AF452" i="1"/>
  <c r="W452" i="1"/>
  <c r="AC452" i="1"/>
  <c r="X452" i="1"/>
  <c r="AH452" i="1"/>
  <c r="AH451" i="1" s="1"/>
  <c r="AD452" i="1"/>
  <c r="AD451" i="1" s="1"/>
  <c r="Z452" i="1"/>
  <c r="Z451" i="1" s="1"/>
  <c r="AA452" i="1"/>
  <c r="AB441" i="1"/>
  <c r="AB440" i="1" s="1"/>
  <c r="AB439" i="1" s="1"/>
  <c r="X441" i="1"/>
  <c r="X440" i="1" s="1"/>
  <c r="X439" i="1" s="1"/>
  <c r="AC441" i="1"/>
  <c r="AC440" i="1" s="1"/>
  <c r="AC439" i="1" s="1"/>
  <c r="Y441" i="1"/>
  <c r="Y440" i="1" s="1"/>
  <c r="Y439" i="1" s="1"/>
  <c r="AG421" i="1"/>
  <c r="AG420" i="1" s="1"/>
  <c r="AC421" i="1"/>
  <c r="AC420" i="1" s="1"/>
  <c r="Y421" i="1"/>
  <c r="Y420" i="1" s="1"/>
  <c r="AG226" i="1"/>
  <c r="AG225" i="1" s="1"/>
  <c r="AG224" i="1" s="1"/>
  <c r="AC226" i="1"/>
  <c r="AC225" i="1" s="1"/>
  <c r="AC224" i="1" s="1"/>
  <c r="Y226" i="1"/>
  <c r="Y225" i="1" s="1"/>
  <c r="Y224" i="1" s="1"/>
  <c r="AH148" i="1"/>
  <c r="AH147" i="1" s="1"/>
  <c r="AD148" i="1"/>
  <c r="AD147" i="1" s="1"/>
  <c r="Z148" i="1"/>
  <c r="Z147" i="1" s="1"/>
  <c r="AB148" i="1"/>
  <c r="AB147" i="1" s="1"/>
  <c r="X148" i="1"/>
  <c r="X147" i="1" s="1"/>
  <c r="AE148" i="1"/>
  <c r="AE147" i="1" s="1"/>
  <c r="AA148" i="1"/>
  <c r="AA147" i="1" s="1"/>
  <c r="W148" i="1"/>
  <c r="W147" i="1" s="1"/>
  <c r="AC148" i="1"/>
  <c r="AC147" i="1" s="1"/>
  <c r="Y148" i="1"/>
  <c r="Y147" i="1" s="1"/>
  <c r="V21" i="1"/>
  <c r="V20" i="1" s="1"/>
  <c r="AL21" i="1"/>
  <c r="AC21" i="1"/>
  <c r="AC20" i="1" s="1"/>
  <c r="AC19" i="1" s="1"/>
  <c r="Y21" i="1"/>
  <c r="Y20" i="1" s="1"/>
  <c r="Y19" i="1" s="1"/>
  <c r="AF71" i="1"/>
  <c r="AF61" i="1" s="1"/>
  <c r="AB71" i="1"/>
  <c r="AB61" i="1" s="1"/>
  <c r="X71" i="1"/>
  <c r="W21" i="1"/>
  <c r="W20" i="1" s="1"/>
  <c r="W19" i="1" s="1"/>
  <c r="AH71" i="1"/>
  <c r="AH61" i="1" s="1"/>
  <c r="AD71" i="1"/>
  <c r="AD61" i="1" s="1"/>
  <c r="Z71" i="1"/>
  <c r="Z61" i="1" s="1"/>
  <c r="AK21" i="1"/>
  <c r="AK20" i="1" s="1"/>
  <c r="AK19" i="1" s="1"/>
  <c r="AB21" i="1"/>
  <c r="AB20" i="1" s="1"/>
  <c r="AB19" i="1" s="1"/>
  <c r="X21" i="1"/>
  <c r="X20" i="1" s="1"/>
  <c r="X19" i="1" s="1"/>
  <c r="AF148" i="1" l="1"/>
  <c r="AF147" i="1" s="1"/>
  <c r="X401" i="1"/>
  <c r="X89" i="1"/>
  <c r="X61" i="1"/>
  <c r="F91" i="6"/>
  <c r="H94" i="6"/>
  <c r="F93" i="6"/>
  <c r="W401" i="1"/>
  <c r="AG89" i="1"/>
  <c r="Z401" i="1"/>
  <c r="AH401" i="1"/>
  <c r="AG401" i="1"/>
  <c r="AA401" i="1"/>
  <c r="AB89" i="1"/>
  <c r="Z89" i="1"/>
  <c r="AD89" i="1"/>
  <c r="AE451" i="1"/>
  <c r="AF401" i="1"/>
  <c r="AB451" i="1"/>
  <c r="AA89" i="1"/>
  <c r="AF89" i="1"/>
  <c r="AB401" i="1"/>
  <c r="V89" i="1"/>
  <c r="AA451" i="1"/>
  <c r="AE89" i="1"/>
  <c r="AD401" i="1"/>
  <c r="X451" i="1"/>
  <c r="Y89" i="1"/>
  <c r="AH89" i="1"/>
  <c r="W451" i="1"/>
  <c r="Y401" i="1"/>
  <c r="AC401" i="1"/>
  <c r="AL20" i="1"/>
  <c r="AL19" i="1" s="1"/>
  <c r="AF451" i="1"/>
  <c r="AE401" i="1"/>
  <c r="AC451" i="1"/>
  <c r="AG451" i="1"/>
  <c r="V167" i="1"/>
  <c r="C66" i="10"/>
  <c r="F90" i="6" l="1"/>
  <c r="F89" i="6" s="1"/>
  <c r="AF440" i="1"/>
  <c r="AF439" i="1" s="1"/>
  <c r="F64" i="6" l="1"/>
  <c r="F62" i="6"/>
  <c r="F61" i="6"/>
  <c r="F60" i="6"/>
  <c r="F63" i="6" l="1"/>
  <c r="F59" i="6"/>
  <c r="Z336" i="1"/>
  <c r="AF208" i="1"/>
  <c r="AJ208" i="1" s="1"/>
  <c r="AF210" i="1"/>
  <c r="AJ210" i="1" s="1"/>
  <c r="AJ209" i="1"/>
  <c r="AF207" i="1"/>
  <c r="AJ207" i="1" s="1"/>
  <c r="AF206" i="1" l="1"/>
  <c r="AF40" i="1" l="1"/>
  <c r="AF271" i="1"/>
  <c r="AF28" i="1"/>
  <c r="H191" i="6"/>
  <c r="G191" i="6"/>
  <c r="F174" i="6"/>
  <c r="F173" i="6"/>
  <c r="AH389" i="1"/>
  <c r="J166" i="6" s="1"/>
  <c r="AF389" i="1"/>
  <c r="I166" i="6" s="1"/>
  <c r="AA389" i="1"/>
  <c r="H166" i="6" s="1"/>
  <c r="Z389" i="1"/>
  <c r="F166" i="6" s="1"/>
  <c r="AJ316" i="1"/>
  <c r="G142" i="6"/>
  <c r="G141" i="6" s="1"/>
  <c r="I131" i="6"/>
  <c r="H131" i="6"/>
  <c r="AF188" i="1"/>
  <c r="F105" i="6" s="1"/>
  <c r="H105" i="6" s="1"/>
  <c r="G84" i="6"/>
  <c r="V56" i="1"/>
  <c r="AF143" i="1"/>
  <c r="AG143" i="1"/>
  <c r="G69" i="6"/>
  <c r="G68" i="6" s="1"/>
  <c r="AJ126" i="1"/>
  <c r="AJ129" i="1"/>
  <c r="AJ128" i="1"/>
  <c r="AJ127" i="1"/>
  <c r="AJ121" i="1"/>
  <c r="AJ120" i="1"/>
  <c r="AJ119" i="1"/>
  <c r="AJ116" i="1"/>
  <c r="C44" i="10" s="1"/>
  <c r="C43" i="10"/>
  <c r="C29" i="10"/>
  <c r="C10" i="10"/>
  <c r="AJ17" i="1"/>
  <c r="AJ15" i="1"/>
  <c r="C7" i="10" s="1"/>
  <c r="AJ14" i="1"/>
  <c r="C6" i="10" s="1"/>
  <c r="AJ13" i="1"/>
  <c r="C5" i="10" s="1"/>
  <c r="J191" i="6" l="1"/>
  <c r="C45" i="10"/>
  <c r="AF39" i="1"/>
  <c r="AF38" i="1" s="1"/>
  <c r="AF37" i="1" s="1"/>
  <c r="F26" i="6"/>
  <c r="AJ315" i="1"/>
  <c r="AJ314" i="1" s="1"/>
  <c r="C116" i="10"/>
  <c r="C46" i="10"/>
  <c r="AJ16" i="1"/>
  <c r="C8" i="10"/>
  <c r="AJ124" i="1"/>
  <c r="AJ123" i="1" s="1"/>
  <c r="AJ122" i="1" s="1"/>
  <c r="AJ12" i="1"/>
  <c r="AJ118" i="1"/>
  <c r="AJ117" i="1" s="1"/>
  <c r="AJ115" i="1"/>
  <c r="AJ114" i="1" s="1"/>
  <c r="AF236" i="1"/>
  <c r="AF235" i="1" s="1"/>
  <c r="AF234" i="1" s="1"/>
  <c r="AF233" i="1" s="1"/>
  <c r="H85" i="6"/>
  <c r="AG133" i="1"/>
  <c r="AG132" i="1" s="1"/>
  <c r="AG131" i="1" s="1"/>
  <c r="G85" i="6"/>
  <c r="G83" i="6" s="1"/>
  <c r="G82" i="6" s="1"/>
  <c r="G81" i="6" s="1"/>
  <c r="AF133" i="1"/>
  <c r="AF132" i="1" s="1"/>
  <c r="AF131" i="1" s="1"/>
  <c r="F172" i="6"/>
  <c r="F171" i="6" s="1"/>
  <c r="F39" i="6"/>
  <c r="V55" i="1"/>
  <c r="G190" i="6"/>
  <c r="AJ11" i="1" l="1"/>
  <c r="AJ10" i="1" s="1"/>
  <c r="AJ9" i="1" s="1"/>
  <c r="C4" i="10"/>
  <c r="F38" i="6"/>
  <c r="G189" i="6"/>
  <c r="G188" i="6" s="1"/>
  <c r="G187" i="6" s="1"/>
  <c r="E66" i="5"/>
  <c r="E65" i="5" s="1"/>
  <c r="AJ113" i="1"/>
  <c r="E69" i="5"/>
  <c r="E68" i="5" s="1"/>
  <c r="E67" i="5" s="1"/>
  <c r="AB236" i="1"/>
  <c r="AB235" i="1" s="1"/>
  <c r="AB234" i="1" s="1"/>
  <c r="AB233" i="1" s="1"/>
  <c r="J131" i="6"/>
  <c r="E64" i="5"/>
  <c r="E63" i="5" s="1"/>
  <c r="E62" i="5" s="1"/>
  <c r="H84" i="6"/>
  <c r="H83" i="6" s="1"/>
  <c r="H82" i="6" s="1"/>
  <c r="H81" i="6" s="1"/>
  <c r="AH143" i="1"/>
  <c r="AH133" i="1" s="1"/>
  <c r="AH132" i="1" s="1"/>
  <c r="AH131" i="1" s="1"/>
  <c r="AK150" i="1"/>
  <c r="D44" i="9" l="1"/>
  <c r="G131" i="6"/>
  <c r="AJ469" i="1"/>
  <c r="AJ470" i="1"/>
  <c r="AJ471" i="1"/>
  <c r="G204" i="6"/>
  <c r="G199" i="6"/>
  <c r="G198" i="6"/>
  <c r="F204" i="6"/>
  <c r="F203" i="6" s="1"/>
  <c r="G203" i="6" l="1"/>
  <c r="H204" i="6"/>
  <c r="H203" i="6" s="1"/>
  <c r="G197" i="6"/>
  <c r="G196" i="6" s="1"/>
  <c r="V134" i="1" l="1"/>
  <c r="F84" i="6" l="1"/>
  <c r="I84" i="6" s="1"/>
  <c r="AK206" i="1"/>
  <c r="AL206" i="1"/>
  <c r="AJ139" i="1"/>
  <c r="AJ68" i="1" l="1"/>
  <c r="AJ67" i="1" s="1"/>
  <c r="C28" i="10"/>
  <c r="AJ397" i="1"/>
  <c r="AJ398" i="1"/>
  <c r="AJ399" i="1"/>
  <c r="AJ263" i="1" l="1"/>
  <c r="AJ264" i="1"/>
  <c r="AJ265" i="1"/>
  <c r="AJ266" i="1"/>
  <c r="AJ267" i="1"/>
  <c r="AJ268" i="1"/>
  <c r="AJ269" i="1"/>
  <c r="AJ270" i="1"/>
  <c r="AK430" i="1"/>
  <c r="AL430" i="1"/>
  <c r="AJ432" i="1"/>
  <c r="AJ434" i="1"/>
  <c r="AJ435" i="1"/>
  <c r="AJ436" i="1"/>
  <c r="AK414" i="1"/>
  <c r="AL414" i="1"/>
  <c r="AJ416" i="1"/>
  <c r="AJ417" i="1"/>
  <c r="AJ418" i="1"/>
  <c r="AJ419" i="1"/>
  <c r="AK404" i="1"/>
  <c r="AL404" i="1"/>
  <c r="AJ406" i="1"/>
  <c r="AJ407" i="1"/>
  <c r="AJ408" i="1"/>
  <c r="AJ409" i="1"/>
  <c r="AJ410" i="1"/>
  <c r="AJ411" i="1"/>
  <c r="AJ412" i="1"/>
  <c r="AJ413" i="1"/>
  <c r="C88" i="10" l="1"/>
  <c r="C147" i="10"/>
  <c r="C89" i="10"/>
  <c r="C87" i="10"/>
  <c r="AF30" i="1"/>
  <c r="AF31" i="1"/>
  <c r="AF34" i="1"/>
  <c r="AF29" i="1"/>
  <c r="AF26" i="1"/>
  <c r="AF25" i="1" l="1"/>
  <c r="AF21" i="1" s="1"/>
  <c r="AF20" i="1" s="1"/>
  <c r="AF19" i="1" s="1"/>
  <c r="I49" i="6"/>
  <c r="AK74" i="1"/>
  <c r="AK61" i="1" s="1"/>
  <c r="AL74" i="1"/>
  <c r="AJ80" i="1"/>
  <c r="AJ396" i="1" l="1"/>
  <c r="AH336" i="1" l="1"/>
  <c r="W110" i="1"/>
  <c r="W109" i="1" s="1"/>
  <c r="W89" i="1" s="1"/>
  <c r="W88" i="1" s="1"/>
  <c r="AG442" i="1" l="1"/>
  <c r="AG441" i="1" s="1"/>
  <c r="AG440" i="1" s="1"/>
  <c r="AG439" i="1" s="1"/>
  <c r="H49" i="6"/>
  <c r="AJ145" i="1"/>
  <c r="H190" i="6" l="1"/>
  <c r="J190" i="6" s="1"/>
  <c r="H189" i="6" l="1"/>
  <c r="H188" i="6" s="1"/>
  <c r="H187" i="6" s="1"/>
  <c r="V307" i="1" l="1"/>
  <c r="V287" i="1" s="1"/>
  <c r="V279" i="1" s="1"/>
  <c r="J189" i="6"/>
  <c r="J188" i="6" s="1"/>
  <c r="J187" i="6" s="1"/>
  <c r="AJ248" i="1"/>
  <c r="AJ246" i="1"/>
  <c r="AJ245" i="1"/>
  <c r="AJ256" i="1"/>
  <c r="AJ257" i="1"/>
  <c r="AJ258" i="1"/>
  <c r="AJ254" i="1"/>
  <c r="AJ276" i="1"/>
  <c r="AJ260" i="1"/>
  <c r="AJ261" i="1"/>
  <c r="AJ262" i="1"/>
  <c r="AJ275" i="1" l="1"/>
  <c r="AJ274" i="1" s="1"/>
  <c r="AJ273" i="1" s="1"/>
  <c r="C91" i="10"/>
  <c r="AG150" i="1"/>
  <c r="F148" i="6"/>
  <c r="I135" i="6"/>
  <c r="I134" i="6" s="1"/>
  <c r="I133" i="6" s="1"/>
  <c r="H135" i="6"/>
  <c r="H134" i="6" s="1"/>
  <c r="H133" i="6" s="1"/>
  <c r="F135" i="6"/>
  <c r="J135" i="6"/>
  <c r="J134" i="6" s="1"/>
  <c r="J133" i="6" s="1"/>
  <c r="G135" i="6"/>
  <c r="G134" i="6" s="1"/>
  <c r="G133" i="6" s="1"/>
  <c r="AG149" i="1" l="1"/>
  <c r="AG148" i="1" s="1"/>
  <c r="AG147" i="1" s="1"/>
  <c r="G92" i="6"/>
  <c r="F134" i="6"/>
  <c r="F133" i="6" s="1"/>
  <c r="M135" i="6"/>
  <c r="M134" i="6" s="1"/>
  <c r="M133" i="6" s="1"/>
  <c r="E117" i="5"/>
  <c r="E116" i="5" s="1"/>
  <c r="E115" i="5" s="1"/>
  <c r="F177" i="6"/>
  <c r="F178" i="6"/>
  <c r="G91" i="6" l="1"/>
  <c r="G90" i="6" s="1"/>
  <c r="G89" i="6" s="1"/>
  <c r="H92" i="6"/>
  <c r="F176" i="6"/>
  <c r="F175" i="6" s="1"/>
  <c r="F181" i="6"/>
  <c r="F180" i="6" s="1"/>
  <c r="F179" i="6" s="1"/>
  <c r="AF299" i="1"/>
  <c r="AF307" i="1"/>
  <c r="G148" i="6" s="1"/>
  <c r="H148" i="6" s="1"/>
  <c r="G156" i="6"/>
  <c r="F116" i="6"/>
  <c r="H116" i="6" s="1"/>
  <c r="AF215" i="1"/>
  <c r="F115" i="6" s="1"/>
  <c r="H115" i="6" s="1"/>
  <c r="AF213" i="1"/>
  <c r="F113" i="6"/>
  <c r="H113" i="6" s="1"/>
  <c r="F112" i="6"/>
  <c r="H112" i="6" s="1"/>
  <c r="AF193" i="1"/>
  <c r="F107" i="6" s="1"/>
  <c r="H107" i="6" s="1"/>
  <c r="AF183" i="1"/>
  <c r="F103" i="6" s="1"/>
  <c r="H103" i="6" s="1"/>
  <c r="G155" i="6" l="1"/>
  <c r="G154" i="6" s="1"/>
  <c r="F114" i="6"/>
  <c r="AF202" i="1"/>
  <c r="AF201" i="1" s="1"/>
  <c r="G147" i="6"/>
  <c r="G145" i="6" s="1"/>
  <c r="AF287" i="1"/>
  <c r="F170" i="6"/>
  <c r="E17" i="5"/>
  <c r="F19" i="6"/>
  <c r="E16" i="5"/>
  <c r="F18" i="6"/>
  <c r="AJ259" i="1"/>
  <c r="F111" i="6" l="1"/>
  <c r="F110" i="6" s="1"/>
  <c r="H114" i="6"/>
  <c r="H111" i="6" s="1"/>
  <c r="H110" i="6" s="1"/>
  <c r="E15" i="5"/>
  <c r="E14" i="5" s="1"/>
  <c r="E13" i="5" s="1"/>
  <c r="AK236" i="1"/>
  <c r="AK234" i="1" s="1"/>
  <c r="C86" i="10"/>
  <c r="AF279" i="1"/>
  <c r="AF278" i="1" s="1"/>
  <c r="F17" i="6"/>
  <c r="AJ247" i="1"/>
  <c r="C84" i="10" s="1"/>
  <c r="C85" i="10"/>
  <c r="C76" i="10"/>
  <c r="F16" i="6" l="1"/>
  <c r="F15" i="6" s="1"/>
  <c r="AJ137" i="1"/>
  <c r="AJ24" i="1"/>
  <c r="AJ480" i="1"/>
  <c r="AJ479" i="1"/>
  <c r="AJ478" i="1"/>
  <c r="AJ477" i="1"/>
  <c r="AJ468" i="1"/>
  <c r="AJ467" i="1"/>
  <c r="AJ466" i="1"/>
  <c r="AJ465" i="1"/>
  <c r="AJ462" i="1"/>
  <c r="G202" i="6"/>
  <c r="V461" i="1"/>
  <c r="V460" i="1" s="1"/>
  <c r="V459" i="1" s="1"/>
  <c r="F199" i="6"/>
  <c r="H199" i="6" s="1"/>
  <c r="AJ455" i="1"/>
  <c r="AJ449" i="1"/>
  <c r="C156" i="10" s="1"/>
  <c r="AJ448" i="1"/>
  <c r="C155" i="10" s="1"/>
  <c r="AJ446" i="1"/>
  <c r="AJ445" i="1"/>
  <c r="AJ444" i="1"/>
  <c r="AJ443" i="1"/>
  <c r="AJ431" i="1"/>
  <c r="C151" i="10" s="1"/>
  <c r="AJ427" i="1"/>
  <c r="C150" i="10" s="1"/>
  <c r="AJ425" i="1"/>
  <c r="AJ424" i="1"/>
  <c r="AJ423" i="1"/>
  <c r="AJ415" i="1"/>
  <c r="C148" i="10" s="1"/>
  <c r="AJ405" i="1"/>
  <c r="C146" i="10" s="1"/>
  <c r="AJ393" i="1"/>
  <c r="AJ392" i="1"/>
  <c r="AJ390" i="1"/>
  <c r="AG389" i="1"/>
  <c r="AE389" i="1"/>
  <c r="AD389" i="1"/>
  <c r="AC389" i="1"/>
  <c r="AB389" i="1"/>
  <c r="Y389" i="1"/>
  <c r="G166" i="6" s="1"/>
  <c r="K166" i="6" s="1"/>
  <c r="X389" i="1"/>
  <c r="W389" i="1"/>
  <c r="V389" i="1"/>
  <c r="AJ387" i="1"/>
  <c r="C140" i="10" s="1"/>
  <c r="AJ386" i="1"/>
  <c r="C139" i="10" s="1"/>
  <c r="AJ385" i="1"/>
  <c r="C138" i="10" s="1"/>
  <c r="AJ384" i="1"/>
  <c r="C137" i="10" s="1"/>
  <c r="AJ383" i="1"/>
  <c r="C136" i="10" s="1"/>
  <c r="AJ382" i="1"/>
  <c r="AJ381" i="1"/>
  <c r="AJ380" i="1"/>
  <c r="AF378" i="1"/>
  <c r="AJ377" i="1"/>
  <c r="AJ376" i="1"/>
  <c r="AJ375" i="1"/>
  <c r="AJ374" i="1"/>
  <c r="AJ373" i="1"/>
  <c r="AJ372" i="1"/>
  <c r="AJ371" i="1"/>
  <c r="AJ370" i="1"/>
  <c r="AJ369" i="1"/>
  <c r="AJ368" i="1"/>
  <c r="AJ367" i="1"/>
  <c r="AJ366" i="1"/>
  <c r="AJ365" i="1"/>
  <c r="AJ364" i="1"/>
  <c r="AJ363" i="1"/>
  <c r="AJ362" i="1"/>
  <c r="AJ361" i="1"/>
  <c r="AJ360" i="1"/>
  <c r="AG359" i="1"/>
  <c r="AG335" i="1" s="1"/>
  <c r="AG334" i="1" s="1"/>
  <c r="AG333" i="1" s="1"/>
  <c r="AE359" i="1"/>
  <c r="AE335" i="1" s="1"/>
  <c r="AE334" i="1" s="1"/>
  <c r="AE333" i="1" s="1"/>
  <c r="AD359" i="1"/>
  <c r="AD335" i="1" s="1"/>
  <c r="AD334" i="1" s="1"/>
  <c r="AD333" i="1" s="1"/>
  <c r="AC359" i="1"/>
  <c r="AB359" i="1"/>
  <c r="AB335" i="1" s="1"/>
  <c r="AB334" i="1" s="1"/>
  <c r="AB333" i="1" s="1"/>
  <c r="AA359" i="1"/>
  <c r="Y359" i="1"/>
  <c r="G165" i="6" s="1"/>
  <c r="X359" i="1"/>
  <c r="W359" i="1"/>
  <c r="V359" i="1"/>
  <c r="AJ358" i="1"/>
  <c r="AJ357" i="1"/>
  <c r="AJ356" i="1"/>
  <c r="AJ355" i="1"/>
  <c r="AJ354" i="1"/>
  <c r="AJ353" i="1"/>
  <c r="AJ352" i="1"/>
  <c r="AJ351" i="1"/>
  <c r="AJ350" i="1"/>
  <c r="C125" i="10" s="1"/>
  <c r="F164" i="6"/>
  <c r="AJ349" i="1"/>
  <c r="AJ348" i="1"/>
  <c r="AJ347" i="1"/>
  <c r="AJ346" i="1"/>
  <c r="AJ345" i="1"/>
  <c r="AJ344" i="1"/>
  <c r="AJ343" i="1"/>
  <c r="AJ342" i="1"/>
  <c r="AJ341" i="1"/>
  <c r="AJ340" i="1"/>
  <c r="AJ339" i="1"/>
  <c r="AF337" i="1"/>
  <c r="AJ337" i="1" s="1"/>
  <c r="J164" i="6"/>
  <c r="V336" i="1"/>
  <c r="AJ323" i="1"/>
  <c r="C118" i="10" s="1"/>
  <c r="V322" i="1"/>
  <c r="V321" i="1" s="1"/>
  <c r="V320" i="1" s="1"/>
  <c r="AJ319" i="1"/>
  <c r="C117" i="10" s="1"/>
  <c r="G153" i="6"/>
  <c r="G152" i="6" s="1"/>
  <c r="V318" i="1"/>
  <c r="G151" i="6"/>
  <c r="G150" i="6" s="1"/>
  <c r="V315" i="1"/>
  <c r="AJ312" i="1"/>
  <c r="AJ311" i="1"/>
  <c r="AJ310" i="1"/>
  <c r="AJ309" i="1"/>
  <c r="AJ308" i="1"/>
  <c r="AH307" i="1"/>
  <c r="AG307" i="1"/>
  <c r="AE307" i="1"/>
  <c r="AD307" i="1"/>
  <c r="AC307" i="1"/>
  <c r="AB307" i="1"/>
  <c r="AA307" i="1"/>
  <c r="Z307" i="1"/>
  <c r="Y307" i="1"/>
  <c r="X307" i="1"/>
  <c r="W307" i="1"/>
  <c r="AJ306" i="1"/>
  <c r="C107" i="10" s="1"/>
  <c r="AJ305" i="1"/>
  <c r="AJ304" i="1"/>
  <c r="AJ303" i="1"/>
  <c r="C105" i="10" s="1"/>
  <c r="AJ302" i="1"/>
  <c r="C104" i="10" s="1"/>
  <c r="AJ301" i="1"/>
  <c r="C103" i="10" s="1"/>
  <c r="AJ300" i="1"/>
  <c r="C102" i="10" s="1"/>
  <c r="AH299" i="1"/>
  <c r="AG299" i="1"/>
  <c r="AE299" i="1"/>
  <c r="AD299" i="1"/>
  <c r="AC299" i="1"/>
  <c r="AB299" i="1"/>
  <c r="AA299" i="1"/>
  <c r="Z299" i="1"/>
  <c r="Y299" i="1"/>
  <c r="X299" i="1"/>
  <c r="W299" i="1"/>
  <c r="F147" i="6"/>
  <c r="H147" i="6" s="1"/>
  <c r="G144" i="6"/>
  <c r="G143" i="6" s="1"/>
  <c r="G140" i="6" s="1"/>
  <c r="F144" i="6"/>
  <c r="AJ272" i="1"/>
  <c r="I132" i="6"/>
  <c r="AJ244" i="1"/>
  <c r="F131" i="6"/>
  <c r="M131" i="6" s="1"/>
  <c r="AJ231" i="1"/>
  <c r="C81" i="10" s="1"/>
  <c r="F124" i="6"/>
  <c r="AJ229" i="1"/>
  <c r="C80" i="10" s="1"/>
  <c r="AJ228" i="1"/>
  <c r="C79" i="10" s="1"/>
  <c r="F123" i="6"/>
  <c r="C77" i="10"/>
  <c r="AJ215" i="1"/>
  <c r="E101" i="5" s="1"/>
  <c r="AH215" i="1"/>
  <c r="AG215" i="1"/>
  <c r="AE215" i="1"/>
  <c r="AD215" i="1"/>
  <c r="AC215" i="1"/>
  <c r="AB215" i="1"/>
  <c r="AA215" i="1"/>
  <c r="Z215" i="1"/>
  <c r="Y215" i="1"/>
  <c r="X215" i="1"/>
  <c r="W215" i="1"/>
  <c r="AH213" i="1"/>
  <c r="AG213" i="1"/>
  <c r="AE213" i="1"/>
  <c r="AD213" i="1"/>
  <c r="AD202" i="1" s="1"/>
  <c r="AD201" i="1" s="1"/>
  <c r="AC213" i="1"/>
  <c r="AB213" i="1"/>
  <c r="AA213" i="1"/>
  <c r="Z213" i="1"/>
  <c r="Y213" i="1"/>
  <c r="X213" i="1"/>
  <c r="W213" i="1"/>
  <c r="V213" i="1"/>
  <c r="V202" i="1" s="1"/>
  <c r="V201" i="1" s="1"/>
  <c r="V166" i="1" s="1"/>
  <c r="C74" i="10"/>
  <c r="C73" i="10"/>
  <c r="C71" i="10"/>
  <c r="F109" i="6"/>
  <c r="AH193" i="1"/>
  <c r="AG193" i="1"/>
  <c r="AE193" i="1"/>
  <c r="AD193" i="1"/>
  <c r="AC193" i="1"/>
  <c r="AB193" i="1"/>
  <c r="AA193" i="1"/>
  <c r="Z193" i="1"/>
  <c r="Y193" i="1"/>
  <c r="X193" i="1"/>
  <c r="W193" i="1"/>
  <c r="AH190" i="1"/>
  <c r="AG190" i="1"/>
  <c r="AF190" i="1"/>
  <c r="F106" i="6" s="1"/>
  <c r="H106" i="6" s="1"/>
  <c r="AE190" i="1"/>
  <c r="AD190" i="1"/>
  <c r="AC190" i="1"/>
  <c r="AB190" i="1"/>
  <c r="AA190" i="1"/>
  <c r="Z190" i="1"/>
  <c r="Y190" i="1"/>
  <c r="X190" i="1"/>
  <c r="W190" i="1"/>
  <c r="AH188" i="1"/>
  <c r="AG188" i="1"/>
  <c r="AE188" i="1"/>
  <c r="AD188" i="1"/>
  <c r="AC188" i="1"/>
  <c r="AB188" i="1"/>
  <c r="AA188" i="1"/>
  <c r="Z188" i="1"/>
  <c r="Y188" i="1"/>
  <c r="X188" i="1"/>
  <c r="W188" i="1"/>
  <c r="AJ186" i="1"/>
  <c r="E90" i="5" s="1"/>
  <c r="D26" i="9" s="1"/>
  <c r="AH186" i="1"/>
  <c r="AG186" i="1"/>
  <c r="AF186" i="1"/>
  <c r="F104" i="6" s="1"/>
  <c r="AE186" i="1"/>
  <c r="AD186" i="1"/>
  <c r="AC186" i="1"/>
  <c r="AB186" i="1"/>
  <c r="AA186" i="1"/>
  <c r="Z186" i="1"/>
  <c r="Y186" i="1"/>
  <c r="X186" i="1"/>
  <c r="W186" i="1"/>
  <c r="AH183" i="1"/>
  <c r="AG183" i="1"/>
  <c r="AE183" i="1"/>
  <c r="AD183" i="1"/>
  <c r="AC183" i="1"/>
  <c r="AB183" i="1"/>
  <c r="AA183" i="1"/>
  <c r="Z183" i="1"/>
  <c r="Y183" i="1"/>
  <c r="X183" i="1"/>
  <c r="W183" i="1"/>
  <c r="AH181" i="1"/>
  <c r="AG181" i="1"/>
  <c r="AF181" i="1"/>
  <c r="F102" i="6" s="1"/>
  <c r="H102" i="6" s="1"/>
  <c r="AE181" i="1"/>
  <c r="AD181" i="1"/>
  <c r="AC181" i="1"/>
  <c r="AB181" i="1"/>
  <c r="AA181" i="1"/>
  <c r="Z181" i="1"/>
  <c r="Y181" i="1"/>
  <c r="X181" i="1"/>
  <c r="W181" i="1"/>
  <c r="C63" i="10"/>
  <c r="AJ164" i="1"/>
  <c r="AJ163" i="1"/>
  <c r="AJ162" i="1"/>
  <c r="AJ156" i="1"/>
  <c r="AJ157" i="1"/>
  <c r="AJ155" i="1"/>
  <c r="AJ154" i="1"/>
  <c r="AJ153" i="1"/>
  <c r="AJ152" i="1"/>
  <c r="AJ151" i="1"/>
  <c r="AJ144" i="1"/>
  <c r="AE143" i="1"/>
  <c r="AE133" i="1" s="1"/>
  <c r="AE132" i="1" s="1"/>
  <c r="AE131" i="1" s="1"/>
  <c r="AD143" i="1"/>
  <c r="AD133" i="1" s="1"/>
  <c r="AD132" i="1" s="1"/>
  <c r="AD131" i="1" s="1"/>
  <c r="AC143" i="1"/>
  <c r="AC133" i="1" s="1"/>
  <c r="AC132" i="1" s="1"/>
  <c r="AC131" i="1" s="1"/>
  <c r="AB143" i="1"/>
  <c r="AB133" i="1" s="1"/>
  <c r="AB132" i="1" s="1"/>
  <c r="AB131" i="1" s="1"/>
  <c r="AA143" i="1"/>
  <c r="AA133" i="1" s="1"/>
  <c r="AA132" i="1" s="1"/>
  <c r="AA131" i="1" s="1"/>
  <c r="Z143" i="1"/>
  <c r="Z133" i="1" s="1"/>
  <c r="Z132" i="1" s="1"/>
  <c r="Z131" i="1" s="1"/>
  <c r="Y143" i="1"/>
  <c r="Y133" i="1" s="1"/>
  <c r="Y132" i="1" s="1"/>
  <c r="Y131" i="1" s="1"/>
  <c r="X143" i="1"/>
  <c r="X133" i="1" s="1"/>
  <c r="X132" i="1" s="1"/>
  <c r="X131" i="1" s="1"/>
  <c r="W143" i="1"/>
  <c r="W133" i="1" s="1"/>
  <c r="W132" i="1" s="1"/>
  <c r="W131" i="1" s="1"/>
  <c r="V143" i="1"/>
  <c r="V133" i="1" s="1"/>
  <c r="V132" i="1" s="1"/>
  <c r="V131" i="1" s="1"/>
  <c r="AJ142" i="1"/>
  <c r="C50" i="10" s="1"/>
  <c r="AJ140" i="1"/>
  <c r="AJ136" i="1"/>
  <c r="C48" i="10" s="1"/>
  <c r="G74" i="6"/>
  <c r="G73" i="6" s="1"/>
  <c r="F74" i="6"/>
  <c r="G72" i="6"/>
  <c r="G71" i="6" s="1"/>
  <c r="F72" i="6"/>
  <c r="V115" i="1"/>
  <c r="V114" i="1" s="1"/>
  <c r="V113" i="1" s="1"/>
  <c r="AJ111" i="1"/>
  <c r="F69" i="6"/>
  <c r="H69" i="6" s="1"/>
  <c r="AJ108" i="1"/>
  <c r="C40" i="10" s="1"/>
  <c r="G67" i="6"/>
  <c r="F67" i="6"/>
  <c r="AJ106" i="1"/>
  <c r="AJ105" i="1"/>
  <c r="AJ104" i="1"/>
  <c r="AJ103" i="1"/>
  <c r="AJ102" i="1"/>
  <c r="G66" i="6"/>
  <c r="F66" i="6"/>
  <c r="AJ99" i="1"/>
  <c r="C38" i="10" s="1"/>
  <c r="G64" i="6"/>
  <c r="H64" i="6" s="1"/>
  <c r="AJ96" i="1"/>
  <c r="C37" i="10" s="1"/>
  <c r="G61" i="6"/>
  <c r="H61" i="6" s="1"/>
  <c r="AJ92" i="1"/>
  <c r="G60" i="6"/>
  <c r="H60" i="6" s="1"/>
  <c r="AJ86" i="1"/>
  <c r="AH85" i="1"/>
  <c r="AH82" i="1" s="1"/>
  <c r="AH81" i="1" s="1"/>
  <c r="AG85" i="1"/>
  <c r="AG82" i="1" s="1"/>
  <c r="AG81" i="1" s="1"/>
  <c r="AF85" i="1"/>
  <c r="AE85" i="1"/>
  <c r="AD85" i="1"/>
  <c r="AD82" i="1" s="1"/>
  <c r="AD81" i="1" s="1"/>
  <c r="AC85" i="1"/>
  <c r="AC82" i="1" s="1"/>
  <c r="AC81" i="1" s="1"/>
  <c r="AB85" i="1"/>
  <c r="AB82" i="1" s="1"/>
  <c r="AB81" i="1" s="1"/>
  <c r="AA85" i="1"/>
  <c r="AA82" i="1" s="1"/>
  <c r="AA81" i="1" s="1"/>
  <c r="Z85" i="1"/>
  <c r="Z82" i="1" s="1"/>
  <c r="Z81" i="1" s="1"/>
  <c r="Y85" i="1"/>
  <c r="Y82" i="1" s="1"/>
  <c r="Y81" i="1" s="1"/>
  <c r="X85" i="1"/>
  <c r="X82" i="1" s="1"/>
  <c r="X81" i="1" s="1"/>
  <c r="W85" i="1"/>
  <c r="W82" i="1" s="1"/>
  <c r="W81" i="1" s="1"/>
  <c r="V85" i="1"/>
  <c r="F53" i="6" s="1"/>
  <c r="AJ84" i="1"/>
  <c r="C32" i="10" s="1"/>
  <c r="I52" i="6"/>
  <c r="V83" i="1"/>
  <c r="AJ79" i="1"/>
  <c r="AJ78" i="1"/>
  <c r="AJ77" i="1"/>
  <c r="AJ76" i="1"/>
  <c r="AJ75" i="1"/>
  <c r="F49" i="6"/>
  <c r="K49" i="6" s="1"/>
  <c r="AJ73" i="1"/>
  <c r="C30" i="10" s="1"/>
  <c r="I48" i="6"/>
  <c r="I47" i="6" s="1"/>
  <c r="H48" i="6"/>
  <c r="H47" i="6" s="1"/>
  <c r="V72" i="1"/>
  <c r="H46" i="6"/>
  <c r="H45" i="6" s="1"/>
  <c r="F46" i="6"/>
  <c r="AJ66" i="1"/>
  <c r="C27" i="10" s="1"/>
  <c r="AJ65" i="1"/>
  <c r="AJ60" i="1"/>
  <c r="AH59" i="1"/>
  <c r="AH58" i="1" s="1"/>
  <c r="AG59" i="1"/>
  <c r="AG58" i="1" s="1"/>
  <c r="AF59" i="1"/>
  <c r="AE59" i="1"/>
  <c r="AD59" i="1"/>
  <c r="AD58" i="1" s="1"/>
  <c r="AC59" i="1"/>
  <c r="AC58" i="1" s="1"/>
  <c r="AB59" i="1"/>
  <c r="AB58" i="1" s="1"/>
  <c r="AA59" i="1"/>
  <c r="AA58" i="1" s="1"/>
  <c r="Z59" i="1"/>
  <c r="Z58" i="1" s="1"/>
  <c r="Y59" i="1"/>
  <c r="Y58" i="1" s="1"/>
  <c r="X59" i="1"/>
  <c r="X58" i="1" s="1"/>
  <c r="W59" i="1"/>
  <c r="W58" i="1" s="1"/>
  <c r="V59" i="1"/>
  <c r="AJ57" i="1"/>
  <c r="AJ54" i="1"/>
  <c r="AH53" i="1"/>
  <c r="AH52" i="1" s="1"/>
  <c r="AG53" i="1"/>
  <c r="AG52" i="1" s="1"/>
  <c r="AF53" i="1"/>
  <c r="AE53" i="1"/>
  <c r="AD53" i="1"/>
  <c r="AD52" i="1" s="1"/>
  <c r="AC53" i="1"/>
  <c r="AC52" i="1" s="1"/>
  <c r="AB53" i="1"/>
  <c r="AB52" i="1" s="1"/>
  <c r="AA53" i="1"/>
  <c r="AA52" i="1" s="1"/>
  <c r="Z53" i="1"/>
  <c r="Z52" i="1" s="1"/>
  <c r="Y53" i="1"/>
  <c r="Y52" i="1" s="1"/>
  <c r="X53" i="1"/>
  <c r="X52" i="1" s="1"/>
  <c r="W53" i="1"/>
  <c r="W52" i="1" s="1"/>
  <c r="V53" i="1"/>
  <c r="AJ51" i="1"/>
  <c r="AH50" i="1"/>
  <c r="AH49" i="1" s="1"/>
  <c r="AG50" i="1"/>
  <c r="AG49" i="1" s="1"/>
  <c r="AF50" i="1"/>
  <c r="AE50" i="1"/>
  <c r="AD50" i="1"/>
  <c r="AD49" i="1" s="1"/>
  <c r="AC50" i="1"/>
  <c r="AC49" i="1" s="1"/>
  <c r="AB50" i="1"/>
  <c r="AB49" i="1" s="1"/>
  <c r="AA50" i="1"/>
  <c r="AA49" i="1" s="1"/>
  <c r="Z50" i="1"/>
  <c r="Z49" i="1" s="1"/>
  <c r="Y50" i="1"/>
  <c r="Y49" i="1" s="1"/>
  <c r="X50" i="1"/>
  <c r="X49" i="1" s="1"/>
  <c r="W50" i="1"/>
  <c r="W49" i="1" s="1"/>
  <c r="V50" i="1"/>
  <c r="AJ48" i="1"/>
  <c r="I33" i="6"/>
  <c r="I32" i="6" s="1"/>
  <c r="H33" i="6"/>
  <c r="H32" i="6" s="1"/>
  <c r="V47" i="1"/>
  <c r="V46" i="1" s="1"/>
  <c r="AJ42" i="1"/>
  <c r="C19" i="10" s="1"/>
  <c r="AJ41" i="1"/>
  <c r="C18" i="10" s="1"/>
  <c r="G26" i="6"/>
  <c r="H26" i="6" s="1"/>
  <c r="F25" i="6"/>
  <c r="F24" i="6" s="1"/>
  <c r="AJ35" i="1"/>
  <c r="C16" i="10" s="1"/>
  <c r="AJ34" i="1"/>
  <c r="AJ33" i="1"/>
  <c r="AJ32" i="1"/>
  <c r="AJ31" i="1"/>
  <c r="AJ30" i="1"/>
  <c r="AJ29" i="1"/>
  <c r="AJ28" i="1"/>
  <c r="C14" i="10" s="1"/>
  <c r="AJ27" i="1"/>
  <c r="C13" i="10" s="1"/>
  <c r="AJ26" i="1"/>
  <c r="C12" i="10" s="1"/>
  <c r="AF16" i="1"/>
  <c r="AF11" i="1" s="1"/>
  <c r="AF10" i="1" s="1"/>
  <c r="AF9" i="1" s="1"/>
  <c r="AH16" i="1"/>
  <c r="AH11" i="1" s="1"/>
  <c r="AH10" i="1" s="1"/>
  <c r="AH9" i="1" s="1"/>
  <c r="AG16" i="1"/>
  <c r="AG11" i="1" s="1"/>
  <c r="AG10" i="1" s="1"/>
  <c r="AG9" i="1" s="1"/>
  <c r="AE16" i="1"/>
  <c r="AE11" i="1" s="1"/>
  <c r="AE10" i="1" s="1"/>
  <c r="AE9" i="1" s="1"/>
  <c r="AD16" i="1"/>
  <c r="AD11" i="1" s="1"/>
  <c r="AD10" i="1" s="1"/>
  <c r="AD9" i="1" s="1"/>
  <c r="AC16" i="1"/>
  <c r="AC11" i="1" s="1"/>
  <c r="AC10" i="1" s="1"/>
  <c r="AC9" i="1" s="1"/>
  <c r="AB16" i="1"/>
  <c r="AB11" i="1" s="1"/>
  <c r="AB10" i="1" s="1"/>
  <c r="AB9" i="1" s="1"/>
  <c r="AA16" i="1"/>
  <c r="AA11" i="1" s="1"/>
  <c r="AA10" i="1" s="1"/>
  <c r="AA9" i="1" s="1"/>
  <c r="Z16" i="1"/>
  <c r="Z11" i="1" s="1"/>
  <c r="Z10" i="1" s="1"/>
  <c r="Z9" i="1" s="1"/>
  <c r="Y16" i="1"/>
  <c r="Y11" i="1" s="1"/>
  <c r="Y10" i="1" s="1"/>
  <c r="Y9" i="1" s="1"/>
  <c r="X16" i="1"/>
  <c r="X11" i="1" s="1"/>
  <c r="X10" i="1" s="1"/>
  <c r="X9" i="1" s="1"/>
  <c r="W16" i="1"/>
  <c r="W11" i="1" s="1"/>
  <c r="W10" i="1" s="1"/>
  <c r="W9" i="1" s="1"/>
  <c r="V16" i="1"/>
  <c r="V11" i="1" s="1"/>
  <c r="V10" i="1" s="1"/>
  <c r="W202" i="1" l="1"/>
  <c r="W201" i="1" s="1"/>
  <c r="AA202" i="1"/>
  <c r="AA201" i="1" s="1"/>
  <c r="AJ442" i="1"/>
  <c r="F108" i="6"/>
  <c r="H109" i="6"/>
  <c r="H108" i="6" s="1"/>
  <c r="H104" i="6"/>
  <c r="H100" i="6" s="1"/>
  <c r="F100" i="6"/>
  <c r="C109" i="10"/>
  <c r="X202" i="1"/>
  <c r="X201" i="1" s="1"/>
  <c r="AB202" i="1"/>
  <c r="AB201" i="1" s="1"/>
  <c r="AC202" i="1"/>
  <c r="AC201" i="1" s="1"/>
  <c r="AE202" i="1"/>
  <c r="AE201" i="1" s="1"/>
  <c r="AH202" i="1"/>
  <c r="AH201" i="1" s="1"/>
  <c r="G201" i="6"/>
  <c r="G200" i="6" s="1"/>
  <c r="G195" i="6" s="1"/>
  <c r="F143" i="6"/>
  <c r="H144" i="6"/>
  <c r="H143" i="6" s="1"/>
  <c r="H66" i="6"/>
  <c r="H67" i="6"/>
  <c r="F71" i="6"/>
  <c r="H72" i="6"/>
  <c r="H71" i="6" s="1"/>
  <c r="F73" i="6"/>
  <c r="H74" i="6"/>
  <c r="H73" i="6" s="1"/>
  <c r="F45" i="6"/>
  <c r="AG202" i="1"/>
  <c r="AG201" i="1" s="1"/>
  <c r="C17" i="10"/>
  <c r="C31" i="10"/>
  <c r="C39" i="10"/>
  <c r="C59" i="10"/>
  <c r="C61" i="10"/>
  <c r="C62" i="10"/>
  <c r="C68" i="10"/>
  <c r="C112" i="10"/>
  <c r="C123" i="10"/>
  <c r="C124" i="10"/>
  <c r="C130" i="10"/>
  <c r="C131" i="10"/>
  <c r="C149" i="10"/>
  <c r="C161" i="10"/>
  <c r="C163" i="10"/>
  <c r="AJ143" i="1"/>
  <c r="C51" i="10"/>
  <c r="AJ213" i="1"/>
  <c r="E100" i="5" s="1"/>
  <c r="D39" i="9" s="1"/>
  <c r="C75" i="10"/>
  <c r="AJ271" i="1"/>
  <c r="E114" i="5" s="1"/>
  <c r="D11" i="9" s="1"/>
  <c r="C90" i="10"/>
  <c r="AJ22" i="1"/>
  <c r="C11" i="10"/>
  <c r="AJ56" i="1"/>
  <c r="AJ55" i="1" s="1"/>
  <c r="C24" i="10"/>
  <c r="AJ59" i="1"/>
  <c r="E35" i="5" s="1"/>
  <c r="E34" i="5" s="1"/>
  <c r="C25" i="10"/>
  <c r="C15" i="10"/>
  <c r="AJ47" i="1"/>
  <c r="AJ46" i="1" s="1"/>
  <c r="C21" i="10"/>
  <c r="AJ50" i="1"/>
  <c r="E29" i="5" s="1"/>
  <c r="E28" i="5" s="1"/>
  <c r="C22" i="10"/>
  <c r="AJ53" i="1"/>
  <c r="E31" i="5" s="1"/>
  <c r="E30" i="5" s="1"/>
  <c r="C23" i="10"/>
  <c r="AJ85" i="1"/>
  <c r="E47" i="5" s="1"/>
  <c r="C33" i="10"/>
  <c r="AJ91" i="1"/>
  <c r="E52" i="5" s="1"/>
  <c r="C35" i="10"/>
  <c r="AJ110" i="1"/>
  <c r="AJ109" i="1" s="1"/>
  <c r="C41" i="10"/>
  <c r="C53" i="10"/>
  <c r="C54" i="10"/>
  <c r="C55" i="10"/>
  <c r="C60" i="10"/>
  <c r="AJ181" i="1"/>
  <c r="E88" i="5" s="1"/>
  <c r="C64" i="10"/>
  <c r="C65" i="10"/>
  <c r="AJ188" i="1"/>
  <c r="E91" i="5" s="1"/>
  <c r="D27" i="9" s="1"/>
  <c r="C67" i="10"/>
  <c r="C69" i="10"/>
  <c r="C70" i="10"/>
  <c r="C78" i="10"/>
  <c r="C106" i="10"/>
  <c r="C108" i="10"/>
  <c r="C126" i="10"/>
  <c r="C127" i="10"/>
  <c r="C128" i="10"/>
  <c r="C129" i="10"/>
  <c r="C132" i="10"/>
  <c r="C135" i="10"/>
  <c r="C154" i="10"/>
  <c r="AJ454" i="1"/>
  <c r="AJ453" i="1" s="1"/>
  <c r="C158" i="10"/>
  <c r="AJ461" i="1"/>
  <c r="AJ460" i="1" s="1"/>
  <c r="C160" i="10"/>
  <c r="G163" i="6"/>
  <c r="G162" i="6" s="1"/>
  <c r="G161" i="6" s="1"/>
  <c r="AJ307" i="1"/>
  <c r="AC335" i="1"/>
  <c r="AC334" i="1" s="1"/>
  <c r="AC333" i="1" s="1"/>
  <c r="AJ322" i="1"/>
  <c r="AJ321" i="1" s="1"/>
  <c r="AJ320" i="1" s="1"/>
  <c r="Y335" i="1"/>
  <c r="Y334" i="1" s="1"/>
  <c r="Y333" i="1" s="1"/>
  <c r="AJ422" i="1"/>
  <c r="E153" i="5" s="1"/>
  <c r="W287" i="1"/>
  <c r="AE287" i="1"/>
  <c r="X287" i="1"/>
  <c r="AG287" i="1"/>
  <c r="W335" i="1"/>
  <c r="W334" i="1" s="1"/>
  <c r="W333" i="1" s="1"/>
  <c r="AC168" i="1"/>
  <c r="AC167" i="1" s="1"/>
  <c r="AC166" i="1" s="1"/>
  <c r="AJ227" i="1"/>
  <c r="AH287" i="1"/>
  <c r="AD168" i="1"/>
  <c r="AD167" i="1" s="1"/>
  <c r="AD166" i="1" s="1"/>
  <c r="AH168" i="1"/>
  <c r="AH167" i="1" s="1"/>
  <c r="AH166" i="1" s="1"/>
  <c r="AF336" i="1"/>
  <c r="I164" i="6" s="1"/>
  <c r="X335" i="1"/>
  <c r="X334" i="1" s="1"/>
  <c r="X333" i="1" s="1"/>
  <c r="AJ101" i="1"/>
  <c r="E58" i="5" s="1"/>
  <c r="AB168" i="1"/>
  <c r="AB167" i="1" s="1"/>
  <c r="V335" i="1"/>
  <c r="V334" i="1" s="1"/>
  <c r="V333" i="1" s="1"/>
  <c r="E164" i="5"/>
  <c r="AJ447" i="1"/>
  <c r="H35" i="6"/>
  <c r="H34" i="6" s="1"/>
  <c r="AE49" i="1"/>
  <c r="AE168" i="1"/>
  <c r="AE167" i="1" s="1"/>
  <c r="AJ198" i="1"/>
  <c r="AJ318" i="1"/>
  <c r="AJ317" i="1" s="1"/>
  <c r="AJ313" i="1" s="1"/>
  <c r="AF168" i="1"/>
  <c r="AF167" i="1" s="1"/>
  <c r="AF166" i="1" s="1"/>
  <c r="AJ230" i="1"/>
  <c r="E108" i="5" s="1"/>
  <c r="H37" i="6"/>
  <c r="H36" i="6" s="1"/>
  <c r="AE52" i="1"/>
  <c r="AG168" i="1"/>
  <c r="AG167" i="1" s="1"/>
  <c r="AJ203" i="1"/>
  <c r="AJ404" i="1"/>
  <c r="I35" i="6"/>
  <c r="I34" i="6" s="1"/>
  <c r="AF49" i="1"/>
  <c r="I37" i="6"/>
  <c r="I36" i="6" s="1"/>
  <c r="AF52" i="1"/>
  <c r="Y287" i="1"/>
  <c r="AJ414" i="1"/>
  <c r="E150" i="5" s="1"/>
  <c r="D13" i="9" s="1"/>
  <c r="W168" i="1"/>
  <c r="W167" i="1" s="1"/>
  <c r="W166" i="1" s="1"/>
  <c r="Z287" i="1"/>
  <c r="H41" i="6"/>
  <c r="H40" i="6" s="1"/>
  <c r="AE58" i="1"/>
  <c r="AE56" i="1" s="1"/>
  <c r="AE55" i="1" s="1"/>
  <c r="AJ169" i="1"/>
  <c r="E87" i="5" s="1"/>
  <c r="X168" i="1"/>
  <c r="X167" i="1" s="1"/>
  <c r="X166" i="1" s="1"/>
  <c r="AA287" i="1"/>
  <c r="H165" i="6"/>
  <c r="AA335" i="1"/>
  <c r="AA334" i="1" s="1"/>
  <c r="AA333" i="1" s="1"/>
  <c r="AJ98" i="1"/>
  <c r="AJ97" i="1" s="1"/>
  <c r="Z202" i="1"/>
  <c r="Z201" i="1" s="1"/>
  <c r="I41" i="6"/>
  <c r="I40" i="6" s="1"/>
  <c r="AF58" i="1"/>
  <c r="Y168" i="1"/>
  <c r="Y167" i="1" s="1"/>
  <c r="AB287" i="1"/>
  <c r="F151" i="6"/>
  <c r="V314" i="1"/>
  <c r="E33" i="5"/>
  <c r="E32" i="5" s="1"/>
  <c r="Z168" i="1"/>
  <c r="Z167" i="1" s="1"/>
  <c r="AC287" i="1"/>
  <c r="AJ426" i="1"/>
  <c r="Y202" i="1"/>
  <c r="Y201" i="1" s="1"/>
  <c r="AJ95" i="1"/>
  <c r="E54" i="5" s="1"/>
  <c r="D6" i="9" s="1"/>
  <c r="AJ107" i="1"/>
  <c r="E59" i="5" s="1"/>
  <c r="AA168" i="1"/>
  <c r="AA167" i="1" s="1"/>
  <c r="AD287" i="1"/>
  <c r="F153" i="6"/>
  <c r="V317" i="1"/>
  <c r="AJ430" i="1"/>
  <c r="AJ464" i="1"/>
  <c r="AJ463" i="1" s="1"/>
  <c r="AJ459" i="1" s="1"/>
  <c r="AJ219" i="1"/>
  <c r="E102" i="5" s="1"/>
  <c r="D41" i="9" s="1"/>
  <c r="G70" i="6"/>
  <c r="G149" i="6"/>
  <c r="G139" i="6" s="1"/>
  <c r="I130" i="6"/>
  <c r="I129" i="6" s="1"/>
  <c r="I128" i="6" s="1"/>
  <c r="H145" i="6"/>
  <c r="F145" i="6"/>
  <c r="F122" i="6"/>
  <c r="F65" i="6"/>
  <c r="G65" i="6"/>
  <c r="G25" i="6"/>
  <c r="G24" i="6" s="1"/>
  <c r="G23" i="6" s="1"/>
  <c r="H63" i="6"/>
  <c r="G63" i="6"/>
  <c r="H68" i="6"/>
  <c r="F68" i="6"/>
  <c r="F41" i="6"/>
  <c r="V58" i="1"/>
  <c r="H53" i="6"/>
  <c r="AE82" i="1"/>
  <c r="AE81" i="1" s="1"/>
  <c r="F35" i="6"/>
  <c r="V49" i="1"/>
  <c r="AJ74" i="1"/>
  <c r="E43" i="5" s="1"/>
  <c r="D43" i="9" s="1"/>
  <c r="F52" i="6"/>
  <c r="V82" i="1"/>
  <c r="V81" i="1" s="1"/>
  <c r="AJ25" i="1"/>
  <c r="AJ40" i="1"/>
  <c r="AJ39" i="1" s="1"/>
  <c r="F37" i="6"/>
  <c r="V52" i="1"/>
  <c r="AJ72" i="1"/>
  <c r="I53" i="6"/>
  <c r="I51" i="6" s="1"/>
  <c r="I50" i="6" s="1"/>
  <c r="AF82" i="1"/>
  <c r="AF81" i="1" s="1"/>
  <c r="F48" i="6"/>
  <c r="K48" i="6" s="1"/>
  <c r="V71" i="1"/>
  <c r="V61" i="1" s="1"/>
  <c r="AJ83" i="1"/>
  <c r="E11" i="5"/>
  <c r="F11" i="6"/>
  <c r="H52" i="6"/>
  <c r="H44" i="6"/>
  <c r="H43" i="6" s="1"/>
  <c r="H42" i="6" s="1"/>
  <c r="H93" i="6"/>
  <c r="F202" i="6"/>
  <c r="F201" i="6" s="1"/>
  <c r="F200" i="6" s="1"/>
  <c r="E10" i="5"/>
  <c r="F10" i="6"/>
  <c r="F33" i="6"/>
  <c r="K33" i="6" s="1"/>
  <c r="F85" i="6"/>
  <c r="G132" i="6"/>
  <c r="E126" i="5"/>
  <c r="F156" i="6"/>
  <c r="F23" i="6"/>
  <c r="F142" i="6"/>
  <c r="F44" i="6"/>
  <c r="F77" i="6"/>
  <c r="F132" i="6"/>
  <c r="H132" i="6"/>
  <c r="AJ299" i="1"/>
  <c r="F211" i="6"/>
  <c r="E131" i="5"/>
  <c r="E130" i="5" s="1"/>
  <c r="AJ378" i="1"/>
  <c r="C133" i="10" s="1"/>
  <c r="AF359" i="1"/>
  <c r="I165" i="6" s="1"/>
  <c r="V439" i="1"/>
  <c r="X88" i="1"/>
  <c r="AF88" i="1"/>
  <c r="AC88" i="1"/>
  <c r="AJ243" i="1"/>
  <c r="V19" i="1"/>
  <c r="V88" i="1"/>
  <c r="AD88" i="1"/>
  <c r="AJ394" i="1"/>
  <c r="AJ183" i="1"/>
  <c r="E89" i="5" s="1"/>
  <c r="D25" i="9" s="1"/>
  <c r="AJ193" i="1"/>
  <c r="E93" i="5" s="1"/>
  <c r="D29" i="9" s="1"/>
  <c r="V224" i="1"/>
  <c r="AE481" i="1"/>
  <c r="AJ190" i="1"/>
  <c r="E92" i="5" s="1"/>
  <c r="D28" i="9" s="1"/>
  <c r="AB88" i="1"/>
  <c r="AJ338" i="1"/>
  <c r="Y56" i="1"/>
  <c r="Y55" i="1" s="1"/>
  <c r="Y45" i="1" s="1"/>
  <c r="Y44" i="1" s="1"/>
  <c r="AG56" i="1"/>
  <c r="AG55" i="1" s="1"/>
  <c r="AG45" i="1" s="1"/>
  <c r="AG44" i="1" s="1"/>
  <c r="Z359" i="1"/>
  <c r="AA56" i="1"/>
  <c r="AA55" i="1" s="1"/>
  <c r="AA45" i="1" s="1"/>
  <c r="AA44" i="1" s="1"/>
  <c r="AB56" i="1"/>
  <c r="AB55" i="1" s="1"/>
  <c r="AB45" i="1" s="1"/>
  <c r="AB44" i="1" s="1"/>
  <c r="AF56" i="1"/>
  <c r="AF55" i="1" s="1"/>
  <c r="I44" i="6"/>
  <c r="AJ476" i="1"/>
  <c r="AJ94" i="1"/>
  <c r="AJ242" i="1"/>
  <c r="Z88" i="1"/>
  <c r="AH88" i="1"/>
  <c r="E124" i="5"/>
  <c r="E123" i="5" s="1"/>
  <c r="AJ458" i="1"/>
  <c r="C159" i="10" s="1"/>
  <c r="AA88" i="1"/>
  <c r="Z56" i="1"/>
  <c r="Z55" i="1" s="1"/>
  <c r="Z45" i="1" s="1"/>
  <c r="Z44" i="1" s="1"/>
  <c r="AH56" i="1"/>
  <c r="AH55" i="1" s="1"/>
  <c r="AH45" i="1" s="1"/>
  <c r="AH44" i="1" s="1"/>
  <c r="Y88" i="1"/>
  <c r="AG88" i="1"/>
  <c r="AJ158" i="1"/>
  <c r="C56" i="10" s="1"/>
  <c r="AJ161" i="1"/>
  <c r="C57" i="10" s="1"/>
  <c r="V233" i="1"/>
  <c r="AJ388" i="1"/>
  <c r="C141" i="10" s="1"/>
  <c r="AJ64" i="1"/>
  <c r="V9" i="1"/>
  <c r="AC56" i="1"/>
  <c r="AC55" i="1" s="1"/>
  <c r="AC45" i="1" s="1"/>
  <c r="AC44" i="1" s="1"/>
  <c r="AD56" i="1"/>
  <c r="AD55" i="1" s="1"/>
  <c r="AD45" i="1" s="1"/>
  <c r="AD44" i="1" s="1"/>
  <c r="X56" i="1"/>
  <c r="X55" i="1" s="1"/>
  <c r="X45" i="1" s="1"/>
  <c r="X44" i="1" s="1"/>
  <c r="AH359" i="1"/>
  <c r="AH335" i="1" s="1"/>
  <c r="AH334" i="1" s="1"/>
  <c r="AH333" i="1" s="1"/>
  <c r="AJ391" i="1"/>
  <c r="C142" i="10" s="1"/>
  <c r="AH481" i="1"/>
  <c r="W56" i="1"/>
  <c r="W55" i="1" s="1"/>
  <c r="W45" i="1" s="1"/>
  <c r="W44" i="1" s="1"/>
  <c r="AJ141" i="1"/>
  <c r="AJ134" i="1" s="1"/>
  <c r="AE88" i="1"/>
  <c r="AJ379" i="1"/>
  <c r="C134" i="10" s="1"/>
  <c r="AJ395" i="1"/>
  <c r="I46" i="6"/>
  <c r="K46" i="6" s="1"/>
  <c r="C72" i="10"/>
  <c r="H164" i="6"/>
  <c r="C122" i="10"/>
  <c r="AA166" i="1" l="1"/>
  <c r="AB166" i="1"/>
  <c r="AE166" i="1"/>
  <c r="K164" i="6"/>
  <c r="F99" i="6"/>
  <c r="F98" i="6" s="1"/>
  <c r="E165" i="5"/>
  <c r="D55" i="9" s="1"/>
  <c r="AJ441" i="1"/>
  <c r="AJ440" i="1" s="1"/>
  <c r="AJ439" i="1" s="1"/>
  <c r="I43" i="6"/>
  <c r="K44" i="6"/>
  <c r="K43" i="6" s="1"/>
  <c r="H99" i="6"/>
  <c r="H98" i="6" s="1"/>
  <c r="E9" i="5"/>
  <c r="E8" i="5" s="1"/>
  <c r="E7" i="5" s="1"/>
  <c r="D33" i="9"/>
  <c r="D23" i="9"/>
  <c r="E86" i="5"/>
  <c r="D16" i="9"/>
  <c r="E57" i="5"/>
  <c r="D17" i="9"/>
  <c r="AJ429" i="1"/>
  <c r="C144" i="10"/>
  <c r="C143" i="10"/>
  <c r="C121" i="10" s="1"/>
  <c r="E128" i="5"/>
  <c r="D19" i="9" s="1"/>
  <c r="AJ197" i="1"/>
  <c r="E75" i="5"/>
  <c r="D15" i="9" s="1"/>
  <c r="AG166" i="1"/>
  <c r="C83" i="10"/>
  <c r="AJ133" i="1"/>
  <c r="AJ132" i="1" s="1"/>
  <c r="H202" i="6"/>
  <c r="H201" i="6" s="1"/>
  <c r="H200" i="6" s="1"/>
  <c r="C153" i="10"/>
  <c r="C162" i="10"/>
  <c r="C145" i="10"/>
  <c r="F155" i="6"/>
  <c r="F154" i="6" s="1"/>
  <c r="H156" i="6"/>
  <c r="F141" i="6"/>
  <c r="F140" i="6" s="1"/>
  <c r="H142" i="6"/>
  <c r="H141" i="6" s="1"/>
  <c r="H140" i="6" s="1"/>
  <c r="F152" i="6"/>
  <c r="H153" i="6"/>
  <c r="H152" i="6" s="1"/>
  <c r="F150" i="6"/>
  <c r="H151" i="6"/>
  <c r="H150" i="6" s="1"/>
  <c r="F70" i="6"/>
  <c r="F130" i="6"/>
  <c r="F129" i="6" s="1"/>
  <c r="F128" i="6" s="1"/>
  <c r="F83" i="6"/>
  <c r="F82" i="6" s="1"/>
  <c r="F81" i="6" s="1"/>
  <c r="I85" i="6"/>
  <c r="I83" i="6" s="1"/>
  <c r="K41" i="6"/>
  <c r="K40" i="6" s="1"/>
  <c r="F76" i="6"/>
  <c r="F75" i="6" s="1"/>
  <c r="K35" i="6"/>
  <c r="K34" i="6" s="1"/>
  <c r="K37" i="6"/>
  <c r="K36" i="6" s="1"/>
  <c r="K52" i="6"/>
  <c r="K53" i="6"/>
  <c r="F51" i="6"/>
  <c r="F50" i="6" s="1"/>
  <c r="F32" i="6"/>
  <c r="K32" i="6"/>
  <c r="F43" i="6"/>
  <c r="F40" i="6"/>
  <c r="E27" i="5"/>
  <c r="E26" i="5" s="1"/>
  <c r="E25" i="5" s="1"/>
  <c r="AJ52" i="1"/>
  <c r="AJ82" i="1"/>
  <c r="AJ81" i="1" s="1"/>
  <c r="AJ421" i="1"/>
  <c r="AJ420" i="1" s="1"/>
  <c r="E175" i="5"/>
  <c r="E174" i="5" s="1"/>
  <c r="AJ21" i="1"/>
  <c r="AJ20" i="1" s="1"/>
  <c r="AJ19" i="1" s="1"/>
  <c r="AJ58" i="1"/>
  <c r="E170" i="5"/>
  <c r="E61" i="5"/>
  <c r="E60" i="5" s="1"/>
  <c r="AJ49" i="1"/>
  <c r="C92" i="10"/>
  <c r="C58" i="10"/>
  <c r="AJ63" i="1"/>
  <c r="AJ62" i="1" s="1"/>
  <c r="C26" i="10"/>
  <c r="C157" i="10"/>
  <c r="C52" i="10"/>
  <c r="AJ93" i="1"/>
  <c r="AJ90" i="1" s="1"/>
  <c r="C36" i="10"/>
  <c r="C9" i="10"/>
  <c r="C49" i="10"/>
  <c r="D20" i="9"/>
  <c r="D24" i="9"/>
  <c r="E136" i="5"/>
  <c r="E135" i="5" s="1"/>
  <c r="E134" i="5" s="1"/>
  <c r="AH279" i="1"/>
  <c r="AH278" i="1" s="1"/>
  <c r="AG279" i="1"/>
  <c r="AG278" i="1" s="1"/>
  <c r="AC279" i="1"/>
  <c r="AC278" i="1" s="1"/>
  <c r="X279" i="1"/>
  <c r="X278" i="1" s="1"/>
  <c r="Z279" i="1"/>
  <c r="Z278" i="1" s="1"/>
  <c r="AE279" i="1"/>
  <c r="AE278" i="1" s="1"/>
  <c r="W279" i="1"/>
  <c r="W278" i="1" s="1"/>
  <c r="AA279" i="1"/>
  <c r="AA278" i="1" s="1"/>
  <c r="Y279" i="1"/>
  <c r="Y278" i="1" s="1"/>
  <c r="AD279" i="1"/>
  <c r="AD278" i="1" s="1"/>
  <c r="AB279" i="1"/>
  <c r="AB278" i="1" s="1"/>
  <c r="E95" i="5"/>
  <c r="E94" i="5" s="1"/>
  <c r="AJ336" i="1"/>
  <c r="E56" i="5"/>
  <c r="E55" i="5" s="1"/>
  <c r="H51" i="6"/>
  <c r="H50" i="6" s="1"/>
  <c r="AJ403" i="1"/>
  <c r="AJ402" i="1" s="1"/>
  <c r="V45" i="1"/>
  <c r="V44" i="1" s="1"/>
  <c r="E46" i="5"/>
  <c r="E45" i="5" s="1"/>
  <c r="E44" i="5" s="1"/>
  <c r="Z166" i="1"/>
  <c r="H70" i="6"/>
  <c r="V313" i="1"/>
  <c r="V278" i="1" s="1"/>
  <c r="AJ38" i="1"/>
  <c r="AJ37" i="1" s="1"/>
  <c r="AJ168" i="1"/>
  <c r="AJ226" i="1"/>
  <c r="AJ225" i="1" s="1"/>
  <c r="AJ224" i="1" s="1"/>
  <c r="E154" i="5"/>
  <c r="E152" i="5" s="1"/>
  <c r="E151" i="5" s="1"/>
  <c r="AJ100" i="1"/>
  <c r="AJ475" i="1"/>
  <c r="AJ474" i="1" s="1"/>
  <c r="AJ473" i="1" s="1"/>
  <c r="E149" i="5"/>
  <c r="E148" i="5" s="1"/>
  <c r="E147" i="5" s="1"/>
  <c r="AJ236" i="1"/>
  <c r="E127" i="5"/>
  <c r="AJ287" i="1"/>
  <c r="E98" i="5"/>
  <c r="E133" i="5"/>
  <c r="E132" i="5" s="1"/>
  <c r="E129" i="5" s="1"/>
  <c r="AF335" i="1"/>
  <c r="AF334" i="1" s="1"/>
  <c r="AF333" i="1" s="1"/>
  <c r="AF45" i="1"/>
  <c r="AF44" i="1" s="1"/>
  <c r="AJ457" i="1"/>
  <c r="AJ456" i="1" s="1"/>
  <c r="AJ452" i="1" s="1"/>
  <c r="AJ451" i="1" s="1"/>
  <c r="F210" i="6"/>
  <c r="F209" i="6" s="1"/>
  <c r="F208" i="6" s="1"/>
  <c r="F165" i="6"/>
  <c r="Z335" i="1"/>
  <c r="Z334" i="1" s="1"/>
  <c r="Z333" i="1" s="1"/>
  <c r="AJ71" i="1"/>
  <c r="F121" i="6"/>
  <c r="F120" i="6" s="1"/>
  <c r="E157" i="5"/>
  <c r="E156" i="5" s="1"/>
  <c r="E155" i="5" s="1"/>
  <c r="Y166" i="1"/>
  <c r="AE45" i="1"/>
  <c r="AE44" i="1" s="1"/>
  <c r="AJ160" i="1"/>
  <c r="AJ159" i="1" s="1"/>
  <c r="E177" i="5"/>
  <c r="E176" i="5" s="1"/>
  <c r="E42" i="5"/>
  <c r="E41" i="5" s="1"/>
  <c r="AJ150" i="1"/>
  <c r="AJ149" i="1" s="1"/>
  <c r="I163" i="6"/>
  <c r="I162" i="6" s="1"/>
  <c r="I161" i="6" s="1"/>
  <c r="H65" i="6"/>
  <c r="H163" i="6"/>
  <c r="H162" i="6" s="1"/>
  <c r="H161" i="6" s="1"/>
  <c r="H130" i="6"/>
  <c r="H129" i="6" s="1"/>
  <c r="H128" i="6" s="1"/>
  <c r="G130" i="6"/>
  <c r="G129" i="6" s="1"/>
  <c r="G128" i="6" s="1"/>
  <c r="F36" i="6"/>
  <c r="K45" i="6"/>
  <c r="I45" i="6"/>
  <c r="H25" i="6"/>
  <c r="K47" i="6"/>
  <c r="F47" i="6"/>
  <c r="F58" i="6"/>
  <c r="F9" i="6"/>
  <c r="F8" i="6" s="1"/>
  <c r="F7" i="6" s="1"/>
  <c r="F34" i="6"/>
  <c r="AG481" i="1"/>
  <c r="AD481" i="1"/>
  <c r="G62" i="6"/>
  <c r="G77" i="6"/>
  <c r="G76" i="6" s="1"/>
  <c r="G75" i="6" s="1"/>
  <c r="I39" i="6"/>
  <c r="I38" i="6" s="1"/>
  <c r="I31" i="6" s="1"/>
  <c r="V451" i="1"/>
  <c r="V481" i="1" s="1"/>
  <c r="F198" i="6"/>
  <c r="W481" i="1"/>
  <c r="H39" i="6"/>
  <c r="K39" i="6" s="1"/>
  <c r="J132" i="6"/>
  <c r="M132" i="6" s="1"/>
  <c r="J165" i="6"/>
  <c r="E122" i="5"/>
  <c r="E121" i="5" s="1"/>
  <c r="E74" i="5"/>
  <c r="Y481" i="1"/>
  <c r="AF481" i="1"/>
  <c r="X481" i="1"/>
  <c r="E107" i="5"/>
  <c r="E106" i="5" s="1"/>
  <c r="E105" i="5" s="1"/>
  <c r="E104" i="5" s="1"/>
  <c r="E40" i="5"/>
  <c r="E39" i="5" s="1"/>
  <c r="AC481" i="1"/>
  <c r="AA481" i="1"/>
  <c r="Z481" i="1"/>
  <c r="E22" i="5"/>
  <c r="E21" i="5" s="1"/>
  <c r="E20" i="5" s="1"/>
  <c r="E19" i="5" s="1"/>
  <c r="AB481" i="1"/>
  <c r="V401" i="1"/>
  <c r="AJ206" i="1"/>
  <c r="AJ202" i="1" s="1"/>
  <c r="AJ201" i="1" s="1"/>
  <c r="AJ389" i="1"/>
  <c r="AJ359" i="1"/>
  <c r="E125" i="5" l="1"/>
  <c r="E120" i="5" s="1"/>
  <c r="E119" i="5" s="1"/>
  <c r="AJ167" i="1"/>
  <c r="E163" i="5"/>
  <c r="E162" i="5" s="1"/>
  <c r="E161" i="5" s="1"/>
  <c r="I42" i="6"/>
  <c r="I30" i="6" s="1"/>
  <c r="K42" i="6"/>
  <c r="F149" i="6"/>
  <c r="F139" i="6" s="1"/>
  <c r="D54" i="9"/>
  <c r="E169" i="5"/>
  <c r="E173" i="5"/>
  <c r="E85" i="5"/>
  <c r="E73" i="5"/>
  <c r="E72" i="5" s="1"/>
  <c r="E71" i="5" s="1"/>
  <c r="D37" i="9"/>
  <c r="E146" i="5"/>
  <c r="E142" i="5"/>
  <c r="AJ428" i="1"/>
  <c r="AJ401" i="1" s="1"/>
  <c r="E144" i="5"/>
  <c r="D9" i="9" s="1"/>
  <c r="AJ235" i="1"/>
  <c r="AJ131" i="1"/>
  <c r="E53" i="5"/>
  <c r="C82" i="10"/>
  <c r="H24" i="6"/>
  <c r="H23" i="6" s="1"/>
  <c r="C20" i="10"/>
  <c r="F197" i="6"/>
  <c r="F196" i="6" s="1"/>
  <c r="F195" i="6" s="1"/>
  <c r="H198" i="6"/>
  <c r="H197" i="6" s="1"/>
  <c r="H196" i="6" s="1"/>
  <c r="H195" i="6" s="1"/>
  <c r="F213" i="6" s="1"/>
  <c r="C47" i="10"/>
  <c r="C34" i="10"/>
  <c r="C164" i="10"/>
  <c r="F163" i="6"/>
  <c r="F162" i="6" s="1"/>
  <c r="F161" i="6" s="1"/>
  <c r="K165" i="6"/>
  <c r="H91" i="6"/>
  <c r="H90" i="6" s="1"/>
  <c r="F42" i="6"/>
  <c r="F57" i="6"/>
  <c r="H77" i="6"/>
  <c r="H76" i="6" s="1"/>
  <c r="H75" i="6" s="1"/>
  <c r="G59" i="6"/>
  <c r="G58" i="6" s="1"/>
  <c r="G57" i="6" s="1"/>
  <c r="H62" i="6"/>
  <c r="H59" i="6" s="1"/>
  <c r="H58" i="6" s="1"/>
  <c r="H38" i="6"/>
  <c r="H31" i="6" s="1"/>
  <c r="H30" i="6" s="1"/>
  <c r="K38" i="6"/>
  <c r="K31" i="6" s="1"/>
  <c r="D4" i="9"/>
  <c r="D57" i="9"/>
  <c r="E38" i="5"/>
  <c r="D21" i="9"/>
  <c r="AJ61" i="1"/>
  <c r="AJ45" i="1"/>
  <c r="D14" i="9"/>
  <c r="D40" i="9"/>
  <c r="D59" i="9"/>
  <c r="D46" i="9"/>
  <c r="D12" i="9"/>
  <c r="D47" i="9"/>
  <c r="D42" i="9"/>
  <c r="D32" i="9"/>
  <c r="D34" i="9"/>
  <c r="D48" i="9"/>
  <c r="D18" i="9"/>
  <c r="AJ89" i="1"/>
  <c r="AJ88" i="1" s="1"/>
  <c r="H155" i="6"/>
  <c r="H154" i="6" s="1"/>
  <c r="AJ279" i="1"/>
  <c r="H149" i="6"/>
  <c r="AJ148" i="1"/>
  <c r="AJ147" i="1" s="1"/>
  <c r="AJ335" i="1"/>
  <c r="E182" i="5"/>
  <c r="F31" i="6"/>
  <c r="AJ166" i="1"/>
  <c r="E80" i="5"/>
  <c r="E79" i="5" s="1"/>
  <c r="I82" i="6"/>
  <c r="I81" i="6" s="1"/>
  <c r="E82" i="5"/>
  <c r="E81" i="5" s="1"/>
  <c r="E113" i="5"/>
  <c r="E112" i="5" s="1"/>
  <c r="E111" i="5" s="1"/>
  <c r="E110" i="5" s="1"/>
  <c r="E172" i="5"/>
  <c r="E171" i="5" s="1"/>
  <c r="J163" i="6"/>
  <c r="J162" i="6" s="1"/>
  <c r="J161" i="6" s="1"/>
  <c r="J130" i="6"/>
  <c r="J129" i="6" s="1"/>
  <c r="J128" i="6" s="1"/>
  <c r="K51" i="6"/>
  <c r="K50" i="6" s="1"/>
  <c r="AH437" i="1"/>
  <c r="AC437" i="1"/>
  <c r="E143" i="5"/>
  <c r="AA437" i="1"/>
  <c r="X437" i="1"/>
  <c r="Z437" i="1"/>
  <c r="AD437" i="1"/>
  <c r="W437" i="1"/>
  <c r="AE437" i="1"/>
  <c r="AG437" i="1"/>
  <c r="Y437" i="1"/>
  <c r="E99" i="5"/>
  <c r="E97" i="5" s="1"/>
  <c r="E96" i="5" s="1"/>
  <c r="AB437" i="1"/>
  <c r="V437" i="1"/>
  <c r="E84" i="5" l="1"/>
  <c r="D58" i="9"/>
  <c r="E181" i="5"/>
  <c r="E180" i="5" s="1"/>
  <c r="E179" i="5" s="1"/>
  <c r="D5" i="9"/>
  <c r="E51" i="5"/>
  <c r="E50" i="5" s="1"/>
  <c r="E49" i="5" s="1"/>
  <c r="E78" i="5"/>
  <c r="E77" i="5" s="1"/>
  <c r="E168" i="5"/>
  <c r="E167" i="5" s="1"/>
  <c r="D7" i="9"/>
  <c r="E141" i="5"/>
  <c r="E140" i="5" s="1"/>
  <c r="E139" i="5" s="1"/>
  <c r="D36" i="9"/>
  <c r="E37" i="5"/>
  <c r="E36" i="5" s="1"/>
  <c r="E24" i="5" s="1"/>
  <c r="AJ334" i="1"/>
  <c r="AJ278" i="1"/>
  <c r="AJ234" i="1"/>
  <c r="AJ233" i="1" s="1"/>
  <c r="C152" i="10"/>
  <c r="F30" i="6"/>
  <c r="AJ44" i="1"/>
  <c r="D56" i="9"/>
  <c r="AL437" i="1"/>
  <c r="D10" i="9"/>
  <c r="D30" i="9"/>
  <c r="D38" i="9"/>
  <c r="D53" i="9"/>
  <c r="D31" i="9"/>
  <c r="D45" i="9"/>
  <c r="D8" i="9"/>
  <c r="H139" i="6"/>
  <c r="H89" i="6"/>
  <c r="M130" i="6"/>
  <c r="K30" i="6"/>
  <c r="K163" i="6"/>
  <c r="H57" i="6"/>
  <c r="AF437" i="1"/>
  <c r="AJ481" i="1"/>
  <c r="AG483" i="1"/>
  <c r="AD483" i="1"/>
  <c r="AC483" i="1"/>
  <c r="AB483" i="1"/>
  <c r="AE483" i="1"/>
  <c r="AH483" i="1"/>
  <c r="W483" i="1"/>
  <c r="X483" i="1"/>
  <c r="Z483" i="1"/>
  <c r="AA483" i="1"/>
  <c r="V483" i="1"/>
  <c r="Y483" i="1"/>
  <c r="E159" i="5" l="1"/>
  <c r="E184" i="5"/>
  <c r="AJ333" i="1"/>
  <c r="C165" i="10"/>
  <c r="D52" i="9"/>
  <c r="D35" i="9"/>
  <c r="D17" i="8"/>
  <c r="D3" i="9"/>
  <c r="D6" i="8"/>
  <c r="D22" i="9"/>
  <c r="M129" i="6"/>
  <c r="M128" i="6" s="1"/>
  <c r="K162" i="6"/>
  <c r="K161" i="6" s="1"/>
  <c r="AF483" i="1"/>
  <c r="F183" i="6" l="1"/>
  <c r="F215" i="6" s="1"/>
  <c r="E186" i="5"/>
  <c r="AJ437" i="1"/>
  <c r="AJ483" i="1" s="1"/>
  <c r="D60" i="9"/>
  <c r="D4" i="8"/>
  <c r="D5" i="8"/>
  <c r="D16" i="8"/>
  <c r="D3" i="8"/>
  <c r="D49" i="9"/>
  <c r="D35" i="8"/>
  <c r="D32" i="8" l="1"/>
  <c r="D33" i="8"/>
  <c r="D18" i="8"/>
  <c r="E17" i="8" s="1"/>
  <c r="D34" i="8"/>
  <c r="D7" i="8"/>
  <c r="D62" i="9"/>
  <c r="E7" i="8" l="1"/>
  <c r="E6" i="8"/>
  <c r="E4" i="8"/>
  <c r="E16" i="8"/>
  <c r="E18" i="8" s="1"/>
  <c r="E5" i="8"/>
  <c r="E3" i="8"/>
  <c r="D36" i="8"/>
  <c r="E36" i="8" l="1"/>
  <c r="E35" i="8"/>
  <c r="E33" i="8"/>
  <c r="E32" i="8"/>
  <c r="E34" i="8"/>
</calcChain>
</file>

<file path=xl/comments1.xml><?xml version="1.0" encoding="utf-8"?>
<comments xmlns="http://schemas.openxmlformats.org/spreadsheetml/2006/main">
  <authors>
    <author>tc={E9A6338E-115A-4C96-B1FC-5C7DE7E12070}</author>
    <author>tc={3E2BA99B-6F46-48AD-BD1D-65693A94F7C3}</author>
    <author>tc={DBCF74F2-813F-469C-84EC-8CEE0CFEC98C}</author>
    <author>tc={BB1BE4DF-B21C-400A-A060-D192C6C45ED4}</author>
    <author>tc={BC931CCA-23F9-4332-9353-FA5DCF6E350C}</author>
    <author>tc={86B4AE00-BE6B-4892-B930-7B09B4786A5A}</author>
  </authors>
  <commentList>
    <comment ref="V466"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ajuste resolución 045 de mayo 6</t>
        </r>
      </text>
    </comment>
    <comment ref="AG466"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ajuste resolución 045 de mayo 6
Reply:
    ajuste según resolución 051 de junio 21</t>
        </r>
      </text>
    </comment>
    <comment ref="AG467" authorId="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ajuste según resolucion051 de junio 21</t>
        </r>
      </text>
    </comment>
    <comment ref="V470" authorId="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ajuste resolución 045 de mayo 6</t>
        </r>
      </text>
    </comment>
    <comment ref="AG470" authorId="4"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ajuste resolución 045 de mayo 6</t>
        </r>
      </text>
    </comment>
    <comment ref="AG471" authorId="5"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ajuste según resolución 051 de junio 21</t>
        </r>
      </text>
    </comment>
  </commentList>
</comments>
</file>

<file path=xl/sharedStrings.xml><?xml version="1.0" encoding="utf-8"?>
<sst xmlns="http://schemas.openxmlformats.org/spreadsheetml/2006/main" count="3924" uniqueCount="1578">
  <si>
    <t xml:space="preserve"> </t>
  </si>
  <si>
    <t xml:space="preserve">CODIGO:  </t>
  </si>
  <si>
    <t xml:space="preserve">VERSIÓN: </t>
  </si>
  <si>
    <t xml:space="preserve">FECHA: </t>
  </si>
  <si>
    <t>PÁGINA:</t>
  </si>
  <si>
    <t>UNIDAD EJECUTORA</t>
  </si>
  <si>
    <t>LÍNEA ESTRATÉGICA</t>
  </si>
  <si>
    <t>SECTOR</t>
  </si>
  <si>
    <t>PROGRAMA</t>
  </si>
  <si>
    <t>INDICADOR DE RESULTADO Y/O BIENESTAR</t>
  </si>
  <si>
    <t>PRODUCTO</t>
  </si>
  <si>
    <t>INDICADOR PRODUCTO</t>
  </si>
  <si>
    <t>TIPO DE META I/M/R</t>
  </si>
  <si>
    <t>PROYECTO</t>
  </si>
  <si>
    <t>FUENTES DE FINANCIACION</t>
  </si>
  <si>
    <t>TOTAL RECURSOS</t>
  </si>
  <si>
    <t>DEPENDENCIA</t>
  </si>
  <si>
    <t>RESPONSABLE</t>
  </si>
  <si>
    <t>CÓDIGO</t>
  </si>
  <si>
    <t>NOMBRE</t>
  </si>
  <si>
    <t>CÓDIGO PDD</t>
  </si>
  <si>
    <t>PRODUCTO PDD</t>
  </si>
  <si>
    <t>CÓDIGO CATÁLOGO DE PRODUCTOS MGA</t>
  </si>
  <si>
    <t xml:space="preserve">PRODUCTO CATÁLOGO MGA </t>
  </si>
  <si>
    <t>INDICADOR PDD</t>
  </si>
  <si>
    <t>CÓDIGO CATALOGO DE INDICADORES MGA</t>
  </si>
  <si>
    <t xml:space="preserve">INDICADOR CATÁLOGO MGA </t>
  </si>
  <si>
    <t>CÓDIGO BPIN</t>
  </si>
  <si>
    <t>NOMBRE DEL PROYECTO</t>
  </si>
  <si>
    <t>OBJETIVO DEL PROYECTO</t>
  </si>
  <si>
    <t xml:space="preserve">ESTAMPILLAS 
PRO - CULTURA
PRO - ADULTO MAYOR
PRO - DESARROLLO
 </t>
  </si>
  <si>
    <t xml:space="preserve">CONTRIBUCION ESPECIAL
(FONDO DE SEGURIDAD 5%) 
 </t>
  </si>
  <si>
    <t xml:space="preserve">SOBRETASA AL ACPM  
</t>
  </si>
  <si>
    <t xml:space="preserve">MONOPOLIO EDUCACIÓN Y SALUD  51% DESTINACION ESPECIFICA
 </t>
  </si>
  <si>
    <t xml:space="preserve">SGP SALÚD PUBLICA - PRESTACIÓN DE SERVICIOS
 </t>
  </si>
  <si>
    <t>SGP APORTES PATRONALES - CANCELACIÓN DE PRESTACIONES SOCIALES -EDUCACIÓN</t>
  </si>
  <si>
    <t xml:space="preserve">FONDO DE EDUCACION,  PAE, CONVENIO MEN 
</t>
  </si>
  <si>
    <t xml:space="preserve">SGP AGUA POTABLE Y SANEAMIENTO BÁSICO
</t>
  </si>
  <si>
    <t xml:space="preserve">RECURSO ORDINARIO
</t>
  </si>
  <si>
    <t xml:space="preserve">OTROS (IVA TELEFONIA MÓVIL  - REGISTRO - LEY 1816 (3% MONOPOLIO LICORES) (DEPORTES) EXTRACCION MATERIAL RIO  </t>
  </si>
  <si>
    <t>NACIÓN  - COFINANCIACIÓN
CONV ANTICONTRABANDO</t>
  </si>
  <si>
    <t xml:space="preserve">304 -SECRETARÍA ADMINISTRATIVA </t>
  </si>
  <si>
    <t xml:space="preserve">LIDERAZGO, GOBERNABILIDAD Y TRANSPARENCIA </t>
  </si>
  <si>
    <t>Gobierno territorial</t>
  </si>
  <si>
    <t>Fortalecimiento a la gestión y dirección de la administración pública territorial "Quindío con una administración al servicio de la ciudadanía "</t>
  </si>
  <si>
    <t>Índice de Gestión del Modelo Integrado de Planeación y de Gestión MIPG  de la Administración Departamental</t>
  </si>
  <si>
    <t>ND</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</si>
  <si>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</si>
  <si>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</si>
  <si>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</si>
  <si>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</si>
  <si>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M</t>
  </si>
  <si>
    <t>202000363-0006</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</si>
  <si>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</si>
  <si>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</si>
  <si>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Secretaria Administrativa</t>
  </si>
  <si>
    <t xml:space="preserve">  John Harold Valencia Rodríguez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</si>
  <si>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</si>
  <si>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</si>
  <si>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</si>
  <si>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202000363-0007</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</si>
  <si>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</si>
  <si>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</si>
  <si>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 xml:space="preserve"> John Harold Valencia Rodríguez </t>
  </si>
  <si>
    <t xml:space="preserve">Proceso de modernización administrativa, incluido en  estudio de la viabilidad de creación de la Oficina de la Felicidad. </t>
  </si>
  <si>
    <t>Proceso de modernización administrativa implementada</t>
  </si>
  <si>
    <t xml:space="preserve">Metodologías aplicadas </t>
  </si>
  <si>
    <t>I</t>
  </si>
  <si>
    <t>202000363-0041</t>
  </si>
  <si>
    <t xml:space="preserve">Implementación de un programa de modernización  de la gestión Administrativa  de la Administración Departamental del Quindío. "TÚ y YO SOMOS QUINDÍO" </t>
  </si>
  <si>
    <t>Fortalecimiento del buen gobierno para el respeto y garantía de los derechos humanos. "Quindío integrado y participativo"</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</si>
  <si>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</si>
  <si>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</si>
  <si>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</si>
  <si>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</si>
  <si>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</si>
  <si>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202000363-0005</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</si>
  <si>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</si>
  <si>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</si>
  <si>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 xml:space="preserve">305 SECRETARÍA DE PLANEACIÓN </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</si>
  <si>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</si>
  <si>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</si>
  <si>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</si>
  <si>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</si>
  <si>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</si>
  <si>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202000363-0042</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</si>
  <si>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</si>
  <si>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</si>
  <si>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 xml:space="preserve">Secretaría de Planeación </t>
  </si>
  <si>
    <t>Eventos de Rendición Pública de Cuentas que divulgan la gestión administrativa.</t>
  </si>
  <si>
    <t>Eventos de Rendición Públicas de Cuentas realizados</t>
  </si>
  <si>
    <t>202000363-0043</t>
  </si>
  <si>
    <t xml:space="preserve"> Implementación  de eventos de Rendición Pública de Cuentas  de divulgación de gestión  de la Administración Departamental  "TU Y YO SOMOS QUINDIO" </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</si>
  <si>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</si>
  <si>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</si>
  <si>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</si>
  <si>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</si>
  <si>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</si>
  <si>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202000363-0044</t>
  </si>
  <si>
    <t xml:space="preserve"> 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</si>
  <si>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</si>
  <si>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</si>
  <si>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</si>
  <si>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</si>
  <si>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</si>
  <si>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202000363-0045</t>
  </si>
  <si>
    <t xml:space="preserve">  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</si>
  <si>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</si>
  <si>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Banco de Programas y Proyectos del Departamento fortalecido</t>
  </si>
  <si>
    <t>202000363-0046</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</si>
  <si>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</si>
  <si>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</si>
  <si>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</si>
  <si>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</si>
  <si>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</si>
  <si>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</si>
  <si>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</si>
  <si>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202000363-0047</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</si>
  <si>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</si>
  <si>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</si>
  <si>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</si>
  <si>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</si>
  <si>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</si>
  <si>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</si>
  <si>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</si>
  <si>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</si>
  <si>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</si>
  <si>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</si>
  <si>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Número de Dimensiones y Políticas   de MIPG implementadas</t>
  </si>
  <si>
    <t>202000363-0008</t>
  </si>
  <si>
    <t xml:space="preserve"> 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</si>
  <si>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</si>
  <si>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307 SECRETARÍA DE HACIENDA</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</si>
  <si>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</si>
  <si>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</si>
  <si>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</si>
  <si>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</si>
  <si>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202000363-0048</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</si>
  <si>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</si>
  <si>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</si>
  <si>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Secretaría de Hacienda</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</si>
  <si>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</si>
  <si>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</si>
  <si>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</si>
  <si>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202000363-0049</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</si>
  <si>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</si>
  <si>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</si>
  <si>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 xml:space="preserve">308 SECRETARÍA DE AGUAS E INFRAESTRUCTURA </t>
  </si>
  <si>
    <t xml:space="preserve">INCLUSIÓN SOCIAL Y EQUIDAD </t>
  </si>
  <si>
    <t>Justicia y del derecho</t>
  </si>
  <si>
    <t>Promoción al acceso a la justicia. "Tú y yo con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</si>
  <si>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</si>
  <si>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</si>
  <si>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</si>
  <si>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</si>
  <si>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</si>
  <si>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202000363-0017</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</si>
  <si>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</si>
  <si>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</si>
  <si>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 xml:space="preserve">Secretaria de Aguas e Infraestructura </t>
  </si>
  <si>
    <t>Salud y protección social</t>
  </si>
  <si>
    <t>Aseguramiento y Prestación integral de servicios de salud "Tú y yo con servicios de salud"</t>
  </si>
  <si>
    <t>Índice Departamental de Competitividad</t>
  </si>
  <si>
    <t xml:space="preserve">Infraestructura hospitalaria con procesos constructivos, mejorados, ampliados, mantenidos, y/o reforzados </t>
  </si>
  <si>
    <t>Hospitales de tercer nivel de atención adecuados</t>
  </si>
  <si>
    <t>Infraestructura hospitalaria con procesos constructivos, mejorados, ampliados, mantenidos, y/o reforzados realizados</t>
  </si>
  <si>
    <t>202000363-0018</t>
  </si>
  <si>
    <t>Mejoramiento de la infraestructura física de las instituciones de salud pública y bienestar social en el  departamento del Quindío</t>
  </si>
  <si>
    <t>Mejorar la infraestructura hospitalaria del Departamento del Quindío, con el propósito de optimización de la prestación del servicio y en acceso incluyente y equitativo a la oferta de servicios del Estado.</t>
  </si>
  <si>
    <t>Educación</t>
  </si>
  <si>
    <t>Calidad, cobertura y fortalecimiento de la educación inicial, prescolar, básica y media." Tú y yo con educación y  calidad"</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</si>
  <si>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</si>
  <si>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</si>
  <si>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</si>
  <si>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</si>
  <si>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</si>
  <si>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202000363-0050</t>
  </si>
  <si>
    <t xml:space="preserve"> Mantenimiento de  la infraestructura  Educativa en el Departamento del Quindío. </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</si>
  <si>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</si>
  <si>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</si>
  <si>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</si>
  <si>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</si>
  <si>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</si>
  <si>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</si>
  <si>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</si>
  <si>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</si>
  <si>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202000363-0051</t>
  </si>
  <si>
    <t xml:space="preserve"> 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</si>
  <si>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</si>
  <si>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Deporte y recreación</t>
  </si>
  <si>
    <t>Fomento a la recreación, la actividad física y el deporte para desarrollar entornos de convivencia y paz "Tú y yo en la recreación y en deporte"</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</si>
  <si>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</si>
  <si>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</si>
  <si>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</si>
  <si>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</si>
  <si>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</si>
  <si>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202000363-0052</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</si>
  <si>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</si>
  <si>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</si>
  <si>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 xml:space="preserve">TERRITORIO, AMBIENTE Y DESARROLLO SOSTENIBLE </t>
  </si>
  <si>
    <t>Transporte</t>
  </si>
  <si>
    <t>Infraestructura red vial regional. "Tú y yo con movilidad vial"</t>
  </si>
  <si>
    <t xml:space="preserve">Índice de competitividad  en el sector de infraestructura vial </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</si>
  <si>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</si>
  <si>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</si>
  <si>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</si>
  <si>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</si>
  <si>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202000363-0053</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</si>
  <si>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</si>
  <si>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</si>
  <si>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</si>
  <si>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</si>
  <si>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</si>
  <si>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</si>
  <si>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Estudios y diseños de infraestructura vial</t>
  </si>
  <si>
    <t>Estudios de preinversión para la red vial regional</t>
  </si>
  <si>
    <t>Estudios y diseños de infraestructura vial elaborado.</t>
  </si>
  <si>
    <t>Estudios de preinversión realizados</t>
  </si>
  <si>
    <t>202000363-0054</t>
  </si>
  <si>
    <t xml:space="preserve"> Elaboración estudios y diseños de Infraestructura vial en el Departamento de Quindío </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</si>
  <si>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</si>
  <si>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Ambiente y desarrollo sostenible</t>
  </si>
  <si>
    <t>Ordenamiento Ambiental Territorial. "Tú y yo planificamos con sentido ambiental"</t>
  </si>
  <si>
    <t xml:space="preserve">Porcentaje de Ecosistemas protegidos y/o en procesos de restauración en el Departamento </t>
  </si>
  <si>
    <t>Obras para estabilización de taludes</t>
  </si>
  <si>
    <t>320501000</t>
  </si>
  <si>
    <t>Obras para estabilización de taludes realizadas</t>
  </si>
  <si>
    <t>202000363-0055</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</si>
  <si>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</si>
  <si>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</si>
  <si>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Cobertura  de municipios del departamento del Quindío  atendidos con estudios y/o construcción de obras   para mitigación y atención a desastres realizadas.</t>
  </si>
  <si>
    <t>Obras de infraestructura para mitigación y atención a desastres</t>
  </si>
  <si>
    <t xml:space="preserve">Obras de infraestructura para mitigación y atención a desastres realizadas </t>
  </si>
  <si>
    <t>202000363-0056</t>
  </si>
  <si>
    <t xml:space="preserve"> 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</si>
  <si>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</si>
  <si>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</si>
  <si>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</si>
  <si>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Déficit cualitativo de viviendas por hogares</t>
  </si>
  <si>
    <t>Viviendas de interés social urbanas mejoradas</t>
  </si>
  <si>
    <t>400101500</t>
  </si>
  <si>
    <t>Viviendas de Interés Social urbanas mejoradas</t>
  </si>
  <si>
    <t>202000363-0057</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</si>
  <si>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</si>
  <si>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</si>
  <si>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</si>
  <si>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</si>
  <si>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</si>
  <si>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</si>
  <si>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</si>
  <si>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</si>
  <si>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202000363-0014</t>
  </si>
  <si>
    <t xml:space="preserve"> Implementación del plan departamental para el manejo empresarial de los servicios de agua y saneamiento básico en el Departamento del Quindío  </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</si>
  <si>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</si>
  <si>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</si>
  <si>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</si>
  <si>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</si>
  <si>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</si>
  <si>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</si>
  <si>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</si>
  <si>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</si>
  <si>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</si>
  <si>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</si>
  <si>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</si>
  <si>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</si>
  <si>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</si>
  <si>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</si>
  <si>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</si>
  <si>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</si>
  <si>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202000363-0058</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</si>
  <si>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</si>
  <si>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</si>
  <si>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</si>
  <si>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202000363-0059</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</si>
  <si>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</si>
  <si>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</si>
  <si>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 xml:space="preserve">309  SECRETARÍA DEL INTERIOR </t>
  </si>
  <si>
    <t>Servicio de asistencia técnica para la articulación de los operadores de los servicio de justicia</t>
  </si>
  <si>
    <t>202000363-0060</t>
  </si>
  <si>
    <t>Disminuir los índice delitos  en el departamento del Quindío a través de procesos de asistencia Técnica y articulación  de acciones  con las Administraciones municipales .</t>
  </si>
  <si>
    <t>Secretario de Interior</t>
  </si>
  <si>
    <t>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</si>
  <si>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</si>
  <si>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</si>
  <si>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202000363-0061</t>
  </si>
  <si>
    <t xml:space="preserve">  Implementación de  métodos  para la resolución de conflictos y el  fortalecimiento de la seguridad de los ciudadanos den el Departamento del Quindío  </t>
  </si>
  <si>
    <t>Coordinar con los organismos de seguridad métodos  de intervenciones  transformadoras en zonas de miedo e impunidad</t>
  </si>
  <si>
    <t>Sistema penitenciario y carcelario en el marco de los derechos humanos. "Quindío respeta derechos penitenciarios"</t>
  </si>
  <si>
    <t>Servicio de resocialización de personas privadas de la libertad</t>
  </si>
  <si>
    <t>Personas privadas de la libertad (PPL) que reciben servicio de resocialización</t>
  </si>
  <si>
    <t>202000363-0062</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</si>
  <si>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</si>
  <si>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</si>
  <si>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</si>
  <si>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</si>
  <si>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</si>
  <si>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</si>
  <si>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202000363-0063</t>
  </si>
  <si>
    <t xml:space="preserve"> 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</si>
  <si>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</si>
  <si>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</si>
  <si>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</si>
  <si>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Cobertura de la población víctima atendida con procesos de atención, prevención y asistencia humanitaria</t>
  </si>
  <si>
    <t>Servicio de orientación y comunicación a las víctimas</t>
  </si>
  <si>
    <t>Solicitudes tramitadas</t>
  </si>
  <si>
    <t>202000363-0064</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</si>
  <si>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</si>
  <si>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</si>
  <si>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</si>
  <si>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</si>
  <si>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</si>
  <si>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</si>
  <si>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</si>
  <si>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</si>
  <si>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</si>
  <si>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</si>
  <si>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</si>
  <si>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</si>
  <si>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</si>
  <si>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</si>
  <si>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</si>
  <si>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</si>
  <si>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</si>
  <si>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</si>
  <si>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202000363-0065</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</si>
  <si>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</si>
  <si>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</si>
  <si>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</si>
  <si>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</si>
  <si>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</si>
  <si>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</si>
  <si>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</si>
  <si>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202000363-0066</t>
  </si>
  <si>
    <t xml:space="preserve"> Fortalecimiento de los organismos de seguridad del Departamento del Quindío,  para mejorar la convivencia, preservación del orden público y la seguridad ciudadana. </t>
  </si>
  <si>
    <t xml:space="preserve"> Disminuir los índices  de delitos en el departamento del Quindío, a través de fortalecimiento de los organismos de seguridad, para el mejoramiento de la   convivencia, preservación del orden público y la seguridad ciudadana. </t>
  </si>
  <si>
    <t>Instancias territoriales asistidas técnicamente</t>
  </si>
  <si>
    <t>202000363-0068</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</si>
  <si>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</si>
  <si>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</si>
  <si>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</si>
  <si>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</si>
  <si>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202000363-0069</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</si>
  <si>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</si>
  <si>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</si>
  <si>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Cobertura de   personas capacitadas en Gestión del Riesgo de Desastres  en el Departamento del Quindío, bajo en marco de Ciudades resilientes</t>
  </si>
  <si>
    <t>Servicio de educación informal</t>
  </si>
  <si>
    <t>Personas capacitadas</t>
  </si>
  <si>
    <t>202000363-0070</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</si>
  <si>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</si>
  <si>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</si>
  <si>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</si>
  <si>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</si>
  <si>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</si>
  <si>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</si>
  <si>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</si>
  <si>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</si>
  <si>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</si>
  <si>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</si>
  <si>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</si>
  <si>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202000363-0067</t>
  </si>
  <si>
    <t xml:space="preserve"> 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</si>
  <si>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</si>
  <si>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</si>
  <si>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202000363-0071</t>
  </si>
  <si>
    <t xml:space="preserve"> 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</si>
  <si>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</si>
  <si>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</si>
  <si>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</si>
  <si>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</si>
  <si>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</si>
  <si>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</si>
  <si>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</si>
  <si>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</si>
  <si>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</si>
  <si>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</si>
  <si>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 xml:space="preserve">310 SECRETARÍA DE CULTURA </t>
  </si>
  <si>
    <t>.Cobertura en formación artística y cultural
.Tasa de consumo de sustancias sicoactivas por 100.000 habitantes en el departamento del Quindío.</t>
  </si>
  <si>
    <t>Servicio de educación informal en áreas artísticas y culturales</t>
  </si>
  <si>
    <t>202000363-0021</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</si>
  <si>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</si>
  <si>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</si>
  <si>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 xml:space="preserve">Secretaría de Cultura </t>
  </si>
  <si>
    <t>Servicio de circulación artística y cultural</t>
  </si>
  <si>
    <t>Producciones artísticas en circulación</t>
  </si>
  <si>
    <t>.Tasa de cumplimiento al Plan de Biocultura en patrimonio y del PCC.
.Tasa de consumo de sustancias sicoactivas por 100.000 habitantes en el departamento del Quindío.</t>
  </si>
  <si>
    <t>Formulación e implementación del Plan de Cultura</t>
  </si>
  <si>
    <t xml:space="preserve">Documentos de lineamientos técnicos </t>
  </si>
  <si>
    <t>Plan Decenal de cultura formulado e implementado</t>
  </si>
  <si>
    <t>Servicio de educación formal al sector artístico y cultural</t>
  </si>
  <si>
    <t>Cupos de educación formal ofertados</t>
  </si>
  <si>
    <t>Tasa de lectura
Tasa de consumo de sustancias sicoactivas por 100.000 habitantes en el departamento del Quindío.</t>
  </si>
  <si>
    <t>Servicios bibliotecarios</t>
  </si>
  <si>
    <t>330108500</t>
  </si>
  <si>
    <t>Usuarios atendidos</t>
  </si>
  <si>
    <t>202000363-0020</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</si>
  <si>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</si>
  <si>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</si>
  <si>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</si>
  <si>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</si>
  <si>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</si>
  <si>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</si>
  <si>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</si>
  <si>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</si>
  <si>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202000363-0072</t>
  </si>
  <si>
    <t xml:space="preserve"> 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</si>
  <si>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</si>
  <si>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</si>
  <si>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Tasa de cumplimiento al Plan de Biocultura en patrimonio y del PCC.
Tasa de consumo de sustancias sicoactivas por 100.000 habitantes en el departamento del Quindío.</t>
  </si>
  <si>
    <t>Servicio de asistencia técnica en el manejo y gestión del patrimonio arqueológico, antropológico e histórico.</t>
  </si>
  <si>
    <t>330204200</t>
  </si>
  <si>
    <t xml:space="preserve">Asistencias técnicas realizadas a entidades territoriales </t>
  </si>
  <si>
    <t>202000363-0073</t>
  </si>
  <si>
    <t xml:space="preserve"> 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</si>
  <si>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</si>
  <si>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</si>
  <si>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</si>
  <si>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 xml:space="preserve">311 SECRETARÍA DE TURISMO INDUSTRIA Y COMERCIO </t>
  </si>
  <si>
    <t>PRODUCTIVIDAD Y COMPETITIVIDAD</t>
  </si>
  <si>
    <t>Comercio, Industria y Turismo</t>
  </si>
  <si>
    <t xml:space="preserve">Productividad y competitividad de las empresas colombianas. "Tú y yo con empresas competitivas" </t>
  </si>
  <si>
    <t>Índice Departamental de Competitividad
Tasa de desempleo</t>
  </si>
  <si>
    <t>Servicio de apoyo y consolidación de las Comisiones Regionales de Competitividad - CRC</t>
  </si>
  <si>
    <t>350200600</t>
  </si>
  <si>
    <t xml:space="preserve">Planes de trabajo concertados con las CRC para su consolidación </t>
  </si>
  <si>
    <t>202000363-0074</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</si>
  <si>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</si>
  <si>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</si>
  <si>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Secretaría de Turismo, Industria y Comercio</t>
  </si>
  <si>
    <t>Servicio de asistencia técnica para el desarrollo de iniciativas Clústeres</t>
  </si>
  <si>
    <t>350200700</t>
  </si>
  <si>
    <t>Clústeres asistidos en la implementación de los planes de acción</t>
  </si>
  <si>
    <t>350202200</t>
  </si>
  <si>
    <t>Empresas asistidas técnicamente</t>
  </si>
  <si>
    <t>202000363-0075</t>
  </si>
  <si>
    <t xml:space="preserve"> Fortalecimiento del sector empresarial  para el acceso a nuevos mercados en el departamento del Quindío</t>
  </si>
  <si>
    <t>Incrementar en índice de competitividad en el Departamento del Quindío,  a través de fortalecimiento del sector empresarial,  con el propósito de incrementar la competitividad para  en  acceso a nuevos mercados locales e internacionales.</t>
  </si>
  <si>
    <t>350204700</t>
  </si>
  <si>
    <t>0.7</t>
  </si>
  <si>
    <t>Índice Departamental de Competitividad Turística
Tasa de desempleo</t>
  </si>
  <si>
    <t>Servicio de asistencia técnica a los entes territoriales para el desarrollo turístico</t>
  </si>
  <si>
    <t>350203900</t>
  </si>
  <si>
    <t>202000363-0076</t>
  </si>
  <si>
    <t xml:space="preserve"> Mejoramiento de la competitividad del  departamento como destino turístico  sostenible y de calidad .</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</si>
  <si>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</si>
  <si>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</si>
  <si>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</si>
  <si>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</si>
  <si>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</si>
  <si>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202000363-0077</t>
  </si>
  <si>
    <t xml:space="preserve"> Fortalecimiento de la promoción turística del destino Quindío a nivel  nacional e internacional </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</si>
  <si>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</si>
  <si>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</si>
  <si>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</si>
  <si>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Servicios de apoyo financiero para la creación de empresas</t>
  </si>
  <si>
    <t>360201800</t>
  </si>
  <si>
    <t>Planes de negocio financiados</t>
  </si>
  <si>
    <t>202000363-0078</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</si>
  <si>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</si>
  <si>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</si>
  <si>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</si>
  <si>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</si>
  <si>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</si>
  <si>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</si>
  <si>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</si>
  <si>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</si>
  <si>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</si>
  <si>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</si>
  <si>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</si>
  <si>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 xml:space="preserve">312 SECRETARÍA DE AGRICULTURA, DESARROLLO RURAL Y MEDIO AMBIENTE </t>
  </si>
  <si>
    <t>Agricultura y desarrollo rural</t>
  </si>
  <si>
    <t>Inclusión productiva de pequeños productores rurales. "Tú y yo con oportunidades para el pequeño campesino"</t>
  </si>
  <si>
    <t>Crecimiento económico del sector agropecuario (PIB)</t>
  </si>
  <si>
    <t>Servicio de asesoría para el fortalecimiento de la asociatividad</t>
  </si>
  <si>
    <t>170201100</t>
  </si>
  <si>
    <t>Asociaciones fortalecidas</t>
  </si>
  <si>
    <t>202000363-0079</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</si>
  <si>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</si>
  <si>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</si>
  <si>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 xml:space="preserve">Secretaria de Agricultura, Desarrollo Rural y Medio Ambiente </t>
  </si>
  <si>
    <t>Julio César Cortés Pulido</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</si>
  <si>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</si>
  <si>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</si>
  <si>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</si>
  <si>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</si>
  <si>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</si>
  <si>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</si>
  <si>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</si>
  <si>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</si>
  <si>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</si>
  <si>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202000363-0023</t>
  </si>
  <si>
    <t xml:space="preserve"> Implementación de procesos productivos agropecuarios familiares campesinos en busca de la soberanía y seguridad alimentaria en el Departamento del Quindío </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</si>
  <si>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</si>
  <si>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</si>
  <si>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</si>
  <si>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</si>
  <si>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</si>
  <si>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</si>
  <si>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</si>
  <si>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</si>
  <si>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</si>
  <si>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</si>
  <si>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202000363-0080</t>
  </si>
  <si>
    <t xml:space="preserve"> Fortalecimiento e implementación  de procesos de mercadeo y comercialización agropecuaria  en el Departamento del Quindío.                </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</si>
  <si>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</si>
  <si>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</si>
  <si>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</si>
  <si>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</si>
  <si>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</si>
  <si>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202000363-0022</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</si>
  <si>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</si>
  <si>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</si>
  <si>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</si>
  <si>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</si>
  <si>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</si>
  <si>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</si>
  <si>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</si>
  <si>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</si>
  <si>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202000363-0081</t>
  </si>
  <si>
    <t xml:space="preserve"> 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</si>
  <si>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</si>
  <si>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</si>
  <si>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 de apoyo a la implementación de mecanismos y herramientas para el conocimiento, reducción y manejo de riesgos agropecuarios</t>
  </si>
  <si>
    <t>170301300</t>
  </si>
  <si>
    <t>Personas beneficiadas</t>
  </si>
  <si>
    <t>202000363-0082</t>
  </si>
  <si>
    <t xml:space="preserve"> 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</si>
  <si>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</si>
  <si>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</si>
  <si>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170400203</t>
  </si>
  <si>
    <t>Documentos de lineamientos para el ordenamiento social y productivo elaborados</t>
  </si>
  <si>
    <t>202000363-0025</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</si>
  <si>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</si>
  <si>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</si>
  <si>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</si>
  <si>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</si>
  <si>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</si>
  <si>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</si>
  <si>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Servicio de apoyo financiero para la participación en ferias nacionales e internacionales</t>
  </si>
  <si>
    <t>170600400</t>
  </si>
  <si>
    <t>Participaciones en ferias nacionales e internacionales</t>
  </si>
  <si>
    <t>202000363-0083</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</si>
  <si>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</si>
  <si>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</si>
  <si>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</si>
  <si>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Servicio de divulgación y socialización</t>
  </si>
  <si>
    <t>170706900</t>
  </si>
  <si>
    <t>Eventos realizados</t>
  </si>
  <si>
    <t>202000363-0084</t>
  </si>
  <si>
    <t xml:space="preserve"> Implementación de procesos de  sanidad e inocuidad alimentaria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</si>
  <si>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</si>
  <si>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</si>
  <si>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170801600</t>
  </si>
  <si>
    <t>Documentos de lineamientos técnicos elaborados</t>
  </si>
  <si>
    <t>202000363-0026</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</si>
  <si>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</si>
  <si>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</si>
  <si>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</si>
  <si>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</si>
  <si>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</si>
  <si>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Infraestructura productiva y comercialización. "Tú y yo con agro competitivo"</t>
  </si>
  <si>
    <t>Centros logísticos agropecuarios adecuados</t>
  </si>
  <si>
    <t>202000363-0024</t>
  </si>
  <si>
    <t xml:space="preserve"> Implementación de procesos de agro industrialización con calidad e inocuidad en el Departamento del Quindío </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</si>
  <si>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</si>
  <si>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</si>
  <si>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</si>
  <si>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</si>
  <si>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</si>
  <si>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</si>
  <si>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</si>
  <si>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</si>
  <si>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</si>
  <si>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</si>
  <si>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202000363-0085</t>
  </si>
  <si>
    <t xml:space="preserve"> 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</si>
  <si>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</si>
  <si>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</si>
  <si>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</si>
  <si>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</si>
  <si>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Documentos de lineamientos técnicos para mejorar la calidad ambiental de las áreas urbanas</t>
  </si>
  <si>
    <t>320101300</t>
  </si>
  <si>
    <t>Documentos de lineamientos técnicos para  mejorar la calidad ambiental de las áreas urbanas elaborados</t>
  </si>
  <si>
    <t>202000363-0027</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</si>
  <si>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</si>
  <si>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</si>
  <si>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</si>
  <si>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</si>
  <si>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</si>
  <si>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</si>
  <si>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3202005</t>
  </si>
  <si>
    <t>Servicio de restauración de ecosistemas</t>
  </si>
  <si>
    <t>320200500</t>
  </si>
  <si>
    <t>Áreas en proceso de restauración</t>
  </si>
  <si>
    <t>202000363-0086</t>
  </si>
  <si>
    <t xml:space="preserve"> 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</si>
  <si>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</si>
  <si>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Servicio de recuperación de cuerpos de agua lénticos y lóticos</t>
  </si>
  <si>
    <t>320203704</t>
  </si>
  <si>
    <t>Bosque ripario recuperado</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</si>
  <si>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</si>
  <si>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</si>
  <si>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</si>
  <si>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</si>
  <si>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</si>
  <si>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</si>
  <si>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</si>
  <si>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</si>
  <si>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</si>
  <si>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Estrategia  para la protección y bienestar de los animales domésticos y silvestres adoptada</t>
  </si>
  <si>
    <t>Talleres realizados</t>
  </si>
  <si>
    <t>202000363-0028</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</si>
  <si>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</si>
  <si>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</si>
  <si>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</si>
  <si>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</si>
  <si>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202000363-0087</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</si>
  <si>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</si>
  <si>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</si>
  <si>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</si>
  <si>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</si>
  <si>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Servicio de apoyo financiero a emprendimientos</t>
  </si>
  <si>
    <t>320401200</t>
  </si>
  <si>
    <t xml:space="preserve">Emprendimientos apoyados </t>
  </si>
  <si>
    <t>202000363-0029</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</si>
  <si>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</si>
  <si>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</si>
  <si>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</si>
  <si>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</si>
  <si>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</si>
  <si>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</si>
  <si>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202000363-0030</t>
  </si>
  <si>
    <t xml:space="preserve"> Implementación de acciones de Gestión del Cambio Climático en el marco del PIGCC, en el Departamento del Quindío</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</si>
  <si>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</si>
  <si>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</si>
  <si>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</si>
  <si>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</si>
  <si>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</si>
  <si>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</si>
  <si>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</si>
  <si>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</si>
  <si>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</si>
  <si>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</si>
  <si>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</si>
  <si>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202000363-0088</t>
  </si>
  <si>
    <t xml:space="preserve">Implementación de un programa  de protección del  patrimonio ambiental , en paisaje, la biodiversidad y sus servicios ecosistémicos en el Departamento del Quindío  </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</si>
  <si>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</si>
  <si>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</si>
  <si>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</si>
  <si>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</si>
  <si>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</si>
  <si>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</si>
  <si>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</si>
  <si>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</si>
  <si>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 xml:space="preserve">313 DIRECCIÓN OFICINA PRIVADA </t>
  </si>
  <si>
    <t>Fortalecimiento a la gestión y dirección de la administración pública territorial "Quindío con una administración al servicio de la ciudadanía"</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</si>
  <si>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</si>
  <si>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</si>
  <si>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</si>
  <si>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202000363-0089</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</si>
  <si>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</si>
  <si>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</si>
  <si>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 xml:space="preserve">Dirección Oficina Privada </t>
  </si>
  <si>
    <t>Desarrollo e implementación de la estrategia de comunicaciones para la Administración Departamental</t>
  </si>
  <si>
    <t>Estrategia de comunicaciones desarrollada e implementada</t>
  </si>
  <si>
    <t>202000363-0090</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</si>
  <si>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</si>
  <si>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</si>
  <si>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</si>
  <si>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</si>
  <si>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202000363-0031</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</si>
  <si>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</si>
  <si>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</si>
  <si>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 xml:space="preserve">314 SECRETARÍA DE EDUCACIÓN </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</si>
  <si>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</si>
  <si>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</si>
  <si>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</si>
  <si>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202000363-0091</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</si>
  <si>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</si>
  <si>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</si>
  <si>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 xml:space="preserve">Secretaría de Educación </t>
  </si>
  <si>
    <t>Liliana María Sánchez Villada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</si>
  <si>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</si>
  <si>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</si>
  <si>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</si>
  <si>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</si>
  <si>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</si>
  <si>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</si>
  <si>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</si>
  <si>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</si>
  <si>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</si>
  <si>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</si>
  <si>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</si>
  <si>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</si>
  <si>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</si>
  <si>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</si>
  <si>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</si>
  <si>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</si>
  <si>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</si>
  <si>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</si>
  <si>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</si>
  <si>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</si>
  <si>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</si>
  <si>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</si>
  <si>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</si>
  <si>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</si>
  <si>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</si>
  <si>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</si>
  <si>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202000363-0092</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</si>
  <si>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</si>
  <si>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</si>
  <si>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</si>
  <si>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</si>
  <si>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</si>
  <si>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</si>
  <si>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</si>
  <si>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</si>
  <si>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202000363-0093</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</si>
  <si>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</si>
  <si>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</si>
  <si>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</si>
  <si>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</si>
  <si>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</si>
  <si>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</si>
  <si>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</si>
  <si>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</si>
  <si>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</si>
  <si>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</si>
  <si>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</si>
  <si>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</si>
  <si>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</si>
  <si>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</si>
  <si>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</si>
  <si>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</si>
  <si>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</si>
  <si>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</si>
  <si>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</si>
  <si>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</si>
  <si>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</si>
  <si>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</si>
  <si>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</si>
  <si>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</si>
  <si>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</si>
  <si>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202000363-0016</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</si>
  <si>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</si>
  <si>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</si>
  <si>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</si>
  <si>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</si>
  <si>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</si>
  <si>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</si>
  <si>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 xml:space="preserve">Tasa de cobertura bruta en transición
Tasa de cobertura bruta en educación básica
Tasa de cobertura en educación media
</t>
  </si>
  <si>
    <t>Servicio educativo</t>
  </si>
  <si>
    <t>Establecimientos educativos en operación</t>
  </si>
  <si>
    <t>Servicio de accesibilidad a contenidos web para fines pedagógicos</t>
  </si>
  <si>
    <t>Estudiantes con acceso a contenidos web en el establecimiento educativo</t>
  </si>
  <si>
    <t>202000363-0094</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</si>
  <si>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</si>
  <si>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</si>
  <si>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</si>
  <si>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</si>
  <si>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</si>
  <si>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</si>
  <si>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</si>
  <si>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</si>
  <si>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</si>
  <si>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202000363-0015</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</si>
  <si>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</si>
  <si>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</si>
  <si>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</si>
  <si>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</si>
  <si>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</si>
  <si>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</si>
  <si>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202000363-0095</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</si>
  <si>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</si>
  <si>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</si>
  <si>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Servicios de información en materia educativa</t>
  </si>
  <si>
    <t>Observatorio implementado</t>
  </si>
  <si>
    <t>Tasa de cobertura en educación superior</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</si>
  <si>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</si>
  <si>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</si>
  <si>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</si>
  <si>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202000363-0096</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</si>
  <si>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</si>
  <si>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</si>
  <si>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Generación de una cultura qué valora y gestiona en conocimiento y la innovación.</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</si>
  <si>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</si>
  <si>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</si>
  <si>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</si>
  <si>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</si>
  <si>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202000363-0097</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</si>
  <si>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</si>
  <si>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</si>
  <si>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316 SECRETARÍA DE FAMILIA</t>
  </si>
  <si>
    <t>Salud Pública, "Tú y yo con salud de calidad"</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</si>
  <si>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</si>
  <si>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</si>
  <si>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</si>
  <si>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 202000363-0011</t>
  </si>
  <si>
    <t xml:space="preserve">  Diseño e implementación de campañas para la promoción de la vida y prevención del consumo de sustancias psicoactivas en el Departamento del Quindío. "TU Y YO UNIDOS POR LA VIDA".  </t>
  </si>
  <si>
    <t xml:space="preserve"> Disminuir las tasas  de mortalidad materna, embarazos, violencia y suicidios en el Departamento del Quindío, a través del fomento de  hábitos de vida saludables y derechos sexuales y reproductivos. </t>
  </si>
  <si>
    <t xml:space="preserve">Secretaría de Familia </t>
  </si>
  <si>
    <t xml:space="preserve">Alba Johana Quejada Torres </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</si>
  <si>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</si>
  <si>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</si>
  <si>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</si>
  <si>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Cobertura  de municipios   con  jóvenes en riesgo psicosocial impactados en los  Barrios vulnerables del Departamento del Quindío</t>
  </si>
  <si>
    <t>Servicio de educación informal al sector artístico y cultural</t>
  </si>
  <si>
    <t>Capacitaciones de educación informal realizadas</t>
  </si>
  <si>
    <t>202000363-0098</t>
  </si>
  <si>
    <t xml:space="preserve"> Implementación acciones de fortalecimiento  de los entornos protectores de los jóvenes en barrios vulnerables de los municipios, del Departamento del Quindío. </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</si>
  <si>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</si>
  <si>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</si>
  <si>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</si>
  <si>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</si>
  <si>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</si>
  <si>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</si>
  <si>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202000363-0099</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</si>
  <si>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</si>
  <si>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</si>
  <si>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</si>
  <si>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</si>
  <si>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</si>
  <si>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</si>
  <si>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</si>
  <si>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</si>
  <si>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</si>
  <si>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</si>
  <si>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</si>
  <si>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410204300</t>
  </si>
  <si>
    <t>Familias atendidas</t>
  </si>
  <si>
    <t>202000363-0100</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</si>
  <si>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</si>
  <si>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</si>
  <si>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</si>
  <si>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Revisar y ajustar   la política pública de primera infancia, infancia y adolescencia</t>
  </si>
  <si>
    <t xml:space="preserve">4102035
 </t>
  </si>
  <si>
    <t xml:space="preserve">Documento  de Política Pública de Primera Infancia, Infancia y Adolescencia, revisado, ajustado </t>
  </si>
  <si>
    <t xml:space="preserve">410203501
</t>
  </si>
  <si>
    <t>Documentos de lineamientos técnicos en Política y Atención Integral de niños, niñas y adolescentes realizados</t>
  </si>
  <si>
    <t>202000363-0101</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</si>
  <si>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</si>
  <si>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</si>
  <si>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</si>
  <si>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</si>
  <si>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</si>
  <si>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</si>
  <si>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</si>
  <si>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</si>
  <si>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</si>
  <si>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</si>
  <si>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202000363-0102</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</si>
  <si>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</si>
  <si>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</si>
  <si>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</si>
  <si>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</si>
  <si>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</si>
  <si>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</si>
  <si>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</si>
  <si>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202000363-0032</t>
  </si>
  <si>
    <t xml:space="preserve"> Diseño e implementación del programa de acompañamiento familiar y comunitario con enfoque preventivo en los tipos de violencias en el Departamento del Quindío "TU Y YO COMPROMETIDOS CON LA FAMILIA" </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</si>
  <si>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</si>
  <si>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</si>
  <si>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</si>
  <si>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</si>
  <si>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</si>
  <si>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</si>
  <si>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202000363-0033</t>
  </si>
  <si>
    <t xml:space="preserve"> 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</si>
  <si>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</si>
  <si>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</si>
  <si>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</si>
  <si>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</si>
  <si>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</si>
  <si>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</si>
  <si>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</si>
  <si>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</si>
  <si>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</si>
  <si>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Niños, niñas, adolescentes y jóvenes atendidos en los servicios de restablecimiento en la administración de justicia</t>
  </si>
  <si>
    <t>202000363-0034</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</si>
  <si>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</si>
  <si>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</si>
  <si>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</si>
  <si>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</si>
  <si>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</si>
  <si>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202000363-0103</t>
  </si>
  <si>
    <t xml:space="preserve">  Fortalecimiento  de unidades productivas colectivas  juveniles para la generación de ingresos  en el departamento del Quindío  </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</si>
  <si>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</si>
  <si>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</si>
  <si>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</si>
  <si>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202000363-0104</t>
  </si>
  <si>
    <t xml:space="preserve">  Formulación  e Implementación del  programa departamental para atención al ciudadano migrante y de repatriación.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</si>
  <si>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</si>
  <si>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</si>
  <si>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</si>
  <si>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202000363-0105</t>
  </si>
  <si>
    <t xml:space="preserve">   Desarrollo de un  programa  de acompañamiento  familiar y comunitario  en procesos de Inclusión social y productivos para el emprendimiento de  alternativas de generación de ingresos  en el departamento del Quindío  </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</si>
  <si>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</si>
  <si>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</si>
  <si>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</si>
  <si>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</si>
  <si>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202000363-0106</t>
  </si>
  <si>
    <t xml:space="preserve">  Formulación e implementación   de proyectos productivos  dirigidos a  la población en condición  de  discapacidad y sus familias para la generación de  ingresos  y fortalecimiento del entorno familiar.  </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</si>
  <si>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</si>
  <si>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</si>
  <si>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</si>
  <si>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</si>
  <si>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</si>
  <si>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</si>
  <si>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202000363-0036</t>
  </si>
  <si>
    <t xml:space="preserve">  Apoyo en la construcción e Implementación de los Planes de Vida de los Cabildos y Resguardos indígenas  asentados en el Departamento del Quindío "TU Y YO UNIDOS CON DIGNIDAD".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</si>
  <si>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</si>
  <si>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</si>
  <si>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</si>
  <si>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</si>
  <si>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</si>
  <si>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</si>
  <si>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</si>
  <si>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202000363-0037</t>
  </si>
  <si>
    <t xml:space="preserve">  Formulación e implementación de la política pública para la comunidad negra, afrocolombiana, raizal y palenquera residente en el Departamento del Quindío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</si>
  <si>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</si>
  <si>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</si>
  <si>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Cobertura  de municipios del Departamento del Quindío con el Programa de Rehabilitación Basada en la Comunidad  RBC
Cobertura de municipios atendidos  con el Banco de ayudas técnicas NO POS tipo Estándar, para las personas con discapacidad .</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</si>
  <si>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</si>
  <si>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</si>
  <si>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</si>
  <si>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</si>
  <si>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202000363-0035</t>
  </si>
  <si>
    <t xml:space="preserve"> Servicio de atención integral a población en condición de discapacidad en los municipios del Departamento del Quindío "TU Y YO JUNTOS EN LA INCLUSIÓN". </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</si>
  <si>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</si>
  <si>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Cobertura  de municipios del Departamento del Quindío  con en   Programas  de Rehabilitación Basada en la Comunidad  RBC
Cobertura de municipios atendidos  con el Banco de ayudas técnicas NO POS tipo Estándar, para las personas con discapacidad .</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</si>
  <si>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</si>
  <si>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</si>
  <si>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</si>
  <si>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</si>
  <si>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</si>
  <si>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</si>
  <si>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 202000363-0012</t>
  </si>
  <si>
    <t xml:space="preserve">   Apoyo en  la articulación de la  oferta social para la población habitante de calle del departamento del Quindío  </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</si>
  <si>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</si>
  <si>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</si>
  <si>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</si>
  <si>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</si>
  <si>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</si>
  <si>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</si>
  <si>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202000363-0109</t>
  </si>
  <si>
    <t xml:space="preserve"> 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</si>
  <si>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</si>
  <si>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</si>
  <si>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</si>
  <si>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</si>
  <si>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</si>
  <si>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</si>
  <si>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</si>
  <si>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</si>
  <si>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</si>
  <si>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</si>
  <si>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202000363-0113</t>
  </si>
  <si>
    <t xml:space="preserve"> 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</si>
  <si>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</si>
  <si>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</si>
  <si>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Tasa  de Niños, Niñas y Adolescentes qué participan en una actividad remunerada  o no  x cada 100.000 habitantes  en el departamento del Quindío</t>
  </si>
  <si>
    <t>Servicio de educación informal para la prevención integral del trabajo infantil</t>
  </si>
  <si>
    <t>202000363-0114</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</si>
  <si>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</si>
  <si>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</si>
  <si>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</si>
  <si>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</si>
  <si>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</si>
  <si>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</si>
  <si>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202000363-0115</t>
  </si>
  <si>
    <t xml:space="preserve"> 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</si>
  <si>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</si>
  <si>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 xml:space="preserve">Tasa de Violencia Intrafamiliar x 100.000 Habitantes en el Departamento del Quindío.
Tasa de violencia de Género
Tasa  de mujeres de 12 a 14 años qué han sido madres o están en embarazo X 100.000 habitantes en el Departamento del Quindío
Tasa de participación femenina en cargos de elección popular en el  departamento del Quindío
Cobertura de Asociaciones de mujeres fortalecidas  </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</si>
  <si>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</si>
  <si>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</si>
  <si>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</si>
  <si>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</si>
  <si>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202000363-0108</t>
  </si>
  <si>
    <t xml:space="preserve">  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</si>
  <si>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</si>
  <si>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</si>
  <si>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Implementar  la política  pública de diversidad sexual e identidad de género</t>
  </si>
  <si>
    <t>Política pública de diversidad sexual e identidad de género implementada.</t>
  </si>
  <si>
    <t>202000363-0107</t>
  </si>
  <si>
    <t xml:space="preserve">    Implementación de la política pública  de diversidad sexual en el Departamento del Quindío 2019-2029  </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</si>
  <si>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</si>
  <si>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 xml:space="preserve">Mejorar las condiciones de calidad de vida de la población, en acceso incluyente y equitativo a la oferta de servicios del Estado y la ampliación de oportunidades para los Quindianos. </t>
  </si>
  <si>
    <t>Casa de la Mujer Empoderada implementada</t>
  </si>
  <si>
    <t>Espacios generados para el fortalecimiento de capacidades institucionales del Estado</t>
  </si>
  <si>
    <t>202000363-0111</t>
  </si>
  <si>
    <t xml:space="preserve">Implementación de la Casa  de la Mujer Empoderada para la promoción a la participación ciudadana  de Mujeres en escenarios sociales, políticos y el fortalecimiento de la asociatividad  en el departamento del Quindío " TU Y YO CON LAS MUJERES EMPODERADAS." </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</si>
  <si>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</si>
  <si>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Casa Refugio de la Mujer implementada</t>
  </si>
  <si>
    <t>202000363-0112</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</si>
  <si>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</si>
  <si>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</si>
  <si>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Tasa de Suicidio  x 100.000 Habitantes en el Departamento del Quindío.
Tasa de Violencia Intrafamiliar x 100.000 Habitantes en el Departamento del Quindío.
Cobertura a los grupos de adulto mayor del departamento del Quindío en articulación con los Municipios, en el marco de garantizar estimulación física, cognitiva, emocional y social en bienestar de una vejez activa y saludable 
Cobertura  de  centros vida y centros de bienestar del adulto mayor (Legalmente constituidos)  apoyados con los recursos  de la  Estampilla Pro adulto Mayor .</t>
  </si>
  <si>
    <t xml:space="preserve">Formular e implementar la Política Pública de Adulto Mayor </t>
  </si>
  <si>
    <t>4599019</t>
  </si>
  <si>
    <t xml:space="preserve">Política Pública de Adulto Mayor  formulada e implementada </t>
  </si>
  <si>
    <t>459901900</t>
  </si>
  <si>
    <t>Documentos de planeación realizados</t>
  </si>
  <si>
    <t>202000363-0150</t>
  </si>
  <si>
    <t xml:space="preserve">Revisar y ajustar  la política pública de equidad de género para la mujer </t>
  </si>
  <si>
    <t xml:space="preserve">Documento de Política Pública de la mujer y equidad de género revisada y ajustada </t>
  </si>
  <si>
    <t>202000363-0151</t>
  </si>
  <si>
    <t xml:space="preserve">Revisar y ajustar la política pública de equidad de género para la mujer en el Departamento del Quindío  </t>
  </si>
  <si>
    <t>Tasa de Suicidio  x 100.000 Habitantes en el Departamento del Quindío.
Tasa de Violencia Intrafamiliar x 100.000 Habitantes en el Departamento del Quindío.
Cobertura de municipios del departamento con procesos de implementación de proyectos  productivos  para las personas con discapacidad</t>
  </si>
  <si>
    <t>Revisar y ajustar    la Política Pública de  Discapacidad</t>
  </si>
  <si>
    <t xml:space="preserve">Documento de Política Pública de  Discapacidad revisado y ajustado.  </t>
  </si>
  <si>
    <t>202000363-0110</t>
  </si>
  <si>
    <t xml:space="preserve">  Revisar y ajustar  la política pública de  discapacidad del departamento del Quindío  </t>
  </si>
  <si>
    <t>Disminuir  la tasa de suicidio, violencia intrafamiliar, además de aumentar la Cobertura de los  municipios del departamento con procesos de implementación de proyectos  productivos  para las personas con discapacidad,  a través de la participación de los diferentes actores qué contribuyen de manera integral a garantizar una mejor calidad de vida de las personas objeto de intervención.</t>
  </si>
  <si>
    <t xml:space="preserve">318 SECRETARIA DE SALUD </t>
  </si>
  <si>
    <t xml:space="preserve">Inspección, vigilancia y control. "Tú y yo con salud certificada" </t>
  </si>
  <si>
    <t>Mortalidad por diarreica aguda (EDA) menores 5 años (número de muertes anual)</t>
  </si>
  <si>
    <t>Servicio de concepto sanitario</t>
  </si>
  <si>
    <t>Servicio de registro sanitario</t>
  </si>
  <si>
    <t>Conceptos sanitarios expedidos</t>
  </si>
  <si>
    <t>202000363-0116</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</si>
  <si>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</si>
  <si>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</si>
  <si>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Secretaría  de Salud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</si>
  <si>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</si>
  <si>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</si>
  <si>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</si>
  <si>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</si>
  <si>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</si>
  <si>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</si>
  <si>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</si>
  <si>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</si>
  <si>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Servicio de vigilancia y control de las políticas y normas técnicas, científicas y administrativas expedidas por el Ministerio de Salud y Protección Social</t>
  </si>
  <si>
    <t>Municipios con procesos de vigilancia epidemiológica de plaguicidas organofosforados y carbamatos realizados.</t>
  </si>
  <si>
    <t>Entidades territoriales con vigilancia y control realizados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</si>
  <si>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</si>
  <si>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</si>
  <si>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</si>
  <si>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</si>
  <si>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</si>
  <si>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</si>
  <si>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</si>
  <si>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</si>
  <si>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Tasa mortalidad en menores de 5 años (por 1.000 nacidos vivos).</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</si>
  <si>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</si>
  <si>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</si>
  <si>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</si>
  <si>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</si>
  <si>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</si>
  <si>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202000363-0117</t>
  </si>
  <si>
    <t xml:space="preserve"> Implementación de programas de promoción social en poblaciones  especiales en el Departamento del Quindío </t>
  </si>
  <si>
    <t>Fortalecer la gestión intersectorial en salud de los grupos con alta vulnerabilidad</t>
  </si>
  <si>
    <t>Tasa de violencia de género</t>
  </si>
  <si>
    <t>Servicio de adopción y seguimiento de acciones y medidas especiales</t>
  </si>
  <si>
    <t>Acciones y medidas especiales ejecutadas</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</si>
  <si>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</si>
  <si>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</si>
  <si>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</si>
  <si>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202000363-0118</t>
  </si>
  <si>
    <t xml:space="preserve"> Fortalecimiento de las actividades de vigilancia y control del laboratorio de salud pública en el Departamento del Quindío  
</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</si>
  <si>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</si>
  <si>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</si>
  <si>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</si>
  <si>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</si>
  <si>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 xml:space="preserve">Informes de los resultados obtenidos en la vigilancia sanitaria </t>
  </si>
  <si>
    <t>Asistencias técnicas realizadas</t>
  </si>
  <si>
    <t>202000363-0119</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</si>
  <si>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</si>
  <si>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</si>
  <si>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</si>
  <si>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</si>
  <si>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</si>
  <si>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202000363-0120</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</si>
  <si>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</si>
  <si>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</si>
  <si>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</si>
  <si>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</si>
  <si>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</si>
  <si>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atención institucional del parto por personal calificado.</t>
  </si>
  <si>
    <t>Porcentaje de población asegurada al SGSSS</t>
  </si>
  <si>
    <t>Servicios de comunicación y divulgación en inspección, vigilancia y control</t>
  </si>
  <si>
    <t>Eventos de rendición de cuentas realizados</t>
  </si>
  <si>
    <t>202000363-0121</t>
  </si>
  <si>
    <t xml:space="preserve"> Apoyo operativo a la inversión social en salud en el Departamento del Quindío </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</si>
  <si>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</si>
  <si>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</si>
  <si>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</si>
  <si>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</si>
  <si>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</si>
  <si>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</si>
  <si>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</si>
  <si>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Servicio de implementación de estrategias para el fortalecimiento del control social en salud</t>
  </si>
  <si>
    <t>Estrategias para el fortalecimiento del control social en salud implementadas</t>
  </si>
  <si>
    <t>Servicio de gestión del riesgo para temas de consumo, aprovechamiento biológico, calidad e inocuidad de los alimentos.</t>
  </si>
  <si>
    <t>Campañas de gestión del riesgo para temas de consumo, aprovechamiento biológico, calidad e inocuidad de los alimentos implementadas</t>
  </si>
  <si>
    <t>202000363-0122</t>
  </si>
  <si>
    <t xml:space="preserve"> 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</si>
  <si>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</si>
  <si>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</si>
  <si>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</si>
  <si>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</si>
  <si>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</si>
  <si>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202000363-0123</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</si>
  <si>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</si>
  <si>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</si>
  <si>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</si>
  <si>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DNP</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</si>
  <si>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</si>
  <si>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</si>
  <si>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Entidades Administradoras de Planes Básicos EAPB con Rutas de obligatorio cumplimiento Implementadas</t>
  </si>
  <si>
    <t>Campañas de promoción de la salud  y prevención de riesgos asociados a condiciones no transmisibles implementadas (190503100)</t>
  </si>
  <si>
    <t>Letalidad por dengue.</t>
  </si>
  <si>
    <t>Formular en Plan de Fortalecimiento de Capacidades en Salud Ambiental en coordinación con el Consejo Territorial de Salud Ambiental COTSA</t>
  </si>
  <si>
    <t xml:space="preserve"> 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</si>
  <si>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</si>
  <si>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</si>
  <si>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</si>
  <si>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</si>
  <si>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Mortalidad por dengue (casos)
Letalidad por dengue.</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</si>
  <si>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</si>
  <si>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</si>
  <si>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</si>
  <si>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</si>
  <si>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</si>
  <si>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</si>
  <si>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</si>
  <si>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202000363-0124</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</si>
  <si>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</si>
  <si>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</si>
  <si>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</si>
  <si>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</si>
  <si>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</si>
  <si>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</si>
  <si>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</si>
  <si>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202000363-0125</t>
  </si>
  <si>
    <t>Consolidación de acciones de promoción de la salud y prevención primaria en salud mental en el Departamento del Quindío.</t>
  </si>
  <si>
    <t>Disminuir la morbimortalidad asociada a la salud mental principalmente de la violencia intrafamiliar</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</si>
  <si>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</si>
  <si>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</si>
  <si>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</si>
  <si>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</si>
  <si>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</si>
  <si>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</si>
  <si>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</si>
  <si>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202000363-0126</t>
  </si>
  <si>
    <t>Proyecto de promoción de estilos de vida saludable, control y vigilancia en la gestión del riesgo de condiciones no transmisibles en el Departamento del Quindío.</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</si>
  <si>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</si>
  <si>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</si>
  <si>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</si>
  <si>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202000363-0127</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</si>
  <si>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</si>
  <si>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</si>
  <si>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</si>
  <si>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</si>
  <si>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</si>
  <si>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</si>
  <si>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</si>
  <si>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</si>
  <si>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t>
  </si>
  <si>
    <t xml:space="preserve">
190501500</t>
  </si>
  <si>
    <t>202000363-0128</t>
  </si>
  <si>
    <t xml:space="preserve">Difusión de la estrategia de gestión integral y de control en vectores, zoonosis y cambio climático del Departamento del Quindío.   </t>
  </si>
  <si>
    <t xml:space="preserve"> Disminuir en índice de enfermedades trasmisión vectorial y zoonosis en la población   </t>
  </si>
  <si>
    <t>202000363-0129</t>
  </si>
  <si>
    <t xml:space="preserve"> Fortalecimiento de la inclusión social para la disminución del riesgo de contraer enfermedades transmisibles en el Departamento del Quindío.  </t>
  </si>
  <si>
    <t xml:space="preserve"> Aumentar la adherencia al tratamiento de los pacientes con diagnóstico de tuberculosis  </t>
  </si>
  <si>
    <t>Servicio de gestión del riesgo para enfermedades emergentes, reemergentes y desatendidas.</t>
  </si>
  <si>
    <t>202000363-0130</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</si>
  <si>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</si>
  <si>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</si>
  <si>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</si>
  <si>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</si>
  <si>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</si>
  <si>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202000363-0131</t>
  </si>
  <si>
    <t xml:space="preserve"> Prevención, preparación, contingencia, mitigación y superación de emergencias y contingencias por eventos relacionados con la salud pública en el Departamento del Quindío.  </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</si>
  <si>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</si>
  <si>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</si>
  <si>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</si>
  <si>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202000363-0132</t>
  </si>
  <si>
    <t xml:space="preserve"> Prevención vigilancia y control de eventos en el ámbito laboral en el Departamento del Quindío.  </t>
  </si>
  <si>
    <t xml:space="preserve">Disminuir los eventos de origen laboral en los trabajadores del sector formal del Departamento del Quindío </t>
  </si>
  <si>
    <t xml:space="preserve">Documentos de planeación en epidemiología y demografía elaborados </t>
  </si>
  <si>
    <t>202000363-0133</t>
  </si>
  <si>
    <t xml:space="preserve"> 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</si>
  <si>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</si>
  <si>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</si>
  <si>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</si>
  <si>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1905009
</t>
  </si>
  <si>
    <t xml:space="preserve">Centros reguladores de urgencias, emergencias y desastres dotados </t>
  </si>
  <si>
    <t>Centros reguladores de urgencias, emergencias y desastres dotados y funcionando.</t>
  </si>
  <si>
    <t xml:space="preserve">190500900
</t>
  </si>
  <si>
    <t>Centros reguladores de urgencias, emergencias y desastres dotados</t>
  </si>
  <si>
    <t>202000363-0134</t>
  </si>
  <si>
    <t xml:space="preserve">Fortalecimiento de la red de urgencias y emergencias en el Departamento del Quindío. </t>
  </si>
  <si>
    <t>Fortalecer en la integración de la red hospitalaria del departamento del Quindío.</t>
  </si>
  <si>
    <t>202000363-0135</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</si>
  <si>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</si>
  <si>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</si>
  <si>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Servicio de promoción de afiliaciones al régimen contributivo del Sistema General de Seguridad Social de las personas con capacidad de pago</t>
  </si>
  <si>
    <t>Personas con capacidad de pago afiliadas</t>
  </si>
  <si>
    <t>202000363-0136</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</si>
  <si>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</si>
  <si>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</si>
  <si>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</si>
  <si>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</si>
  <si>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</si>
  <si>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</si>
  <si>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</si>
  <si>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Servicio de apoyo con tecnologías para prestación de servicios en salud</t>
  </si>
  <si>
    <t>Población inimputable atendida</t>
  </si>
  <si>
    <t>Pacientes atendidos con medicamentos en salud financiados con cargo a los recursos de la UPC del Régimen Subsidiado</t>
  </si>
  <si>
    <t>202000363-0137</t>
  </si>
  <si>
    <t xml:space="preserve">Prestación de Servicios a la Población no Afiliada al Sistema General de Seguridad Social en Salud y en el NO POS a la Población del Régimen Subsidiado.  
 </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</si>
  <si>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</si>
  <si>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</si>
  <si>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</si>
  <si>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</si>
  <si>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</si>
  <si>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</si>
  <si>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</si>
  <si>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</si>
  <si>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</si>
  <si>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</si>
  <si>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202000363-0138</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</si>
  <si>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</si>
  <si>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</si>
  <si>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</si>
  <si>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</si>
  <si>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</si>
  <si>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</si>
  <si>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</si>
  <si>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</si>
  <si>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324  SECRETARÍA TECNOLÓGIAS DE LA INFORMACIÓN Y COMUNICACIÓN</t>
  </si>
  <si>
    <t>Tecnologías de la información y las comunicaciones</t>
  </si>
  <si>
    <t>Facilitar en acceso y uso de las Tecnologías de la Información y las Comunicaciones (TIC)  en todo el territorio nacional.  "Tú y yo somos ciudadanos TIC"</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</si>
  <si>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</si>
  <si>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</si>
  <si>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</si>
  <si>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202000363-0038</t>
  </si>
  <si>
    <t xml:space="preserve"> 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</si>
  <si>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</si>
  <si>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John Mario Liévano Fernández</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</si>
  <si>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</si>
  <si>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</si>
  <si>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</si>
  <si>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</si>
  <si>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</si>
  <si>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</si>
  <si>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</si>
  <si>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R</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</si>
  <si>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</si>
  <si>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</si>
  <si>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</si>
  <si>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202000363-0139</t>
  </si>
  <si>
    <t>Apoyo a la apropiación tecnológica y generacional en el Departamento del Quindío</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</si>
  <si>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</si>
  <si>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</si>
  <si>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</si>
  <si>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</si>
  <si>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</si>
  <si>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</si>
  <si>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</si>
  <si>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Servicio de promoción de la industria de tecnologías de la información</t>
  </si>
  <si>
    <t xml:space="preserve">Eventos para  promoción  de productos y servicio de la industria TI realizados </t>
  </si>
  <si>
    <t>202000363-0039</t>
  </si>
  <si>
    <t xml:space="preserve"> 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</si>
  <si>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</si>
  <si>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empresas de la industria de Tecnologías de la Información para mejorar sus capacidades de comercialización e innovación</t>
  </si>
  <si>
    <t>Empresas beneficiadas con actividades de fortalecimiento  de la industria TI</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</si>
  <si>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</si>
  <si>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</si>
  <si>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</si>
  <si>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</si>
  <si>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</si>
  <si>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</si>
  <si>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</si>
  <si>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</si>
  <si>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 xml:space="preserve">Desarrollo tecnológico e innovación para el crecimiento empresarial </t>
  </si>
  <si>
    <t>Tasa de crecimiento de empresas en el sector productivo transformadas digitalmente</t>
  </si>
  <si>
    <t>Servicio de apoyo para la transferencia de conocimiento y tecnología</t>
  </si>
  <si>
    <t>390300501</t>
  </si>
  <si>
    <t>Nuevas tecnologías adoptadas</t>
  </si>
  <si>
    <t>202000363-0140</t>
  </si>
  <si>
    <t xml:space="preserve">   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</si>
  <si>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</si>
  <si>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</si>
  <si>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</si>
  <si>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</si>
  <si>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</si>
  <si>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Incremento de emprendimientos y/o empresas de base tecnológica</t>
  </si>
  <si>
    <t>Servicios de comunicación con enfoque en ciencia tecnología y sociedad</t>
  </si>
  <si>
    <t>Juguetes, juegos o videojuegos para la comunicación de la ciencia, tecnología e innovación producidos</t>
  </si>
  <si>
    <t>202000363-0040</t>
  </si>
  <si>
    <t xml:space="preserve">  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</si>
  <si>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</si>
  <si>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</si>
  <si>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</si>
  <si>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</si>
  <si>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202000363-0141</t>
  </si>
  <si>
    <t xml:space="preserve"> 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</si>
  <si>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</si>
  <si>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</si>
  <si>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</si>
  <si>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</si>
  <si>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</si>
  <si>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</si>
  <si>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</si>
  <si>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</si>
  <si>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</si>
  <si>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TOTAL ADMINISTRACIÓN CENTRAL:</t>
  </si>
  <si>
    <t xml:space="preserve">319 INDEPORTES QUINDÍO </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</si>
  <si>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</si>
  <si>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</si>
  <si>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</si>
  <si>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</si>
  <si>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</si>
  <si>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</si>
  <si>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</si>
  <si>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</si>
  <si>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</si>
  <si>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</si>
  <si>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</si>
  <si>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</si>
  <si>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</si>
  <si>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</si>
  <si>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 xml:space="preserve">Cobertura de ligas apoyadas en el departamento del Quindío.
Tasa de consumo de sustancias psicoactivas X100.000 habitantes en el Departamento del Quindío
</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</si>
  <si>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</si>
  <si>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</si>
  <si>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</si>
  <si>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</si>
  <si>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Porcentaje de medallería del departamento del Quindío en los Juegos Nacionales.
Tasa de consumo de sustancias psicoactivas X100.000 habitantes en el Departamento del Quindío</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</si>
  <si>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</si>
  <si>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</si>
  <si>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</si>
  <si>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</si>
  <si>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</si>
  <si>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 xml:space="preserve">320 PROMOTORA DE VIVIENDA </t>
  </si>
  <si>
    <t xml:space="preserve">Infraestructura  deportiva y/o recreativa con procesos   constructivos, mejorados,  ampliados, mantenidos y/o  reforzados </t>
  </si>
  <si>
    <t xml:space="preserve">Infraestructura   deportiva y/o recreativa construida, mejorada, ampliada, mantenida, y/o  reforzada </t>
  </si>
  <si>
    <t>202000363-0142</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</si>
  <si>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</si>
  <si>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</si>
  <si>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Pablo César Herrera Correa</t>
  </si>
  <si>
    <t>202000363-0143</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</si>
  <si>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</si>
  <si>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</si>
  <si>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</si>
  <si>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202000363-0144</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</si>
  <si>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</si>
  <si>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</si>
  <si>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</si>
  <si>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</si>
  <si>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</si>
  <si>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202000363-0145</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</si>
  <si>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</si>
  <si>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</si>
  <si>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</si>
  <si>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</si>
  <si>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</si>
  <si>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</si>
  <si>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</si>
  <si>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</si>
  <si>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</si>
  <si>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</si>
  <si>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</si>
  <si>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</si>
  <si>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</si>
  <si>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</si>
  <si>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</si>
  <si>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</si>
  <si>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</si>
  <si>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321 INSTITUTO DEPARTAMENTAL DE TRANSITO</t>
  </si>
  <si>
    <t>Seguridad de Transporte. "Tú y yo seguros en la vía"</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</si>
  <si>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</si>
  <si>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</si>
  <si>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</si>
  <si>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</si>
  <si>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</si>
  <si>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202000363-0149</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</si>
  <si>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</si>
  <si>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</si>
  <si>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</si>
  <si>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</si>
  <si>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</si>
  <si>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Programa de control y atención del tránsito y en transporte formulado e implementado</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</si>
  <si>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</si>
  <si>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</si>
  <si>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</si>
  <si>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</si>
  <si>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TOTAL ENTIDADES DESCENTRALIZADAS</t>
  </si>
  <si>
    <t>TOTAL POAI:</t>
  </si>
  <si>
    <t>TOTAL PRESUPUESTADO</t>
  </si>
  <si>
    <t>LINEA ESTRATEGICA</t>
  </si>
  <si>
    <t>307 SECREATRÍA DE HACIENDA</t>
  </si>
  <si>
    <t>CODIGO</t>
  </si>
  <si>
    <t>RECURSO ORDINARIO</t>
  </si>
  <si>
    <t>COFINANCIACION NACION</t>
  </si>
  <si>
    <t>SGP APSB</t>
  </si>
  <si>
    <t>RECURSOS ORDINARIO</t>
  </si>
  <si>
    <t>FONDO DE SEGURIDAD</t>
  </si>
  <si>
    <t>IVA TELEFONIA</t>
  </si>
  <si>
    <t>IMPUESTO AL REGISTRO</t>
  </si>
  <si>
    <t>MONOPOLIO</t>
  </si>
  <si>
    <t>SGP EDUCACION PS</t>
  </si>
  <si>
    <t>SGP EDUCACION AP</t>
  </si>
  <si>
    <t>FONDO RECURSO PAE</t>
  </si>
  <si>
    <t>SGP SALUD</t>
  </si>
  <si>
    <t>OTROS RECURSOS</t>
  </si>
  <si>
    <t>RECURSOS NACION</t>
  </si>
  <si>
    <t>PROPIOS</t>
  </si>
  <si>
    <t>No.</t>
  </si>
  <si>
    <t>SUB TOTAL SECTOR CENTRAL</t>
  </si>
  <si>
    <t>SUB TOTAL DESCENTRALIZADOS</t>
  </si>
  <si>
    <t>TOTAL DEPARTAMENTO QUINDIO</t>
  </si>
  <si>
    <t>TOTAL</t>
  </si>
  <si>
    <t>VALOR DEL PROYECTO</t>
  </si>
  <si>
    <t>Implementación del Modelo Integrado de Planeación y de Gestión MIPG de la Administración Departamental del Quindío (Dimensiones de Talento humano, Información y Comunicación y Gestión del Conocimiento).</t>
  </si>
  <si>
    <t xml:space="preserve">Implementación de un programa de modernización de la gestión Administrativa de la Administración Departamental del Quindío. "TÚ y YO SOMOS QUINDÍO" </t>
  </si>
  <si>
    <t xml:space="preserve">Fortalecimiento del Consejo Territorial de Planeación del Departamento del Quindío. "TÚ y YO SOMOS QUINDIO" </t>
  </si>
  <si>
    <t xml:space="preserve"> Implementación de eventos de Rendición Pública de Cuentas de divulgación de gestión de la Administración Departamental “TU Y YO SOMOS QUINDIO" </t>
  </si>
  <si>
    <t xml:space="preserve"> Implementación   de instrumentos de planificación para el Ordenamiento y la Gestión Territorial Departamental del Quindío “TU Y YO SOMOS QUINDIO" </t>
  </si>
  <si>
    <t xml:space="preserve">  Implementación del Observatorio Económico de la Administración Departamental del Quindío "TU Y YO SOMOS QUINDIO"</t>
  </si>
  <si>
    <t>Fortalecimiento del Banco de Programas y Proyectos de la administración departamental “TÚ Y YO SOMOS QUINDIO"</t>
  </si>
  <si>
    <t>Asistencia Técnica en Instrumentos de Planificación y gestión territorial en los municipios del Departamento del Quindío.</t>
  </si>
  <si>
    <t xml:space="preserve"> Implementación del Modelo Integrado de Planeación y de Gestión MIPG en la Administración Departamental del   Quindío</t>
  </si>
  <si>
    <t xml:space="preserve">Implementación de un programa para en cumplimiento de las políticas y prácticas contables de la administración departamental    del Quindío.    </t>
  </si>
  <si>
    <t>Mantenimiento de las instituciones públicas y/o de seguridad y justicia del estado en el Departamento Quindío</t>
  </si>
  <si>
    <t>Mejoramiento de la infraestructura física de las instituciones de salud pública y bienestar social del departamento en el Departamento del Quindío</t>
  </si>
  <si>
    <t xml:space="preserve"> Mantenimiento de la infraestructura Educativa en el Departamento del Quindío. </t>
  </si>
  <si>
    <t xml:space="preserve">Mantenimiento, mejoramiento y/o rehabilitación de obras físicas de infraestructura deportiva y recreativa en el Departamento del Quindío  </t>
  </si>
  <si>
    <t>Mantenimiento, mejoramiento, rehabilitación y/o atención de las vías para garantizar la movilidad y competitividad del departamento del Quindío.</t>
  </si>
  <si>
    <t>Construcción, mantenimiento y/o mejoramiento de obras de estabilización de Taludes en el Departamento del Quindío</t>
  </si>
  <si>
    <t xml:space="preserve"> Construcción, mantenimiento y/o mejoramiento de obras de infraestructura para la mitigación y atención de desastres en los municipios del departamento del Quindío </t>
  </si>
  <si>
    <t>Mantenimiento de la infraestructura institucional o de edificios públicos en el Departamento del Quindío</t>
  </si>
  <si>
    <t xml:space="preserve">309 SECRETARÍA DEL INTERIOR </t>
  </si>
  <si>
    <t>Implementación de acciones con los entes municipales, para la reducción de los delitos en el Departamento del Quindío</t>
  </si>
  <si>
    <t xml:space="preserve">  Implementación de métodos para la resolución de conflictos y el fortalecimiento de la seguridad de los ciudadanos en el Departamento del Quindío  </t>
  </si>
  <si>
    <t xml:space="preserve">Implementación de acciones de apoyo para la resocialización de las personas privadas de la libertad en las Instituciones Penitenciarias del Departamento del Quindío. </t>
  </si>
  <si>
    <t xml:space="preserve"> Implementación y/o fortalecimiento de los planes para la gestión del riesgo y desastres en las Instituciones Educativas Oficiales del Departamento </t>
  </si>
  <si>
    <t>Asistencia, atención y capacitación a la población excombatiente en el Departamento del Quindío</t>
  </si>
  <si>
    <t xml:space="preserve"> Fortalecimiento de los organismos de seguridad del Departamento del Quindío, para mejorar la convivencia, preservación del orden público y la seguridad ciudadana. </t>
  </si>
  <si>
    <t xml:space="preserve"> Implementación del Plan Integral de prevención de vulneraciones de los Derechos Humanos DDHH e infracciones al Derecho Internacional Humanitario DIH en el Departamento del Quindío </t>
  </si>
  <si>
    <t>Fortalecimiento institucional de las entidades municipales para la consolidación de la convivencia, el orden público y la seguridad ciudadana en el departamento del Quindío</t>
  </si>
  <si>
    <t>Fortalecimiento de los procesos de planificación del territorio para en conocimiento y reducción del riesgo en el Departamento del Quindío.</t>
  </si>
  <si>
    <t xml:space="preserve"> Fortalecimiento de la participación ciudadana, veedurías y organizaciones comunales para el cumplimiento, protección y restablecimiento de los derechos contemplados en la Constitución Política.   </t>
  </si>
  <si>
    <t xml:space="preserve">Implementación de la "Ruta de la felicidad y la identidad quindiana", para el fortalecimiento y visibilizarían de los procesos artísticos y culturales en el Departamento del Quindío  </t>
  </si>
  <si>
    <t xml:space="preserve">Implementación del programa "Tú y Yo Somos Cultura", para el fortalecimiento a la lectura, escritura y bibliotecas en el Departamento del Quindío   </t>
  </si>
  <si>
    <t xml:space="preserve"> Apoyo artistas y gestores culturales del departamento del Quindío con el beneficio de la Seguridad Social.  </t>
  </si>
  <si>
    <t xml:space="preserve">Fortalecimiento de la competitividad y productividad en el departamento del Quindío </t>
  </si>
  <si>
    <t xml:space="preserve"> Fortalecimiento del sector empresarial para el acceso a nuevos mercados en el departamento del Quindío </t>
  </si>
  <si>
    <t xml:space="preserve"> Mejoramiento de la competitividad del departamento como destino turístico sostenible y de calidad.</t>
  </si>
  <si>
    <t xml:space="preserve"> Fortalecimiento de la promoción turística del destino Quindío a nivel nacional e internacional </t>
  </si>
  <si>
    <t xml:space="preserve"> Fortalecimiento e implementación de procesos de mercadeo y comercialización agropecuaria en el Departamento del Quindío.                </t>
  </si>
  <si>
    <t xml:space="preserve"> Servicio de apoyo en la formulación y estructuración de proyectos de Desarrollo Rural e inclusión productiva campesina en el Departamento del Quindío  </t>
  </si>
  <si>
    <t xml:space="preserve"> Fortalecimiento de eventos y ferias para la competitividad productiva y empresarial del sector rural en el Departamento del Quindío </t>
  </si>
  <si>
    <t xml:space="preserve"> Implementación de procesos de sanidad e inocuidad alimentaria en el departamento del Quindío. </t>
  </si>
  <si>
    <t xml:space="preserve"> Fortalecimiento de nuevos emprendimientos e iniciativas clúster de las cadenas promisorias agropecuarias en el Departamento del Quindío.                     </t>
  </si>
  <si>
    <t xml:space="preserve">Fortalecimiento de los procesos de Gestión Ambiental Urbana y Rural para la protección del Paisaje y la Biodiversidad en el departamento del   Quindío  </t>
  </si>
  <si>
    <t xml:space="preserve"> Apoyo a la generación de entornos amigables para los animales domésticos y silvestres, en el departamento del Quindío </t>
  </si>
  <si>
    <t xml:space="preserve">Realización de campañas de sensibilización y apropiación del patrimonio ambiental del paisaje, la biodiversidad y sus servicios ecosistémicos en el Departamento del Quindío </t>
  </si>
  <si>
    <t xml:space="preserve">Implementación de un programa de protección del patrimonio ambiental, en paisaje, la biodiversidad y sus servicios ecosistémicos en el Departamento del Quindío  </t>
  </si>
  <si>
    <t>Implementar la Política de Transparencia, Acceso a la Información Pública y Lucha Contra la Corrupción del Modelo Integrado de Planificación y Gestión MIPG, articulada con el "Pacto por la Integridad, Transparencia y Legalidad” en el departamento del Quindío</t>
  </si>
  <si>
    <t>Desarrollo e implementación de una estrategia de comunicaciones de la gestión institucional de la Administración Departamental del Quindío "Hacia un gobierno abierto".</t>
  </si>
  <si>
    <t>Fortalecimiento de las capacidades institucionales de la administración departamental del Quindío, para generar condiciones de gobernanza territorial, participación, administración eficiente y transparente.</t>
  </si>
  <si>
    <t>Fortalecimiento de las Tecnologías de Información y Comunicación TIC, para una innovación educativa de calidad en el departamento del Quindío.</t>
  </si>
  <si>
    <t>Fortalecimiento de estrategias para en acceso y la permanencia de los estudiantes egresados de los Establecimientos Educativos Oficiales a la educación superior o terciaria en el Departamento del Quindío.</t>
  </si>
  <si>
    <t>Implementación y fortalecimiento de las estrategias qué fomenten la ciencia, la tecnología y la innovación en las Instituciones Educativas Oficiales del Departamento.</t>
  </si>
  <si>
    <t xml:space="preserve">Diseño e implementación de campañas para la promoción de la vida y prevención del consumo de sustancias psicoactivas en el Departamento del Quindío, “TU Y YO UNIDOS POR LA VIDA".  </t>
  </si>
  <si>
    <t xml:space="preserve"> Implementación acciones de fortalecimiento de los entornos protectores de los jóvenes en barrios vulnerables de los municipios, del Departamento del Quindío. </t>
  </si>
  <si>
    <t>Diseño e implementación de un Modelo de Atención Integral a la Primera Infancia a través de las Rutas Integrales de Atención RIAS en el departamento del Quindío</t>
  </si>
  <si>
    <t xml:space="preserve"> Implementación de la política pública de Familia para la promoción del desarrollo integral de la población del Departamento del Quindío. </t>
  </si>
  <si>
    <t xml:space="preserve"> Revisión, ajuste e implementación de la política pública de primera infancia, infancia y adolescencia en el Departamento del Quindío  </t>
  </si>
  <si>
    <t xml:space="preserve"> Implementación de la política pública de juventud en el Departamento del Quindío  </t>
  </si>
  <si>
    <t xml:space="preserve"> Diseño e implementación de programa de acompañamiento familiar y comunitario con enfoque preventivo en los tipos de violencias en el Departamento del Quindío "TU Y YO COMPROMETIDOS CON LA FAMILIA" </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</si>
  <si>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</si>
  <si>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  Fortalecimiento de unidades productivas colectivas juveniles para la generación de ingresos en el departamento del Quindío  </t>
  </si>
  <si>
    <t xml:space="preserve">  Formulación e Implementación del programa departamental para atención al ciudadano migrante y de repatriación.  </t>
  </si>
  <si>
    <t xml:space="preserve">   Desarrollo de un programa de acompañamiento familiar y comunitario en procesos de Inclusión social y productivos para el emprendimiento de alternativas de generación de ingresos en el departamento del Quindío  </t>
  </si>
  <si>
    <t xml:space="preserve">  Formulación e implementación   de proyectos productivos dirigidos a la población en condición de discapacidad y sus familias para la generación de ingresos y fortalecimiento del entorno familiar.  </t>
  </si>
  <si>
    <t xml:space="preserve">  Apoyo en la construcción e Implementación de los Planes de Vida de los Cabildos y Resguardos indígenas asentados en el Departamento del Quindío "TU Y YO UNIDOS CON DIGNIDAD".  </t>
  </si>
  <si>
    <t xml:space="preserve">   Apoyo en la articulación de la oferta social para la población habitante de calle del Departamento del Quindío  </t>
  </si>
  <si>
    <t xml:space="preserve">    Implementación de la política pública de diversidad sexual en el Departamento del Quindío 2019-2029  </t>
  </si>
  <si>
    <t xml:space="preserve"> Servicio de atención integral e inclusión para el bienestar de los adultos mayores del departamento del Quindío </t>
  </si>
  <si>
    <t xml:space="preserve">  Revisar y ajustar la política pública de discapacidad del departamento del Quindío  </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</si>
  <si>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</si>
  <si>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 xml:space="preserve"> Implementación de estrategias de acompañamiento y asesoría a las asociaciones de mujeres del departamento del Quindío</t>
  </si>
  <si>
    <t>Desarrollo de jornadas de capacitación, sensibilización y prevención del trabajo infantil y protección del adolescente en el departamento del Quindío.</t>
  </si>
  <si>
    <t xml:space="preserve"> Implementación del programa de liderazgo para la participación femenina en escenarios sociales y políticos del departamento del Quindío</t>
  </si>
  <si>
    <t>Formulación de la política pública de adulto mayor en el Departamento del Quindío.</t>
  </si>
  <si>
    <t xml:space="preserve"> Implementación de programas de promoción social en poblaciones especiales en el Departamento del Quindío </t>
  </si>
  <si>
    <t xml:space="preserve"> Fortalecimiento de las actividades de vigilancia y control del laboratorio de salud pública en el Departamento del Quindío  </t>
  </si>
  <si>
    <t xml:space="preserve"> Aprovechamiento biológico y consumo de alimentos inocuos en el Departamento del Quindío </t>
  </si>
  <si>
    <t>Control en Salud Ambiental para la consecución de un estado de vida saludable de la población del Departamento del Quindío.</t>
  </si>
  <si>
    <t>Prestación de Servicios a la Población no Afiliada al Sistema General de Seguridad Social en Salud y en los no POS a la Población del Régimen Subsidiado.</t>
  </si>
  <si>
    <t>324 SECRETARÍA TECNOLÓGIAS DE LA INFORMACIÓN Y COMUNICACIÓN</t>
  </si>
  <si>
    <t xml:space="preserve"> Fortalecimiento y apoyo a las tecnologías de la información y las comunicaciones en el departamento del Quindío.</t>
  </si>
  <si>
    <t xml:space="preserve">  Implementación y divulgación de la estrategia    "Quindío innovador y competitivo"   </t>
  </si>
  <si>
    <t xml:space="preserve"> Fortalecimiento de la estrategia de gobierno digital en la Administración Departamental y los Entes Territoriales del departamento del Quindío  </t>
  </si>
  <si>
    <t>TOTAL SECTOR CENTRAL</t>
  </si>
  <si>
    <t>202000363-0009</t>
  </si>
  <si>
    <t>202000363-0010</t>
  </si>
  <si>
    <t>202000363-0013</t>
  </si>
  <si>
    <t>Desarrollo de los XXII JUEGOS DEPORTIVOS NACIONALES Y VI JUEGOS PARANACIONALES   2023</t>
  </si>
  <si>
    <t>Mantenimiento de obras complementarias de la infraestructura deportiva y recreativa en el Departamento del Quindío.</t>
  </si>
  <si>
    <t xml:space="preserve">  Mantenimiento de obras complementarias a la infraestructura vial en el Departamento del Quindío </t>
  </si>
  <si>
    <t xml:space="preserve"> Apoyo en la formulación y ejecución de proyectos de vivienda en el Departamento del Quindío   </t>
  </si>
  <si>
    <t>202000363-0146</t>
  </si>
  <si>
    <t>Implementación del programa de seguridad vial en el Departamento del Quindío “TU Y YO POR LA SEGURIDAD VIAL"</t>
  </si>
  <si>
    <t>TOTAL DESCENTRALIZADOS</t>
  </si>
  <si>
    <t>TOTAL INVERSION DEPARTAMENTAL</t>
  </si>
  <si>
    <t xml:space="preserve">Programa de saneamiento fiscal y financiero ejecutado </t>
  </si>
  <si>
    <t>José Ignacio Rojas Sepúlveda</t>
  </si>
  <si>
    <t>Rendición de cuentas realizadas</t>
  </si>
  <si>
    <t>Programa de saneamiento fiscal y financiero ejecutado</t>
  </si>
  <si>
    <t>Mantenimiento  de la infraestructura institucional o de edificios públicos en el Departamento del Quindío</t>
  </si>
  <si>
    <t xml:space="preserve"> Implementación  de acciones con los Entes Municipales, para la reducción de los delitos en el Departamento del Quindío</t>
  </si>
  <si>
    <t xml:space="preserve">Fortalecimiento institucional de la entidades municipales para la consolidación de la convivencia, el orden público  y la seguridad ciudadana  en el departamento del Quindío  </t>
  </si>
  <si>
    <t>Gestión del riesgo de desastres y emergencias. "Tú y yo preparados en gestión del riesgo"</t>
  </si>
  <si>
    <t>Municipios con organismos de Acción Comunal fortalecidos.</t>
  </si>
  <si>
    <t xml:space="preserve">Servicio de información para el sector artístico y cultural </t>
  </si>
  <si>
    <t>Sistema de información del sector artístico cultural en operación</t>
  </si>
  <si>
    <t>Servicio de asistencia técnica a las MiPymes para el acceso a nuevos mercados</t>
  </si>
  <si>
    <t>Servicio de educación informal en el marco de la conservación de la biodiversidad y los Servicio ecosistémicos</t>
  </si>
  <si>
    <t>Calidad y fomento de la Educación "Tú y yo preparados para la educación superior"</t>
  </si>
  <si>
    <t>Ciencia, Tecnología e Innovación</t>
  </si>
  <si>
    <t xml:space="preserve"> Diseño e implementación de un  Modelo de  atención integral a la primera infancia  a través de las Rutas Integrales de Atención  RIA en el Departamento del  Quindío </t>
  </si>
  <si>
    <t>Formulación de la política pública de adulto mayor en el Departamento del Quindío</t>
  </si>
  <si>
    <t>Disminuir Tasa de Suicidio  y Violencia Intrafamiliar, además del aumento de la Cobertura a los grupos de adulto mayor, a través de la formulación de la política pública de este grupo de población en el Departamento del Quindío.</t>
  </si>
  <si>
    <t>Yenny Alexandra Trujillo Álzate</t>
  </si>
  <si>
    <t>Fomento del desarrollo de aplicaciones, software y contenidos para impulsar la apropiación de las Tecnologías de la Información y las Comunicaciones (TIC) "Quindío paraíso empresarial TIC-Quindío TIC"</t>
  </si>
  <si>
    <t>Estrategias de promoción de la cultura ciudadana implementadas</t>
  </si>
  <si>
    <t>Formular e Implementar un programa de control, prevención y atención del tránsito y el transporte en los municipios y vías de jurisdicción del IDTQ.</t>
  </si>
  <si>
    <t xml:space="preserve">Secretaría de las Tecnológias de la Información y las Comunicaciones </t>
  </si>
  <si>
    <t xml:space="preserve"> INDEPORTES QUINDÍO </t>
  </si>
  <si>
    <t>Promotora de Vivienda</t>
  </si>
  <si>
    <t>Instituto Departamental de Tránsito</t>
  </si>
  <si>
    <t>Gloria Elcy Roa Jaramillo</t>
  </si>
  <si>
    <t>DEFINITIVO</t>
  </si>
  <si>
    <t>META  VIGENCIA
2021</t>
  </si>
  <si>
    <t xml:space="preserve">PROGRAMADA </t>
  </si>
  <si>
    <t>PRESUPUESTADO</t>
  </si>
  <si>
    <t xml:space="preserve"> 1 de 1</t>
  </si>
  <si>
    <t xml:space="preserve"> Banco de Programas y Proyectos del Departamento  con procesos de fortalecimiento</t>
  </si>
  <si>
    <t>SOBRETASA ACPM</t>
  </si>
  <si>
    <t>ESTAMPILLA PRO CULTURA</t>
  </si>
  <si>
    <t>ESTAMILLA PRO DESARROLLO</t>
  </si>
  <si>
    <t xml:space="preserve">COFINANCIACIÓN NACIÓN </t>
  </si>
  <si>
    <t>ESTAMPILLA PRO ADULTO MAYOR</t>
  </si>
  <si>
    <t>COFINANCIACIÓN NACIÓN</t>
  </si>
  <si>
    <t>ESTAMPILLA PRODESARROLLO</t>
  </si>
  <si>
    <t xml:space="preserve">SGP PRESTACIÓN DE SERVICIOS - EDUCACIÓN  - Y CONECTIVIDAD
(29-09-188)
</t>
  </si>
  <si>
    <t>Registros sanitarios expedidos</t>
  </si>
  <si>
    <t>María Aleyda  Marín Betancourt</t>
  </si>
  <si>
    <t>Gilberto Gutierrez Caro</t>
  </si>
  <si>
    <t>Ximena Escobar Mejìa</t>
  </si>
  <si>
    <t>Jorge Ivan Zapata Botero</t>
  </si>
  <si>
    <t>Jaime Andrés Pérez Cotrino</t>
  </si>
  <si>
    <t xml:space="preserve"> MONOPOLIO</t>
  </si>
  <si>
    <t xml:space="preserve">FONDO LOCAL 
RENTAS CEDIDAS </t>
  </si>
  <si>
    <t>PLAN OPERATIVO ANUAL DE INVERSIONES
ENTES DESCENTRALIZADOS
MARZO 31 DE 2021</t>
  </si>
  <si>
    <t>JUNIO 30  DE  2021</t>
  </si>
  <si>
    <t xml:space="preserve">
PLAN OPERATIVO ANUAL DE INVERSIÓN POAI  2021  
PLAN DE DESARROLLO 2020-2023 "TÚ Y YO SOMOS QUINDIO" 
A JUNIO 30 DE 2021</t>
  </si>
  <si>
    <t>PLAN OPERATIVO ANUAL DE INVERSIONES
SECTOR CENTRAL ADMINISTRACION DEPARTAMENTAL
JUNIO 30 DE 2021</t>
  </si>
  <si>
    <t>PLAN OPERATIVO ANUAL DE INVERSIONES 2021
SECTOR CENTRAL ADMINISTRACION DEPARTAMENTAL
RECURSOS POR LINEA ESTRATÉGICA
A JUNIO 30 DE 2021</t>
  </si>
  <si>
    <t>PLAN OPERATIVO ANUAL DE INVERSIONES 2021
ENTES DESCENTRALIZADOS
RECURSOS POR LINEA ESTRATÉGICA
A JUNIO 30 DE 2021</t>
  </si>
  <si>
    <t>PLAN OPERATIVO ANUAL DE INVERSIONES 2021
DEPARTAMENTO DEL QUINDIO
RECURSOS POR LINEA ESTRATÉGICA
JUNIO 30 DE 2021</t>
  </si>
  <si>
    <t>Carlos Andrés Arredondo Salazar</t>
  </si>
  <si>
    <t>Fernando  Augusto Panesso Zuluaga</t>
  </si>
  <si>
    <t>Actualizar los procesos y procedimientos implementados al interior de la entidad, que permitan desarrollar una modernización administrativa incluyente y participativa.</t>
  </si>
  <si>
    <t>PLAN DE DESARROLLO 2020-2023 "TÚ Y YO SOMOS QUINDIO"
PLAN OPERATIVO ANUAL DE INVERSIÓN POAI  2021 - 
JUNIO 30 DE 2021</t>
  </si>
  <si>
    <t>RECURSO DEL CRÉDITO</t>
  </si>
  <si>
    <t>RECURSO DEL CREDITO</t>
  </si>
  <si>
    <t>FONDO LOCAL DE SALUD  - MONOPOLIO RENTAS CEDIDAS -LOTERIAS-RIFAS-PREMIO - IVA LICORES SALUD</t>
  </si>
  <si>
    <t>TASA PRODEPORTE</t>
  </si>
  <si>
    <t>Porcentaje</t>
  </si>
  <si>
    <t>EXPLOTACION MINERA</t>
  </si>
  <si>
    <t>PLAN OPERATIVO ANUAL DE INVERSIÓN POAI 2021 
PLAN DE DESARROLLO 2020-2023 "TÚ Y YO SOMOS QUINDIO "</t>
  </si>
  <si>
    <t>F-PLA-42</t>
  </si>
  <si>
    <t>FORMATO</t>
  </si>
  <si>
    <t>PROYECTOS DE INVERSION PUBLICA DEPARTAMENTAL VIABILIZADOS,
 PRIORIZADOS Y APROBADOS 
A JUNIO 30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</si>
</sst>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00_);_(&quot;$&quot;\ * \(#,##0.00\);_(&quot;$&quot;\ * &quot;-&quot;??_);_(@_)"/>
    <numFmt numFmtId="165" formatCode="_(* #,##0.00_);_(* \(#,##0.00\);_(* &quot;-&quot;??_);_(@_)"/>
    <numFmt numFmtId="166" formatCode="_-&quot;$&quot;\ * #,##0_-;\-&quot;$&quot;\ * #,##0_-;_-&quot;$&quot;\ * &quot;-&quot;_-;_-@_-"/>
    <numFmt numFmtId="167" formatCode="_-&quot;$&quot;\ * #,##0.00_-;\-&quot;$&quot;\ * #,##0.00_-;_-&quot;$&quot;\ * &quot;-&quot;??_-;_-@_-"/>
    <numFmt numFmtId="168" formatCode="_([$$-240A]\ * #,##0.00_);_([$$-240A]\ * \(#,##0.00\);_([$$-240A]\ * &quot;-&quot;??_);_(@_)"/>
    <numFmt numFmtId="169" formatCode="00"/>
    <numFmt numFmtId="170" formatCode="_(* #,##0_);_(* \(#,##0\);_(* &quot;-&quot;??_);_(@_)"/>
    <numFmt numFmtId="171" formatCode="_-* #,##0_-;\-* #,##0_-;_-* &quot;-&quot;??_-;_-@_-"/>
    <numFmt numFmtId="172" formatCode="_-* #,##0.00_-;\-* #,##0.00_-;_-* &quot;-&quot;_-;_-@_-"/>
    <numFmt numFmtId="173" formatCode="_-&quot;$&quot;\ * #,##0.00_-;\-&quot;$&quot;\ * #,##0.00_-;_-&quot;$&quot;\ * &quot;-&quot;_-;_-@_-"/>
    <numFmt numFmtId="174" formatCode="_-* #,##0.00\ _€_-;\-* #,##0.00\ _€_-;_-* &quot;-&quot;??\ _€_-;_-@_-"/>
    <numFmt numFmtId="175" formatCode="_ [$€-2]\ * #,##0.00_ ;_ [$€-2]\ * \-#,##0.00_ ;_ [$€-2]\ * &quot;-&quot;??_ "/>
    <numFmt numFmtId="176" formatCode="_-&quot;$&quot;* #,##0.00_-;\-&quot;$&quot;* #,##0.00_-;_-&quot;$&quot;* &quot;-&quot;_-;_-@_-"/>
    <numFmt numFmtId="177" formatCode="#,##0."/>
    <numFmt numFmtId="178" formatCode="_ * #,##0.00_ ;_ * \-#,##0.00_ ;_ * &quot;-&quot;??_ ;_ @_ "/>
  </numFmts>
  <fonts count="62" x14ac:knownFonts="1">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sz val="8"/>
      <name val="Calibri"/>
      <family val="2"/>
      <scheme val="minor"/>
    </font>
    <font>
      <b/>
      <sz val="11"/>
      <color theme="0"/>
      <name val="Calibri"/>
      <family val="2"/>
      <scheme val="minor"/>
    </font>
    <font>
      <sz val="11"/>
      <color rgb="FF000000"/>
      <name val="Calibri"/>
      <family val="2"/>
    </font>
    <font>
      <sz val="12"/>
      <color theme="1"/>
      <name val="Arial"/>
      <family val="2"/>
    </font>
    <font>
      <b/>
      <sz val="12"/>
      <color theme="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2"/>
      <color theme="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b/>
      <sz val="10"/>
      <color theme="0"/>
      <name val="Arial"/>
      <family val="2"/>
    </font>
    <font>
      <b/>
      <sz val="12"/>
      <color rgb="FFFFFFFF"/>
      <name val="Arial"/>
      <family val="2"/>
    </font>
    <font>
      <sz val="12"/>
      <color rgb="FF000000"/>
      <name val="Arial"/>
      <family val="2"/>
    </font>
    <font>
      <b/>
      <sz val="12"/>
      <color theme="1"/>
      <name val="Arial"/>
      <family val="2"/>
    </font>
    <font>
      <b/>
      <sz val="12"/>
      <color rgb="FF000000"/>
      <name val="Arial"/>
      <family val="2"/>
    </font>
    <font>
      <sz val="12"/>
      <color rgb="FF000000"/>
      <name val="Arial"/>
      <family val="2"/>
    </font>
    <font>
      <sz val="11"/>
      <color theme="1"/>
      <name val="Arial"/>
      <family val="2"/>
    </font>
    <font>
      <sz val="11"/>
      <color rgb="FF444444"/>
      <name val="Calibri"/>
      <family val="2"/>
      <scheme val="minor"/>
    </font>
    <font>
      <b/>
      <sz val="10"/>
      <color theme="1"/>
      <name val="Arial"/>
      <family val="2"/>
    </font>
    <font>
      <b/>
      <sz val="10"/>
      <color indexed="8"/>
      <name val="Arial"/>
      <family val="2"/>
    </font>
  </fonts>
  <fills count="7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rgb="FF002060"/>
        <bgColor indexed="64"/>
      </patternFill>
    </fill>
    <fill>
      <patternFill patternType="solid">
        <fgColor rgb="FFFFC000"/>
        <bgColor indexed="64"/>
      </patternFill>
    </fill>
    <fill>
      <patternFill patternType="solid">
        <fgColor rgb="FF00B0F0"/>
        <bgColor indexed="64"/>
      </patternFill>
    </fill>
    <fill>
      <patternFill patternType="solid">
        <fgColor rgb="FFECECEC"/>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FF"/>
        <bgColor indexed="64"/>
      </patternFill>
    </fill>
    <fill>
      <patternFill patternType="solid">
        <fgColor rgb="FF522B57"/>
        <bgColor indexed="64"/>
      </patternFill>
    </fill>
    <fill>
      <patternFill patternType="solid">
        <fgColor theme="0"/>
        <bgColor rgb="FF000000"/>
      </patternFill>
    </fill>
    <fill>
      <patternFill patternType="solid">
        <fgColor rgb="FF8EA9DB"/>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7558519241921"/>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s>
  <borders count="82">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indexed="64"/>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style="thin">
        <color theme="4"/>
      </top>
      <bottom/>
      <diagonal/>
    </border>
    <border>
      <left style="thin">
        <color rgb="FF000000"/>
      </left>
      <right/>
      <top style="thin">
        <color theme="4"/>
      </top>
      <bottom style="thin">
        <color indexed="64"/>
      </bottom>
      <diagonal/>
    </border>
    <border>
      <left/>
      <right style="thin">
        <color rgb="FF000000"/>
      </right>
      <top style="thin">
        <color theme="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indexed="64"/>
      </right>
      <top style="thin">
        <color rgb="FF000000"/>
      </top>
      <bottom style="thin">
        <color indexed="64"/>
      </bottom>
      <diagonal/>
    </border>
    <border>
      <left/>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rgb="FF000000"/>
      </left>
      <right/>
      <top style="thin">
        <color rgb="FF000000"/>
      </top>
      <bottom style="thin">
        <color theme="4" tint="0.39997558519241921"/>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right style="thin">
        <color rgb="FF000000"/>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rgb="FF000000"/>
      </bottom>
      <diagonal/>
    </border>
    <border>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s>
  <cellStyleXfs count="398">
    <xf numFmtId="168"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5" fontId="5" fillId="0" borderId="0" applyFont="0" applyFill="0" applyBorder="0" applyAlignment="0" applyProtection="0"/>
    <xf numFmtId="168" fontId="7" fillId="8" borderId="10">
      <alignment horizontal="center" vertical="center" wrapText="1"/>
    </xf>
    <xf numFmtId="0" fontId="1" fillId="0" borderId="0"/>
    <xf numFmtId="165" fontId="1" fillId="0" borderId="0" applyFont="0" applyFill="0" applyBorder="0" applyAlignment="0" applyProtection="0"/>
    <xf numFmtId="0" fontId="7" fillId="8" borderId="10">
      <alignment horizontal="center" vertical="center" wrapText="1"/>
    </xf>
    <xf numFmtId="168" fontId="8" fillId="0" borderId="0"/>
    <xf numFmtId="167"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0" fillId="13" borderId="14">
      <alignment horizontal="center" vertical="center" wrapText="1"/>
    </xf>
    <xf numFmtId="0" fontId="8" fillId="0" borderId="0"/>
    <xf numFmtId="0" fontId="11" fillId="0" borderId="0"/>
    <xf numFmtId="0" fontId="8" fillId="0" borderId="0"/>
    <xf numFmtId="0" fontId="1" fillId="0" borderId="0"/>
    <xf numFmtId="0" fontId="1" fillId="0" borderId="0"/>
    <xf numFmtId="0" fontId="14" fillId="0" borderId="41" applyNumberFormat="0" applyFill="0" applyAlignment="0" applyProtection="0"/>
    <xf numFmtId="0" fontId="15" fillId="0" borderId="42" applyNumberFormat="0" applyFill="0" applyAlignment="0" applyProtection="0"/>
    <xf numFmtId="0" fontId="16" fillId="0" borderId="43" applyNumberFormat="0" applyFill="0" applyAlignment="0" applyProtection="0"/>
    <xf numFmtId="0" fontId="16" fillId="0" borderId="0" applyNumberFormat="0" applyFill="0" applyBorder="0" applyAlignment="0" applyProtection="0"/>
    <xf numFmtId="0" fontId="17" fillId="19" borderId="0" applyNumberFormat="0" applyBorder="0" applyAlignment="0" applyProtection="0"/>
    <xf numFmtId="0" fontId="18" fillId="20" borderId="0" applyNumberFormat="0" applyBorder="0" applyAlignment="0" applyProtection="0"/>
    <xf numFmtId="0" fontId="19" fillId="21" borderId="44" applyNumberFormat="0" applyAlignment="0" applyProtection="0"/>
    <xf numFmtId="0" fontId="20" fillId="22" borderId="45" applyNumberFormat="0" applyAlignment="0" applyProtection="0"/>
    <xf numFmtId="0" fontId="21" fillId="22" borderId="44" applyNumberFormat="0" applyAlignment="0" applyProtection="0"/>
    <xf numFmtId="0" fontId="22" fillId="0" borderId="46" applyNumberFormat="0" applyFill="0" applyAlignment="0" applyProtection="0"/>
    <xf numFmtId="0" fontId="10" fillId="23" borderId="47" applyNumberFormat="0" applyAlignment="0" applyProtection="0"/>
    <xf numFmtId="0" fontId="23" fillId="0" borderId="0" applyNumberFormat="0" applyFill="0" applyBorder="0" applyAlignment="0" applyProtection="0"/>
    <xf numFmtId="0" fontId="1" fillId="24" borderId="48" applyNumberFormat="0" applyFont="0" applyAlignment="0" applyProtection="0"/>
    <xf numFmtId="0" fontId="24" fillId="0" borderId="0" applyNumberFormat="0" applyFill="0" applyBorder="0" applyAlignment="0" applyProtection="0"/>
    <xf numFmtId="0" fontId="25" fillId="0" borderId="49" applyNumberFormat="0" applyFill="0" applyAlignment="0" applyProtection="0"/>
    <xf numFmtId="0" fontId="2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6" fillId="32" borderId="0" applyNumberFormat="0" applyBorder="0" applyAlignment="0" applyProtection="0"/>
    <xf numFmtId="0" fontId="26"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26" fillId="40" borderId="0" applyNumberFormat="0" applyBorder="0" applyAlignment="0" applyProtection="0"/>
    <xf numFmtId="0" fontId="26"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26" fillId="44" borderId="0" applyNumberFormat="0" applyBorder="0" applyAlignment="0" applyProtection="0"/>
    <xf numFmtId="0" fontId="26"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26" fillId="48" borderId="0" applyNumberFormat="0" applyBorder="0" applyAlignment="0" applyProtection="0"/>
    <xf numFmtId="0" fontId="1" fillId="0" borderId="0"/>
    <xf numFmtId="168" fontId="1" fillId="0" borderId="0"/>
    <xf numFmtId="175" fontId="1" fillId="34" borderId="0" applyNumberFormat="0" applyBorder="0" applyAlignment="0" applyProtection="0"/>
    <xf numFmtId="175" fontId="1" fillId="0" borderId="0"/>
    <xf numFmtId="168" fontId="1" fillId="0" borderId="0"/>
    <xf numFmtId="0" fontId="28" fillId="0" borderId="0" applyNumberFormat="0" applyFill="0" applyBorder="0" applyAlignment="0" applyProtection="0"/>
    <xf numFmtId="175" fontId="15" fillId="0" borderId="42" applyNumberFormat="0" applyFill="0" applyAlignment="0" applyProtection="0"/>
    <xf numFmtId="175" fontId="1" fillId="0" borderId="0"/>
    <xf numFmtId="175" fontId="1" fillId="47" borderId="0" applyNumberFormat="0" applyBorder="0" applyAlignment="0" applyProtection="0"/>
    <xf numFmtId="175" fontId="10" fillId="23" borderId="47" applyNumberFormat="0" applyAlignment="0" applyProtection="0"/>
    <xf numFmtId="175" fontId="21" fillId="22" borderId="44" applyNumberFormat="0" applyAlignment="0" applyProtection="0"/>
    <xf numFmtId="175" fontId="1" fillId="0" borderId="0"/>
    <xf numFmtId="168" fontId="1" fillId="0" borderId="0"/>
    <xf numFmtId="175" fontId="26" fillId="36" borderId="0" applyNumberFormat="0" applyBorder="0" applyAlignment="0" applyProtection="0"/>
    <xf numFmtId="175" fontId="1" fillId="0" borderId="0"/>
    <xf numFmtId="175" fontId="1" fillId="0" borderId="0"/>
    <xf numFmtId="175" fontId="1" fillId="0" borderId="0"/>
    <xf numFmtId="168" fontId="1" fillId="0" borderId="0"/>
    <xf numFmtId="175" fontId="18" fillId="20" borderId="0" applyNumberFormat="0" applyBorder="0" applyAlignment="0" applyProtection="0"/>
    <xf numFmtId="175" fontId="1" fillId="0" borderId="0"/>
    <xf numFmtId="168" fontId="1" fillId="0" borderId="0"/>
    <xf numFmtId="175" fontId="26" fillId="48" borderId="0" applyNumberFormat="0" applyBorder="0" applyAlignment="0" applyProtection="0"/>
    <xf numFmtId="168"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5"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167" fontId="1"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29" fillId="0" borderId="0"/>
    <xf numFmtId="44" fontId="1" fillId="0" borderId="0" applyFont="0" applyFill="0" applyBorder="0" applyAlignment="0" applyProtection="0"/>
    <xf numFmtId="0" fontId="8" fillId="0" borderId="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74" fontId="1" fillId="0" borderId="0" applyFont="0" applyFill="0" applyBorder="0" applyAlignment="0" applyProtection="0"/>
    <xf numFmtId="42" fontId="8" fillId="0" borderId="0" applyFont="0" applyFill="0" applyBorder="0" applyAlignment="0" applyProtection="0"/>
    <xf numFmtId="175" fontId="1" fillId="0" borderId="0"/>
    <xf numFmtId="0" fontId="1"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8" fontId="8"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0" fontId="1" fillId="0" borderId="0"/>
    <xf numFmtId="43" fontId="5" fillId="0" borderId="0" applyFont="0" applyFill="0" applyBorder="0" applyAlignment="0" applyProtection="0"/>
    <xf numFmtId="0" fontId="29" fillId="0" borderId="0"/>
    <xf numFmtId="166" fontId="1" fillId="0" borderId="0" applyFont="0" applyFill="0" applyBorder="0" applyAlignment="0" applyProtection="0"/>
    <xf numFmtId="0" fontId="1" fillId="0" borderId="0"/>
    <xf numFmtId="168" fontId="1" fillId="0" borderId="0"/>
    <xf numFmtId="175" fontId="22" fillId="0" borderId="46" applyNumberFormat="0" applyFill="0" applyAlignment="0" applyProtection="0"/>
    <xf numFmtId="168" fontId="1" fillId="0" borderId="0"/>
    <xf numFmtId="175" fontId="26" fillId="33" borderId="0" applyNumberFormat="0" applyBorder="0" applyAlignment="0" applyProtection="0"/>
    <xf numFmtId="175" fontId="1" fillId="0" borderId="0"/>
    <xf numFmtId="168" fontId="1" fillId="0" borderId="0"/>
    <xf numFmtId="175" fontId="1" fillId="0" borderId="0"/>
    <xf numFmtId="175" fontId="1" fillId="0" borderId="0"/>
    <xf numFmtId="175" fontId="1" fillId="0" borderId="0"/>
    <xf numFmtId="175" fontId="1" fillId="0" borderId="0"/>
    <xf numFmtId="175" fontId="1" fillId="0" borderId="0"/>
    <xf numFmtId="175" fontId="19" fillId="21" borderId="44" applyNumberFormat="0" applyAlignment="0" applyProtection="0"/>
    <xf numFmtId="168" fontId="1" fillId="0" borderId="0"/>
    <xf numFmtId="175" fontId="1" fillId="0" borderId="0"/>
    <xf numFmtId="175" fontId="26" fillId="29" borderId="0" applyNumberFormat="0" applyBorder="0" applyAlignment="0" applyProtection="0"/>
    <xf numFmtId="175" fontId="1" fillId="0" borderId="0"/>
    <xf numFmtId="175" fontId="1" fillId="0" borderId="0"/>
    <xf numFmtId="175" fontId="1" fillId="0" borderId="0"/>
    <xf numFmtId="175" fontId="26" fillId="37" borderId="0" applyNumberFormat="0" applyBorder="0" applyAlignment="0" applyProtection="0"/>
    <xf numFmtId="175" fontId="1" fillId="0" borderId="0"/>
    <xf numFmtId="175" fontId="16" fillId="0" borderId="43" applyNumberFormat="0" applyFill="0" applyAlignment="0" applyProtection="0"/>
    <xf numFmtId="168" fontId="1" fillId="0" borderId="0"/>
    <xf numFmtId="175" fontId="27" fillId="0" borderId="0" applyNumberFormat="0" applyFill="0" applyBorder="0" applyAlignment="0" applyProtection="0"/>
    <xf numFmtId="175" fontId="1" fillId="0" borderId="0"/>
    <xf numFmtId="175" fontId="1" fillId="0" borderId="0"/>
    <xf numFmtId="168" fontId="1" fillId="0" borderId="0"/>
    <xf numFmtId="175" fontId="1" fillId="27" borderId="0" applyNumberFormat="0" applyBorder="0" applyAlignment="0" applyProtection="0"/>
    <xf numFmtId="175" fontId="29" fillId="0" borderId="0"/>
    <xf numFmtId="175" fontId="1" fillId="0" borderId="0"/>
    <xf numFmtId="168" fontId="1" fillId="0" borderId="0"/>
    <xf numFmtId="175" fontId="1" fillId="0" borderId="0"/>
    <xf numFmtId="175" fontId="16" fillId="0" borderId="0" applyNumberFormat="0" applyFill="0" applyBorder="0" applyAlignment="0" applyProtection="0"/>
    <xf numFmtId="175" fontId="1" fillId="0" borderId="0"/>
    <xf numFmtId="175" fontId="1" fillId="24" borderId="48" applyNumberFormat="0" applyFont="0" applyAlignment="0" applyProtection="0"/>
    <xf numFmtId="175" fontId="1" fillId="0" borderId="0"/>
    <xf numFmtId="175" fontId="20" fillId="22" borderId="45" applyNumberFormat="0" applyAlignment="0" applyProtection="0"/>
    <xf numFmtId="168" fontId="1" fillId="0" borderId="0"/>
    <xf numFmtId="168" fontId="1" fillId="0" borderId="0"/>
    <xf numFmtId="175" fontId="1" fillId="0" borderId="0"/>
    <xf numFmtId="175" fontId="1" fillId="0" borderId="0"/>
    <xf numFmtId="175" fontId="1" fillId="0" borderId="0"/>
    <xf numFmtId="168" fontId="1" fillId="0" borderId="0"/>
    <xf numFmtId="175" fontId="8" fillId="0" borderId="0"/>
    <xf numFmtId="175" fontId="26" fillId="28" borderId="0" applyNumberFormat="0" applyBorder="0" applyAlignment="0" applyProtection="0"/>
    <xf numFmtId="168" fontId="1" fillId="0" borderId="0"/>
    <xf numFmtId="175" fontId="1" fillId="46" borderId="0" applyNumberFormat="0" applyBorder="0" applyAlignment="0" applyProtection="0"/>
    <xf numFmtId="175" fontId="1" fillId="0" borderId="0"/>
    <xf numFmtId="175" fontId="1" fillId="0" borderId="0"/>
    <xf numFmtId="175" fontId="1" fillId="39" borderId="0" applyNumberFormat="0" applyBorder="0" applyAlignment="0" applyProtection="0"/>
    <xf numFmtId="168" fontId="1" fillId="0" borderId="0"/>
    <xf numFmtId="175" fontId="25" fillId="0" borderId="49" applyNumberFormat="0" applyFill="0" applyAlignment="0" applyProtection="0"/>
    <xf numFmtId="175" fontId="8" fillId="0" borderId="0"/>
    <xf numFmtId="175" fontId="1" fillId="0" borderId="0"/>
    <xf numFmtId="175" fontId="1" fillId="42" borderId="0" applyNumberFormat="0" applyBorder="0" applyAlignment="0" applyProtection="0"/>
    <xf numFmtId="175" fontId="26" fillId="25" borderId="0" applyNumberFormat="0" applyBorder="0" applyAlignment="0" applyProtection="0"/>
    <xf numFmtId="175" fontId="1" fillId="0" borderId="0"/>
    <xf numFmtId="168" fontId="1" fillId="0" borderId="0"/>
    <xf numFmtId="175" fontId="1" fillId="0" borderId="0"/>
    <xf numFmtId="168" fontId="1" fillId="0" borderId="0"/>
    <xf numFmtId="168" fontId="1" fillId="0" borderId="0"/>
    <xf numFmtId="175" fontId="8" fillId="0" borderId="0"/>
    <xf numFmtId="175" fontId="28" fillId="0" borderId="0" applyNumberFormat="0" applyFill="0" applyBorder="0" applyAlignment="0" applyProtection="0"/>
    <xf numFmtId="175" fontId="1" fillId="0" borderId="0"/>
    <xf numFmtId="175" fontId="1" fillId="26" borderId="0" applyNumberFormat="0" applyBorder="0" applyAlignment="0" applyProtection="0"/>
    <xf numFmtId="175" fontId="1" fillId="0" borderId="0"/>
    <xf numFmtId="175" fontId="26" fillId="44" borderId="0" applyNumberFormat="0" applyBorder="0" applyAlignment="0" applyProtection="0"/>
    <xf numFmtId="175" fontId="1" fillId="0" borderId="0"/>
    <xf numFmtId="175" fontId="26" fillId="40" borderId="0" applyNumberFormat="0" applyBorder="0" applyAlignment="0" applyProtection="0"/>
    <xf numFmtId="175" fontId="1" fillId="0" borderId="0"/>
    <xf numFmtId="175" fontId="1" fillId="0" borderId="0"/>
    <xf numFmtId="175" fontId="1" fillId="0" borderId="0"/>
    <xf numFmtId="175" fontId="1" fillId="0" borderId="0"/>
    <xf numFmtId="175" fontId="26" fillId="32" borderId="0" applyNumberFormat="0" applyBorder="0" applyAlignment="0" applyProtection="0"/>
    <xf numFmtId="175" fontId="1" fillId="0" borderId="0"/>
    <xf numFmtId="175" fontId="8" fillId="0" borderId="0"/>
    <xf numFmtId="175" fontId="1" fillId="0" borderId="0"/>
    <xf numFmtId="175" fontId="11" fillId="0" borderId="0"/>
    <xf numFmtId="175" fontId="1" fillId="0" borderId="0"/>
    <xf numFmtId="175" fontId="26" fillId="45" borderId="0" applyNumberFormat="0" applyBorder="0" applyAlignment="0" applyProtection="0"/>
    <xf numFmtId="175" fontId="23" fillId="0" borderId="0" applyNumberFormat="0" applyFill="0" applyBorder="0" applyAlignment="0" applyProtection="0"/>
    <xf numFmtId="175" fontId="1" fillId="43" borderId="0" applyNumberFormat="0" applyBorder="0" applyAlignment="0" applyProtection="0"/>
    <xf numFmtId="175" fontId="1" fillId="31" borderId="0" applyNumberFormat="0" applyBorder="0" applyAlignment="0" applyProtection="0"/>
    <xf numFmtId="175" fontId="24" fillId="0" borderId="0" applyNumberFormat="0" applyFill="0" applyBorder="0" applyAlignment="0" applyProtection="0"/>
    <xf numFmtId="175" fontId="1" fillId="30" borderId="0" applyNumberFormat="0" applyBorder="0" applyAlignment="0" applyProtection="0"/>
    <xf numFmtId="175" fontId="17" fillId="19" borderId="0" applyNumberFormat="0" applyBorder="0" applyAlignment="0" applyProtection="0"/>
    <xf numFmtId="168" fontId="1" fillId="0" borderId="0"/>
    <xf numFmtId="168" fontId="1" fillId="0" borderId="0"/>
    <xf numFmtId="175" fontId="1" fillId="38" borderId="0" applyNumberFormat="0" applyBorder="0" applyAlignment="0" applyProtection="0"/>
    <xf numFmtId="175" fontId="1" fillId="0" borderId="0"/>
    <xf numFmtId="175" fontId="1" fillId="0" borderId="0"/>
    <xf numFmtId="175" fontId="1" fillId="35" borderId="0" applyNumberFormat="0" applyBorder="0" applyAlignment="0" applyProtection="0"/>
    <xf numFmtId="175" fontId="7" fillId="8" borderId="10">
      <alignment horizontal="center" vertical="center" wrapText="1"/>
    </xf>
    <xf numFmtId="175" fontId="1" fillId="0" borderId="0"/>
    <xf numFmtId="175" fontId="7" fillId="8" borderId="10">
      <alignment horizontal="center" vertical="center" wrapText="1"/>
    </xf>
    <xf numFmtId="175" fontId="1" fillId="0" borderId="0"/>
    <xf numFmtId="175" fontId="26" fillId="41" borderId="0" applyNumberFormat="0" applyBorder="0" applyAlignment="0" applyProtection="0"/>
    <xf numFmtId="168" fontId="1" fillId="0" borderId="0"/>
    <xf numFmtId="175" fontId="1" fillId="0" borderId="0"/>
    <xf numFmtId="175" fontId="1" fillId="0" borderId="0"/>
    <xf numFmtId="175" fontId="14" fillId="0" borderId="41" applyNumberFormat="0" applyFill="0" applyAlignment="0" applyProtection="0"/>
    <xf numFmtId="175" fontId="29" fillId="0" borderId="0"/>
    <xf numFmtId="175" fontId="1" fillId="0" borderId="0"/>
    <xf numFmtId="175" fontId="1" fillId="0" borderId="0"/>
    <xf numFmtId="175" fontId="1" fillId="0" borderId="0"/>
    <xf numFmtId="168" fontId="1" fillId="0" borderId="0"/>
    <xf numFmtId="175" fontId="1" fillId="0" borderId="0"/>
    <xf numFmtId="175" fontId="1" fillId="0" borderId="0"/>
    <xf numFmtId="0" fontId="8" fillId="0" borderId="0"/>
    <xf numFmtId="175" fontId="1" fillId="0" borderId="0"/>
    <xf numFmtId="175" fontId="1" fillId="0" borderId="0"/>
    <xf numFmtId="175" fontId="1" fillId="0" borderId="0"/>
    <xf numFmtId="168" fontId="1" fillId="0" borderId="0"/>
    <xf numFmtId="9" fontId="1" fillId="0" borderId="0" applyFont="0" applyFill="0" applyBorder="0" applyAlignment="0" applyProtection="0"/>
    <xf numFmtId="0" fontId="1" fillId="0" borderId="0"/>
    <xf numFmtId="0" fontId="8" fillId="0" borderId="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5" borderId="0" applyNumberFormat="0" applyBorder="0" applyAlignment="0" applyProtection="0"/>
    <xf numFmtId="0" fontId="5" fillId="55"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59" borderId="0" applyNumberFormat="0" applyBorder="0" applyAlignment="0" applyProtection="0"/>
    <xf numFmtId="0" fontId="5" fillId="59"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31" fillId="61" borderId="0" applyNumberFormat="0" applyBorder="0" applyAlignment="0" applyProtection="0"/>
    <xf numFmtId="0" fontId="31" fillId="58" borderId="0" applyNumberFormat="0" applyBorder="0" applyAlignment="0" applyProtection="0"/>
    <xf numFmtId="0" fontId="31" fillId="59" borderId="0" applyNumberFormat="0" applyBorder="0" applyAlignment="0" applyProtection="0"/>
    <xf numFmtId="0" fontId="31" fillId="62" borderId="0" applyNumberFormat="0" applyBorder="0" applyAlignment="0" applyProtection="0"/>
    <xf numFmtId="0" fontId="31" fillId="63" borderId="0" applyNumberFormat="0" applyBorder="0" applyAlignment="0" applyProtection="0"/>
    <xf numFmtId="0" fontId="31" fillId="64" borderId="0" applyNumberFormat="0" applyBorder="0" applyAlignment="0" applyProtection="0"/>
    <xf numFmtId="0" fontId="32" fillId="53" borderId="0" applyNumberFormat="0" applyBorder="0" applyAlignment="0" applyProtection="0"/>
    <xf numFmtId="0" fontId="33" fillId="65" borderId="50" applyNumberFormat="0" applyAlignment="0" applyProtection="0"/>
    <xf numFmtId="0" fontId="34" fillId="66" borderId="51" applyNumberFormat="0" applyAlignment="0" applyProtection="0"/>
    <xf numFmtId="0" fontId="35" fillId="0" borderId="52" applyNumberFormat="0" applyFill="0" applyAlignment="0" applyProtection="0"/>
    <xf numFmtId="0" fontId="36" fillId="0" borderId="0" applyNumberFormat="0" applyFill="0" applyBorder="0" applyAlignment="0" applyProtection="0"/>
    <xf numFmtId="0" fontId="31" fillId="67" borderId="0" applyNumberFormat="0" applyBorder="0" applyAlignment="0" applyProtection="0"/>
    <xf numFmtId="0" fontId="31" fillId="68" borderId="0" applyNumberFormat="0" applyBorder="0" applyAlignment="0" applyProtection="0"/>
    <xf numFmtId="0" fontId="31" fillId="69" borderId="0" applyNumberFormat="0" applyBorder="0" applyAlignment="0" applyProtection="0"/>
    <xf numFmtId="0" fontId="31" fillId="62" borderId="0" applyNumberFormat="0" applyBorder="0" applyAlignment="0" applyProtection="0"/>
    <xf numFmtId="0" fontId="31" fillId="63" borderId="0" applyNumberFormat="0" applyBorder="0" applyAlignment="0" applyProtection="0"/>
    <xf numFmtId="0" fontId="31" fillId="70" borderId="0" applyNumberFormat="0" applyBorder="0" applyAlignment="0" applyProtection="0"/>
    <xf numFmtId="0" fontId="37" fillId="56" borderId="50" applyNumberFormat="0" applyAlignment="0" applyProtection="0"/>
    <xf numFmtId="175" fontId="8" fillId="0" borderId="0" applyFont="0" applyFill="0" applyBorder="0" applyAlignment="0" applyProtection="0"/>
    <xf numFmtId="175" fontId="8" fillId="0" borderId="0" applyFont="0" applyFill="0" applyBorder="0" applyAlignment="0" applyProtection="0"/>
    <xf numFmtId="177" fontId="38" fillId="0" borderId="0">
      <protection locked="0"/>
    </xf>
    <xf numFmtId="177" fontId="38" fillId="0" borderId="0">
      <protection locked="0"/>
    </xf>
    <xf numFmtId="177" fontId="38" fillId="0" borderId="0">
      <protection locked="0"/>
    </xf>
    <xf numFmtId="177" fontId="39" fillId="0" borderId="0">
      <protection locked="0"/>
    </xf>
    <xf numFmtId="177" fontId="40" fillId="0" borderId="0">
      <protection locked="0"/>
    </xf>
    <xf numFmtId="177" fontId="39" fillId="0" borderId="0">
      <protection locked="0"/>
    </xf>
    <xf numFmtId="177" fontId="40" fillId="0" borderId="0">
      <protection locked="0"/>
    </xf>
    <xf numFmtId="0" fontId="41" fillId="52" borderId="0" applyNumberFormat="0" applyBorder="0" applyAlignment="0" applyProtection="0"/>
    <xf numFmtId="178" fontId="8" fillId="0" borderId="0" applyFont="0" applyFill="0" applyBorder="0" applyAlignment="0" applyProtection="0"/>
    <xf numFmtId="0" fontId="42" fillId="71" borderId="0" applyNumberFormat="0" applyBorder="0" applyAlignment="0" applyProtection="0"/>
    <xf numFmtId="0" fontId="8" fillId="0" borderId="0"/>
    <xf numFmtId="175" fontId="5" fillId="0" borderId="0"/>
    <xf numFmtId="0" fontId="8" fillId="0" borderId="0"/>
    <xf numFmtId="175" fontId="5" fillId="0" borderId="0"/>
    <xf numFmtId="0" fontId="8" fillId="0" borderId="0"/>
    <xf numFmtId="175" fontId="5" fillId="0" borderId="0"/>
    <xf numFmtId="0" fontId="8" fillId="0" borderId="0"/>
    <xf numFmtId="0" fontId="8" fillId="0" borderId="0"/>
    <xf numFmtId="175" fontId="5" fillId="0" borderId="0"/>
    <xf numFmtId="175" fontId="5" fillId="0" borderId="0"/>
    <xf numFmtId="0" fontId="8" fillId="0" borderId="0"/>
    <xf numFmtId="0" fontId="8" fillId="0" borderId="0"/>
    <xf numFmtId="0" fontId="8" fillId="0" borderId="0"/>
    <xf numFmtId="175" fontId="5" fillId="0" borderId="0"/>
    <xf numFmtId="175" fontId="5" fillId="0" borderId="0"/>
    <xf numFmtId="175" fontId="5" fillId="0" borderId="0"/>
    <xf numFmtId="0" fontId="8" fillId="0" borderId="0"/>
    <xf numFmtId="0" fontId="1" fillId="0" borderId="0"/>
    <xf numFmtId="175" fontId="5" fillId="0" borderId="0"/>
    <xf numFmtId="175" fontId="5" fillId="0" borderId="0"/>
    <xf numFmtId="0" fontId="8" fillId="0" borderId="0"/>
    <xf numFmtId="0" fontId="8" fillId="0" borderId="0"/>
    <xf numFmtId="0" fontId="8" fillId="0" borderId="0"/>
    <xf numFmtId="0" fontId="50" fillId="0" borderId="0"/>
    <xf numFmtId="0" fontId="8" fillId="0" borderId="0"/>
    <xf numFmtId="0" fontId="8" fillId="0" borderId="0"/>
    <xf numFmtId="0" fontId="8" fillId="72" borderId="54" applyNumberFormat="0" applyFont="0" applyAlignment="0" applyProtection="0"/>
    <xf numFmtId="0" fontId="8" fillId="72" borderId="54" applyNumberFormat="0" applyFont="0" applyAlignment="0" applyProtection="0"/>
    <xf numFmtId="0" fontId="43" fillId="65" borderId="55" applyNumberFormat="0" applyAlignment="0" applyProtection="0"/>
    <xf numFmtId="0" fontId="51" fillId="73" borderId="0"/>
    <xf numFmtId="0" fontId="44" fillId="0" borderId="0" applyNumberFormat="0" applyFill="0" applyBorder="0" applyAlignment="0" applyProtection="0"/>
    <xf numFmtId="0" fontId="45" fillId="0" borderId="0" applyNumberFormat="0" applyFill="0" applyBorder="0" applyAlignment="0" applyProtection="0"/>
    <xf numFmtId="0" fontId="46" fillId="0" borderId="53" applyNumberFormat="0" applyFill="0" applyAlignment="0" applyProtection="0"/>
    <xf numFmtId="0" fontId="47" fillId="0" borderId="56" applyNumberFormat="0" applyFill="0" applyAlignment="0" applyProtection="0"/>
    <xf numFmtId="0" fontId="36" fillId="0" borderId="57" applyNumberFormat="0" applyFill="0" applyAlignment="0" applyProtection="0"/>
    <xf numFmtId="0" fontId="48" fillId="0" borderId="0" applyNumberFormat="0" applyFill="0" applyBorder="0" applyAlignment="0" applyProtection="0"/>
    <xf numFmtId="0" fontId="49" fillId="0" borderId="58" applyNumberFormat="0" applyFill="0" applyAlignment="0" applyProtection="0"/>
    <xf numFmtId="0" fontId="8" fillId="0" borderId="0"/>
    <xf numFmtId="0" fontId="1" fillId="0" borderId="0"/>
    <xf numFmtId="165" fontId="1" fillId="0" borderId="0" applyFont="0" applyFill="0" applyBorder="0" applyAlignment="0" applyProtection="0"/>
    <xf numFmtId="168" fontId="1" fillId="0" borderId="0"/>
    <xf numFmtId="164" fontId="1" fillId="0" borderId="0" applyFont="0" applyFill="0" applyBorder="0" applyAlignment="0" applyProtection="0"/>
    <xf numFmtId="175" fontId="1" fillId="0" borderId="0"/>
    <xf numFmtId="0" fontId="1" fillId="0" borderId="0"/>
    <xf numFmtId="164"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cellStyleXfs>
  <cellXfs count="1025">
    <xf numFmtId="168" fontId="0" fillId="0" borderId="0" xfId="0"/>
    <xf numFmtId="168" fontId="2" fillId="0" borderId="0" xfId="0" applyFont="1"/>
    <xf numFmtId="168" fontId="3" fillId="0" borderId="3" xfId="0" applyFont="1" applyBorder="1" applyAlignment="1">
      <alignment vertical="center"/>
    </xf>
    <xf numFmtId="168" fontId="2" fillId="2" borderId="0" xfId="0" applyFont="1" applyFill="1"/>
    <xf numFmtId="168" fontId="3" fillId="0" borderId="3" xfId="0" applyFont="1" applyBorder="1" applyAlignment="1">
      <alignment horizontal="left" vertical="center"/>
    </xf>
    <xf numFmtId="168" fontId="4" fillId="2" borderId="0" xfId="0" applyFont="1" applyFill="1" applyAlignment="1">
      <alignment horizontal="center" vertical="center"/>
    </xf>
    <xf numFmtId="168" fontId="4" fillId="0" borderId="0" xfId="0" applyFont="1" applyAlignment="1">
      <alignment horizontal="center" vertical="center"/>
    </xf>
    <xf numFmtId="168" fontId="3" fillId="2" borderId="0" xfId="0" applyFont="1" applyFill="1" applyAlignment="1">
      <alignment vertical="center"/>
    </xf>
    <xf numFmtId="168" fontId="3" fillId="0" borderId="0" xfId="0" applyFont="1" applyAlignment="1">
      <alignment vertical="center"/>
    </xf>
    <xf numFmtId="0" fontId="3" fillId="0" borderId="6" xfId="0" applyNumberFormat="1" applyFont="1" applyBorder="1" applyAlignment="1">
      <alignment horizontal="center" vertical="center" wrapText="1"/>
    </xf>
    <xf numFmtId="168" fontId="6" fillId="0" borderId="0" xfId="0" applyFont="1"/>
    <xf numFmtId="0" fontId="2" fillId="0" borderId="0" xfId="0" applyNumberFormat="1" applyFont="1" applyAlignment="1">
      <alignment horizontal="left" vertical="center"/>
    </xf>
    <xf numFmtId="0" fontId="2" fillId="0" borderId="0" xfId="0" applyNumberFormat="1" applyFont="1" applyAlignment="1">
      <alignment horizontal="center" vertical="center"/>
    </xf>
    <xf numFmtId="168" fontId="2" fillId="0" borderId="0" xfId="0" applyFont="1" applyAlignment="1">
      <alignment horizontal="center"/>
    </xf>
    <xf numFmtId="0" fontId="2" fillId="0" borderId="0" xfId="0" applyNumberFormat="1" applyFont="1" applyAlignment="1">
      <alignment horizontal="justify" vertical="center" wrapText="1"/>
    </xf>
    <xf numFmtId="0" fontId="2" fillId="0" borderId="0" xfId="0" applyNumberFormat="1" applyFont="1" applyAlignment="1">
      <alignment horizontal="center" vertical="center" wrapText="1"/>
    </xf>
    <xf numFmtId="168" fontId="2" fillId="0" borderId="0" xfId="0" applyFont="1" applyAlignment="1">
      <alignment horizontal="justify" vertical="center" wrapText="1"/>
    </xf>
    <xf numFmtId="168" fontId="6" fillId="2" borderId="0" xfId="0" applyFont="1" applyFill="1"/>
    <xf numFmtId="171" fontId="2" fillId="0" borderId="0" xfId="8" applyNumberFormat="1" applyFont="1" applyAlignment="1">
      <alignment horizontal="center"/>
    </xf>
    <xf numFmtId="168" fontId="2" fillId="2" borderId="0" xfId="0" applyFont="1" applyFill="1" applyAlignment="1">
      <alignment vertical="center"/>
    </xf>
    <xf numFmtId="168" fontId="2" fillId="0" borderId="0" xfId="0" applyFont="1" applyAlignment="1">
      <alignment vertical="center"/>
    </xf>
    <xf numFmtId="173" fontId="2" fillId="2" borderId="0" xfId="4" applyNumberFormat="1" applyFont="1" applyFill="1" applyBorder="1"/>
    <xf numFmtId="173" fontId="2" fillId="0" borderId="0" xfId="4" applyNumberFormat="1" applyFont="1" applyFill="1" applyBorder="1"/>
    <xf numFmtId="168" fontId="2" fillId="0" borderId="0" xfId="0" applyFont="1" applyAlignment="1">
      <alignment horizontal="left" vertical="center" wrapText="1"/>
    </xf>
    <xf numFmtId="168" fontId="3" fillId="2" borderId="0" xfId="0" applyFont="1" applyFill="1"/>
    <xf numFmtId="168" fontId="3" fillId="0" borderId="0" xfId="0" applyFont="1"/>
    <xf numFmtId="168" fontId="3" fillId="0" borderId="4" xfId="0" applyFont="1" applyBorder="1" applyAlignment="1">
      <alignment horizontal="center" vertical="center" wrapText="1"/>
    </xf>
    <xf numFmtId="168" fontId="3" fillId="0" borderId="5" xfId="0" applyFont="1" applyBorder="1" applyAlignment="1">
      <alignment horizontal="center" vertical="center" wrapText="1"/>
    </xf>
    <xf numFmtId="168" fontId="3" fillId="0" borderId="6" xfId="0" applyFont="1" applyBorder="1" applyAlignment="1">
      <alignment horizontal="center" vertical="center" wrapText="1"/>
    </xf>
    <xf numFmtId="0" fontId="3" fillId="0" borderId="0" xfId="0" applyNumberFormat="1" applyFont="1" applyFill="1" applyAlignment="1">
      <alignment horizontal="left" vertical="center"/>
    </xf>
    <xf numFmtId="0" fontId="3" fillId="0" borderId="0" xfId="0" applyNumberFormat="1" applyFont="1" applyFill="1" applyAlignment="1">
      <alignment horizontal="center" vertical="center"/>
    </xf>
    <xf numFmtId="168" fontId="3" fillId="0" borderId="0" xfId="0" applyFont="1" applyFill="1" applyAlignment="1">
      <alignment horizontal="center"/>
    </xf>
    <xf numFmtId="168" fontId="3" fillId="0" borderId="0" xfId="0" applyFont="1" applyFill="1"/>
    <xf numFmtId="0" fontId="13" fillId="5" borderId="13" xfId="0" applyNumberFormat="1" applyFont="1" applyFill="1" applyBorder="1" applyAlignment="1">
      <alignment vertical="center"/>
    </xf>
    <xf numFmtId="0" fontId="13" fillId="5" borderId="13" xfId="0" applyNumberFormat="1" applyFont="1" applyFill="1" applyBorder="1" applyAlignment="1">
      <alignment horizontal="left" vertical="center"/>
    </xf>
    <xf numFmtId="0" fontId="13" fillId="5" borderId="13" xfId="0" applyNumberFormat="1" applyFont="1" applyFill="1" applyBorder="1" applyAlignment="1">
      <alignment horizontal="center" vertical="center"/>
    </xf>
    <xf numFmtId="168" fontId="13" fillId="5" borderId="13" xfId="0" applyFont="1" applyFill="1" applyBorder="1" applyAlignment="1">
      <alignment horizontal="center" vertical="center"/>
    </xf>
    <xf numFmtId="168" fontId="2" fillId="0" borderId="0" xfId="0" applyFont="1" applyFill="1"/>
    <xf numFmtId="0" fontId="13" fillId="5" borderId="19" xfId="0" applyNumberFormat="1" applyFont="1" applyFill="1" applyBorder="1" applyAlignment="1">
      <alignment horizontal="left" vertical="center"/>
    </xf>
    <xf numFmtId="0" fontId="13" fillId="5" borderId="19" xfId="0" applyNumberFormat="1" applyFont="1" applyFill="1" applyBorder="1" applyAlignment="1">
      <alignment horizontal="center" vertical="center"/>
    </xf>
    <xf numFmtId="168" fontId="13" fillId="5" borderId="19" xfId="0" applyFont="1" applyFill="1" applyBorder="1" applyAlignment="1">
      <alignment horizontal="center" vertical="center"/>
    </xf>
    <xf numFmtId="168" fontId="6" fillId="0" borderId="0" xfId="0" applyFont="1" applyFill="1"/>
    <xf numFmtId="168" fontId="6" fillId="2" borderId="0" xfId="0" applyFont="1" applyFill="1" applyAlignment="1">
      <alignment vertical="center"/>
    </xf>
    <xf numFmtId="168" fontId="12" fillId="0" borderId="0" xfId="0" applyFont="1"/>
    <xf numFmtId="168" fontId="2" fillId="2" borderId="0" xfId="0" applyFont="1" applyFill="1" applyBorder="1"/>
    <xf numFmtId="168" fontId="4" fillId="2" borderId="0" xfId="0" applyFont="1" applyFill="1" applyBorder="1" applyAlignment="1">
      <alignment horizontal="center" vertical="center"/>
    </xf>
    <xf numFmtId="168" fontId="3" fillId="2" borderId="0" xfId="0" applyFont="1" applyFill="1" applyBorder="1" applyAlignment="1">
      <alignment vertical="center"/>
    </xf>
    <xf numFmtId="168" fontId="2" fillId="0" borderId="0" xfId="0" applyFont="1" applyFill="1" applyBorder="1"/>
    <xf numFmtId="168" fontId="6" fillId="2" borderId="0" xfId="0" applyFont="1" applyFill="1" applyBorder="1"/>
    <xf numFmtId="168" fontId="2" fillId="0" borderId="0" xfId="0" applyFont="1" applyBorder="1"/>
    <xf numFmtId="168" fontId="6" fillId="0" borderId="0" xfId="0" applyFont="1" applyFill="1" applyBorder="1"/>
    <xf numFmtId="168" fontId="3" fillId="2" borderId="0" xfId="0" applyFont="1" applyFill="1" applyBorder="1"/>
    <xf numFmtId="168" fontId="3" fillId="0" borderId="0" xfId="0" applyFont="1" applyFill="1" applyBorder="1"/>
    <xf numFmtId="168" fontId="13" fillId="5" borderId="15" xfId="0" applyFont="1" applyFill="1" applyBorder="1" applyAlignment="1">
      <alignment horizontal="center" vertical="center"/>
    </xf>
    <xf numFmtId="168" fontId="3" fillId="0" borderId="6" xfId="0" applyFont="1" applyBorder="1" applyAlignment="1">
      <alignment horizontal="justify" vertical="center" wrapText="1"/>
    </xf>
    <xf numFmtId="0" fontId="3" fillId="0" borderId="6" xfId="0" applyNumberFormat="1" applyFont="1" applyBorder="1" applyAlignment="1">
      <alignment horizontal="justify" vertical="center" wrapText="1"/>
    </xf>
    <xf numFmtId="168" fontId="2" fillId="2" borderId="13" xfId="0" applyFont="1" applyFill="1" applyBorder="1"/>
    <xf numFmtId="168" fontId="2" fillId="2" borderId="0" xfId="0" applyFont="1" applyFill="1" applyAlignment="1">
      <alignment horizontal="left" vertical="center" wrapText="1"/>
    </xf>
    <xf numFmtId="4" fontId="2" fillId="0" borderId="13" xfId="0" applyNumberFormat="1" applyFont="1" applyBorder="1" applyAlignment="1">
      <alignment horizontal="center" vertical="center"/>
    </xf>
    <xf numFmtId="168" fontId="2" fillId="2" borderId="0" xfId="0" applyFont="1" applyFill="1" applyAlignment="1">
      <alignment horizontal="center"/>
    </xf>
    <xf numFmtId="165" fontId="2" fillId="0" borderId="13" xfId="0" applyNumberFormat="1" applyFont="1" applyBorder="1" applyAlignment="1">
      <alignment horizontal="center" vertical="center"/>
    </xf>
    <xf numFmtId="0" fontId="3" fillId="6" borderId="13" xfId="0" applyNumberFormat="1" applyFont="1" applyFill="1" applyBorder="1" applyAlignment="1">
      <alignment vertical="center"/>
    </xf>
    <xf numFmtId="0" fontId="3" fillId="16" borderId="13" xfId="0" applyNumberFormat="1" applyFont="1" applyFill="1" applyBorder="1" applyAlignment="1">
      <alignment horizontal="left" vertical="center"/>
    </xf>
    <xf numFmtId="0" fontId="3" fillId="6" borderId="13" xfId="0" applyNumberFormat="1" applyFont="1" applyFill="1" applyBorder="1" applyAlignment="1">
      <alignment horizontal="left" vertical="center"/>
    </xf>
    <xf numFmtId="0" fontId="3" fillId="16" borderId="13" xfId="0" applyNumberFormat="1" applyFont="1" applyFill="1" applyBorder="1" applyAlignment="1">
      <alignment horizontal="center" vertical="center" wrapText="1"/>
    </xf>
    <xf numFmtId="168" fontId="13" fillId="5" borderId="13" xfId="0" applyFont="1" applyFill="1" applyBorder="1" applyAlignment="1">
      <alignment horizontal="justify" vertical="center"/>
    </xf>
    <xf numFmtId="168" fontId="2" fillId="2" borderId="0" xfId="0" applyFont="1" applyFill="1" applyAlignment="1">
      <alignment horizontal="justify" vertical="center"/>
    </xf>
    <xf numFmtId="168" fontId="13" fillId="5" borderId="19" xfId="0" applyFont="1" applyFill="1" applyBorder="1" applyAlignment="1">
      <alignment horizontal="justify" vertical="center"/>
    </xf>
    <xf numFmtId="168" fontId="3" fillId="7" borderId="15" xfId="0" applyFont="1" applyFill="1" applyBorder="1" applyAlignment="1">
      <alignment vertical="center"/>
    </xf>
    <xf numFmtId="0" fontId="2" fillId="0" borderId="13" xfId="0" applyNumberFormat="1" applyFont="1" applyFill="1" applyBorder="1" applyAlignment="1">
      <alignment horizontal="center" vertical="center" wrapText="1"/>
    </xf>
    <xf numFmtId="0" fontId="3" fillId="0" borderId="13" xfId="0" applyNumberFormat="1" applyFont="1" applyFill="1" applyBorder="1" applyAlignment="1">
      <alignment horizontal="left" vertical="center" wrapText="1"/>
    </xf>
    <xf numFmtId="0" fontId="2" fillId="2" borderId="13" xfId="0" applyNumberFormat="1" applyFont="1" applyFill="1" applyBorder="1" applyAlignment="1">
      <alignment horizontal="center" vertical="center" wrapText="1"/>
    </xf>
    <xf numFmtId="0" fontId="2" fillId="0" borderId="13" xfId="6" applyNumberFormat="1" applyFont="1" applyFill="1" applyBorder="1" applyAlignment="1">
      <alignment horizontal="center" vertical="center" wrapText="1"/>
    </xf>
    <xf numFmtId="0" fontId="2" fillId="0" borderId="13" xfId="8" applyNumberFormat="1" applyFont="1" applyFill="1" applyBorder="1" applyAlignment="1">
      <alignment horizontal="center" vertical="center" wrapText="1"/>
    </xf>
    <xf numFmtId="0" fontId="3" fillId="0" borderId="13" xfId="0" applyNumberFormat="1" applyFont="1" applyBorder="1" applyAlignment="1">
      <alignment horizontal="center" vertical="center" wrapText="1"/>
    </xf>
    <xf numFmtId="168" fontId="2" fillId="2" borderId="13" xfId="0" applyFont="1" applyFill="1" applyBorder="1" applyAlignment="1">
      <alignment horizontal="justify" vertical="center"/>
    </xf>
    <xf numFmtId="0" fontId="2" fillId="0" borderId="13" xfId="0" applyNumberFormat="1" applyFont="1" applyBorder="1" applyAlignment="1">
      <alignment horizontal="center" vertical="center"/>
    </xf>
    <xf numFmtId="0" fontId="2" fillId="2" borderId="13" xfId="6" applyNumberFormat="1" applyFont="1" applyFill="1" applyBorder="1" applyAlignment="1">
      <alignment horizontal="center" vertical="center" wrapText="1"/>
    </xf>
    <xf numFmtId="0" fontId="3" fillId="0" borderId="13" xfId="0" applyNumberFormat="1" applyFont="1" applyBorder="1" applyAlignment="1">
      <alignment horizontal="left" vertical="center" wrapText="1"/>
    </xf>
    <xf numFmtId="0" fontId="2" fillId="0" borderId="13" xfId="6" applyNumberFormat="1" applyFont="1" applyFill="1" applyBorder="1" applyAlignment="1">
      <alignment horizontal="center" vertical="center"/>
    </xf>
    <xf numFmtId="0" fontId="2" fillId="0" borderId="13" xfId="7" applyFont="1" applyFill="1" applyBorder="1" applyAlignment="1">
      <alignment horizontal="justify" vertical="center" wrapText="1"/>
    </xf>
    <xf numFmtId="168" fontId="2" fillId="2" borderId="13" xfId="0" applyFont="1" applyFill="1" applyBorder="1" applyAlignment="1">
      <alignment vertical="center" wrapText="1"/>
    </xf>
    <xf numFmtId="168" fontId="2" fillId="0" borderId="13" xfId="0" applyFont="1" applyFill="1" applyBorder="1" applyAlignment="1">
      <alignment vertical="center" wrapText="1"/>
    </xf>
    <xf numFmtId="0" fontId="2" fillId="0" borderId="13" xfId="0" applyNumberFormat="1" applyFont="1" applyBorder="1" applyAlignment="1">
      <alignment horizontal="left" vertical="center"/>
    </xf>
    <xf numFmtId="168" fontId="2" fillId="0" borderId="13" xfId="0" applyFont="1" applyBorder="1" applyAlignment="1">
      <alignment horizontal="justify" vertical="center"/>
    </xf>
    <xf numFmtId="0" fontId="2" fillId="0" borderId="13" xfId="0" applyNumberFormat="1" applyFont="1" applyBorder="1" applyAlignment="1">
      <alignment horizontal="justify" vertical="center"/>
    </xf>
    <xf numFmtId="0" fontId="2" fillId="0" borderId="13" xfId="8" applyNumberFormat="1" applyFont="1" applyFill="1" applyBorder="1" applyAlignment="1">
      <alignment horizontal="justify" vertical="center" wrapText="1"/>
    </xf>
    <xf numFmtId="0" fontId="2" fillId="0" borderId="13" xfId="0" applyNumberFormat="1" applyFont="1" applyBorder="1" applyAlignment="1">
      <alignment horizontal="left" vertical="center" wrapText="1"/>
    </xf>
    <xf numFmtId="0" fontId="2" fillId="0" borderId="13" xfId="0" applyNumberFormat="1" applyFont="1" applyBorder="1" applyAlignment="1" applyProtection="1">
      <alignment horizontal="center" vertical="center" wrapText="1"/>
      <protection locked="0"/>
    </xf>
    <xf numFmtId="168" fontId="2" fillId="0" borderId="13" xfId="0" applyFont="1" applyFill="1" applyBorder="1" applyAlignment="1" applyProtection="1">
      <alignment horizontal="justify" vertical="center" wrapText="1"/>
      <protection locked="0"/>
    </xf>
    <xf numFmtId="0" fontId="2" fillId="12" borderId="13" xfId="6" applyNumberFormat="1" applyFont="1" applyFill="1" applyBorder="1" applyAlignment="1">
      <alignment horizontal="center" vertical="center" wrapText="1"/>
    </xf>
    <xf numFmtId="0" fontId="2" fillId="0" borderId="13" xfId="0" applyNumberFormat="1" applyFont="1" applyFill="1" applyBorder="1" applyAlignment="1" applyProtection="1">
      <alignment horizontal="justify" vertical="center" wrapText="1"/>
      <protection locked="0"/>
    </xf>
    <xf numFmtId="0" fontId="2" fillId="0" borderId="13" xfId="7" applyNumberFormat="1" applyFont="1" applyBorder="1" applyAlignment="1">
      <alignment horizontal="center" vertical="center" wrapText="1"/>
    </xf>
    <xf numFmtId="0" fontId="2" fillId="2" borderId="17" xfId="0" applyNumberFormat="1" applyFont="1" applyFill="1" applyBorder="1" applyAlignment="1">
      <alignment horizontal="center" vertical="center" wrapText="1"/>
    </xf>
    <xf numFmtId="0" fontId="2" fillId="2" borderId="13" xfId="8" applyNumberFormat="1" applyFont="1" applyFill="1" applyBorder="1" applyAlignment="1">
      <alignment horizontal="center" vertical="center" wrapText="1"/>
    </xf>
    <xf numFmtId="168" fontId="2" fillId="2" borderId="13" xfId="0" applyFont="1" applyFill="1" applyBorder="1" applyAlignment="1">
      <alignment horizontal="center" vertical="center" wrapText="1"/>
    </xf>
    <xf numFmtId="0" fontId="3" fillId="2" borderId="13" xfId="0" applyNumberFormat="1" applyFont="1" applyFill="1" applyBorder="1" applyAlignment="1">
      <alignment horizontal="left" vertical="center" wrapText="1"/>
    </xf>
    <xf numFmtId="168" fontId="2" fillId="2" borderId="13" xfId="6" applyFont="1" applyFill="1" applyBorder="1" applyAlignment="1">
      <alignment horizontal="justify" vertical="center" wrapText="1"/>
    </xf>
    <xf numFmtId="0" fontId="2" fillId="2" borderId="13" xfId="6" applyNumberFormat="1" applyFont="1" applyFill="1" applyBorder="1" applyAlignment="1">
      <alignment horizontal="justify" vertical="center" wrapText="1"/>
    </xf>
    <xf numFmtId="0" fontId="3" fillId="2" borderId="13" xfId="0" applyNumberFormat="1" applyFont="1" applyFill="1" applyBorder="1" applyAlignment="1">
      <alignment horizontal="center" vertical="center" wrapText="1"/>
    </xf>
    <xf numFmtId="0" fontId="2" fillId="2" borderId="13" xfId="7" applyNumberFormat="1" applyFont="1" applyFill="1" applyBorder="1" applyAlignment="1">
      <alignment horizontal="center" vertical="center" wrapText="1"/>
    </xf>
    <xf numFmtId="0" fontId="2" fillId="2" borderId="13" xfId="0" applyNumberFormat="1" applyFont="1" applyFill="1" applyBorder="1" applyAlignment="1">
      <alignment horizontal="center" vertical="center"/>
    </xf>
    <xf numFmtId="168" fontId="2" fillId="2" borderId="13" xfId="0" applyFont="1" applyFill="1" applyBorder="1" applyAlignment="1">
      <alignment horizontal="center" vertical="center"/>
    </xf>
    <xf numFmtId="168" fontId="2" fillId="0" borderId="15" xfId="0" applyFont="1" applyBorder="1" applyAlignment="1">
      <alignment horizontal="center" vertical="center" wrapText="1"/>
    </xf>
    <xf numFmtId="0" fontId="2" fillId="0" borderId="19" xfId="6" applyNumberFormat="1" applyFont="1" applyFill="1" applyBorder="1" applyAlignment="1">
      <alignment horizontal="center" vertical="center" wrapText="1"/>
    </xf>
    <xf numFmtId="0" fontId="2" fillId="2" borderId="13" xfId="0" applyNumberFormat="1" applyFont="1" applyFill="1" applyBorder="1" applyAlignment="1" applyProtection="1">
      <alignment horizontal="center" vertical="center" wrapText="1"/>
      <protection locked="0"/>
    </xf>
    <xf numFmtId="168" fontId="2" fillId="2" borderId="13" xfId="0" applyFont="1" applyFill="1" applyBorder="1" applyAlignment="1" applyProtection="1">
      <alignment horizontal="justify" vertical="center" wrapText="1"/>
      <protection locked="0"/>
    </xf>
    <xf numFmtId="168" fontId="2" fillId="0" borderId="13" xfId="0" applyFont="1" applyBorder="1" applyAlignment="1">
      <alignment horizontal="left" vertical="center" wrapText="1"/>
    </xf>
    <xf numFmtId="168" fontId="3" fillId="7" borderId="29" xfId="0" applyFont="1" applyFill="1" applyBorder="1" applyAlignment="1">
      <alignment vertical="center"/>
    </xf>
    <xf numFmtId="0" fontId="2" fillId="0" borderId="19" xfId="0" applyNumberFormat="1" applyFont="1" applyBorder="1" applyAlignment="1">
      <alignment horizontal="center" vertical="center" wrapText="1"/>
    </xf>
    <xf numFmtId="0" fontId="2" fillId="0" borderId="13" xfId="0" applyNumberFormat="1" applyFont="1" applyBorder="1" applyAlignment="1" applyProtection="1">
      <alignment horizontal="justify" vertical="center" wrapText="1"/>
      <protection locked="0"/>
    </xf>
    <xf numFmtId="0" fontId="2" fillId="2" borderId="13" xfId="0" applyNumberFormat="1" applyFont="1" applyFill="1" applyBorder="1" applyAlignment="1" applyProtection="1">
      <alignment horizontal="justify" vertical="center" wrapText="1"/>
      <protection locked="0"/>
    </xf>
    <xf numFmtId="0" fontId="2" fillId="2" borderId="13" xfId="7" applyFont="1" applyFill="1" applyBorder="1" applyAlignment="1">
      <alignment horizontal="center" vertical="center" wrapText="1"/>
    </xf>
    <xf numFmtId="165" fontId="2" fillId="2" borderId="13" xfId="5" applyFont="1" applyFill="1" applyBorder="1" applyAlignment="1">
      <alignment horizontal="justify" vertical="center"/>
    </xf>
    <xf numFmtId="170" fontId="4" fillId="4" borderId="3" xfId="5" applyNumberFormat="1" applyFont="1" applyFill="1" applyBorder="1" applyAlignment="1">
      <alignment horizontal="center" vertical="center" wrapText="1"/>
    </xf>
    <xf numFmtId="168" fontId="3" fillId="0" borderId="13" xfId="0" applyFont="1" applyBorder="1" applyAlignment="1">
      <alignment vertical="center"/>
    </xf>
    <xf numFmtId="0" fontId="3" fillId="6" borderId="13" xfId="0" applyNumberFormat="1" applyFont="1" applyFill="1" applyBorder="1" applyAlignment="1">
      <alignment horizontal="center" vertical="center" wrapText="1"/>
    </xf>
    <xf numFmtId="0" fontId="3" fillId="6" borderId="13" xfId="0" applyNumberFormat="1" applyFont="1" applyFill="1" applyBorder="1" applyAlignment="1">
      <alignment horizontal="justify" vertical="center" wrapText="1"/>
    </xf>
    <xf numFmtId="168" fontId="3" fillId="6" borderId="13" xfId="0" applyFont="1" applyFill="1" applyBorder="1" applyAlignment="1">
      <alignment horizontal="justify" vertical="center" wrapText="1"/>
    </xf>
    <xf numFmtId="165" fontId="3" fillId="6" borderId="13" xfId="0" applyNumberFormat="1" applyFont="1" applyFill="1" applyBorder="1" applyAlignment="1">
      <alignment vertical="center"/>
    </xf>
    <xf numFmtId="0" fontId="3" fillId="16" borderId="15" xfId="0" applyNumberFormat="1" applyFont="1" applyFill="1" applyBorder="1" applyAlignment="1">
      <alignment horizontal="left" vertical="center"/>
    </xf>
    <xf numFmtId="0" fontId="3" fillId="16" borderId="18" xfId="0" applyNumberFormat="1" applyFont="1" applyFill="1" applyBorder="1" applyAlignment="1">
      <alignment horizontal="left" vertical="center"/>
    </xf>
    <xf numFmtId="0" fontId="2" fillId="16" borderId="18" xfId="0" applyNumberFormat="1" applyFont="1" applyFill="1" applyBorder="1" applyAlignment="1">
      <alignment horizontal="center" vertical="center"/>
    </xf>
    <xf numFmtId="0" fontId="3" fillId="16" borderId="18" xfId="0" applyNumberFormat="1" applyFont="1" applyFill="1" applyBorder="1" applyAlignment="1">
      <alignment horizontal="justify" vertical="center" wrapText="1"/>
    </xf>
    <xf numFmtId="0" fontId="3" fillId="16" borderId="18" xfId="0" applyNumberFormat="1" applyFont="1" applyFill="1" applyBorder="1" applyAlignment="1">
      <alignment horizontal="center" vertical="center" wrapText="1"/>
    </xf>
    <xf numFmtId="168" fontId="3" fillId="16" borderId="18" xfId="0" applyFont="1" applyFill="1" applyBorder="1" applyAlignment="1">
      <alignment horizontal="justify" vertical="center" wrapText="1"/>
    </xf>
    <xf numFmtId="168" fontId="2" fillId="16" borderId="18" xfId="0" applyFont="1" applyFill="1" applyBorder="1" applyAlignment="1">
      <alignment vertical="center"/>
    </xf>
    <xf numFmtId="168" fontId="3" fillId="16" borderId="18" xfId="0" applyFont="1" applyFill="1" applyBorder="1" applyAlignment="1">
      <alignment horizontal="center" vertical="center"/>
    </xf>
    <xf numFmtId="168" fontId="3" fillId="16" borderId="13" xfId="0" applyFont="1" applyFill="1" applyBorder="1" applyAlignment="1">
      <alignment horizontal="justify" vertical="center" wrapText="1"/>
    </xf>
    <xf numFmtId="165" fontId="3" fillId="16" borderId="13" xfId="0" applyNumberFormat="1" applyFont="1" applyFill="1" applyBorder="1" applyAlignment="1">
      <alignment vertical="center"/>
    </xf>
    <xf numFmtId="168" fontId="2" fillId="0" borderId="13" xfId="0" applyFont="1" applyBorder="1"/>
    <xf numFmtId="0" fontId="3" fillId="7" borderId="13" xfId="0" applyNumberFormat="1" applyFont="1" applyFill="1" applyBorder="1" applyAlignment="1">
      <alignment horizontal="center" vertical="center"/>
    </xf>
    <xf numFmtId="168" fontId="3" fillId="7" borderId="13" xfId="0" applyFont="1" applyFill="1" applyBorder="1" applyAlignment="1">
      <alignment horizontal="justify" vertical="center" wrapText="1"/>
    </xf>
    <xf numFmtId="165" fontId="3" fillId="7" borderId="13" xfId="0" applyNumberFormat="1" applyFont="1" applyFill="1" applyBorder="1" applyAlignment="1">
      <alignment vertical="center"/>
    </xf>
    <xf numFmtId="0" fontId="2" fillId="0" borderId="13" xfId="6" applyNumberFormat="1" applyFont="1" applyFill="1" applyBorder="1">
      <alignment horizontal="center" vertical="center" wrapText="1"/>
    </xf>
    <xf numFmtId="165" fontId="2" fillId="0" borderId="13" xfId="5" applyFont="1" applyFill="1" applyBorder="1" applyAlignment="1">
      <alignment horizontal="justify" vertical="center"/>
    </xf>
    <xf numFmtId="165" fontId="2" fillId="0" borderId="13" xfId="0" applyNumberFormat="1" applyFont="1" applyBorder="1" applyAlignment="1">
      <alignment vertical="center"/>
    </xf>
    <xf numFmtId="0" fontId="3" fillId="7" borderId="13" xfId="0" applyNumberFormat="1" applyFont="1" applyFill="1" applyBorder="1" applyAlignment="1">
      <alignment horizontal="justify" vertical="center" wrapText="1"/>
    </xf>
    <xf numFmtId="0" fontId="3" fillId="7" borderId="13" xfId="0" applyNumberFormat="1" applyFont="1" applyFill="1" applyBorder="1" applyAlignment="1">
      <alignment horizontal="center" vertical="center" wrapText="1"/>
    </xf>
    <xf numFmtId="168" fontId="3" fillId="7" borderId="13" xfId="0" applyFont="1" applyFill="1" applyBorder="1" applyAlignment="1">
      <alignment horizontal="center" vertical="center"/>
    </xf>
    <xf numFmtId="165" fontId="3" fillId="7" borderId="13" xfId="0" applyNumberFormat="1" applyFont="1" applyFill="1" applyBorder="1" applyAlignment="1">
      <alignment horizontal="center" vertical="center"/>
    </xf>
    <xf numFmtId="0" fontId="2" fillId="0" borderId="13" xfId="7" applyFont="1" applyBorder="1" applyAlignment="1">
      <alignment horizontal="justify" vertical="center"/>
    </xf>
    <xf numFmtId="165" fontId="3" fillId="6" borderId="13" xfId="8" applyFont="1" applyFill="1" applyBorder="1" applyAlignment="1">
      <alignment horizontal="center" vertical="center"/>
    </xf>
    <xf numFmtId="168" fontId="3" fillId="7" borderId="18" xfId="0" applyFont="1" applyFill="1" applyBorder="1" applyAlignment="1">
      <alignment vertical="justify"/>
    </xf>
    <xf numFmtId="165" fontId="3" fillId="7" borderId="13" xfId="8" applyFont="1" applyFill="1" applyBorder="1" applyAlignment="1">
      <alignment horizontal="center" vertical="center"/>
    </xf>
    <xf numFmtId="165" fontId="2" fillId="0" borderId="13" xfId="8" applyFont="1" applyFill="1" applyBorder="1" applyAlignment="1">
      <alignment horizontal="right" vertical="center" wrapText="1"/>
    </xf>
    <xf numFmtId="0" fontId="2" fillId="2" borderId="13" xfId="7" applyNumberFormat="1" applyFont="1" applyFill="1" applyBorder="1" applyAlignment="1">
      <alignment horizontal="justify" vertical="center"/>
    </xf>
    <xf numFmtId="170" fontId="2" fillId="0" borderId="13" xfId="5" applyNumberFormat="1" applyFont="1" applyFill="1" applyBorder="1" applyAlignment="1">
      <alignment horizontal="center" vertical="center" wrapText="1"/>
    </xf>
    <xf numFmtId="165" fontId="2" fillId="2" borderId="13" xfId="8" applyFont="1" applyFill="1" applyBorder="1" applyAlignment="1">
      <alignment horizontal="right" vertical="center" wrapText="1"/>
    </xf>
    <xf numFmtId="165" fontId="2" fillId="2" borderId="13" xfId="8" applyNumberFormat="1" applyFont="1" applyFill="1" applyBorder="1" applyAlignment="1">
      <alignment horizontal="right" vertical="center" wrapText="1"/>
    </xf>
    <xf numFmtId="170" fontId="2" fillId="2" borderId="13" xfId="5" applyNumberFormat="1" applyFont="1" applyFill="1" applyBorder="1" applyAlignment="1">
      <alignment horizontal="center" vertical="center" wrapText="1"/>
    </xf>
    <xf numFmtId="170" fontId="2" fillId="2" borderId="15" xfId="5" applyNumberFormat="1" applyFont="1" applyFill="1" applyBorder="1" applyAlignment="1">
      <alignment horizontal="center" vertical="center" wrapText="1"/>
    </xf>
    <xf numFmtId="165" fontId="3" fillId="6" borderId="13" xfId="0" applyNumberFormat="1" applyFont="1" applyFill="1" applyBorder="1" applyAlignment="1">
      <alignment horizontal="center" vertical="center"/>
    </xf>
    <xf numFmtId="165" fontId="3" fillId="16" borderId="13" xfId="0" applyNumberFormat="1" applyFont="1" applyFill="1" applyBorder="1" applyAlignment="1">
      <alignment horizontal="center" vertical="center"/>
    </xf>
    <xf numFmtId="165" fontId="3" fillId="0" borderId="13" xfId="0" applyNumberFormat="1" applyFont="1" applyBorder="1" applyAlignment="1">
      <alignment horizontal="left" vertical="center"/>
    </xf>
    <xf numFmtId="165" fontId="2" fillId="2" borderId="13" xfId="0" applyNumberFormat="1" applyFont="1" applyFill="1" applyBorder="1" applyAlignment="1">
      <alignment horizontal="left" vertical="center"/>
    </xf>
    <xf numFmtId="4" fontId="2" fillId="0" borderId="13" xfId="0" applyNumberFormat="1" applyFont="1" applyBorder="1" applyAlignment="1">
      <alignment horizontal="right" vertical="center" wrapText="1"/>
    </xf>
    <xf numFmtId="0" fontId="3" fillId="6" borderId="13" xfId="0" applyNumberFormat="1" applyFont="1" applyFill="1" applyBorder="1" applyAlignment="1">
      <alignment horizontal="left" vertical="center" wrapText="1"/>
    </xf>
    <xf numFmtId="172" fontId="2" fillId="0" borderId="13" xfId="2" applyNumberFormat="1" applyFont="1" applyFill="1" applyBorder="1" applyAlignment="1">
      <alignment horizontal="right" vertical="center"/>
    </xf>
    <xf numFmtId="165" fontId="2" fillId="0" borderId="13" xfId="5" applyFont="1" applyFill="1" applyBorder="1"/>
    <xf numFmtId="165" fontId="2" fillId="0" borderId="13" xfId="0" applyNumberFormat="1" applyFont="1" applyBorder="1" applyAlignment="1">
      <alignment horizontal="justify" vertical="center"/>
    </xf>
    <xf numFmtId="172" fontId="2" fillId="2" borderId="13" xfId="2" applyNumberFormat="1" applyFont="1" applyFill="1" applyBorder="1" applyAlignment="1">
      <alignment horizontal="right" vertical="center"/>
    </xf>
    <xf numFmtId="43" fontId="2" fillId="2" borderId="13" xfId="0" applyNumberFormat="1" applyFont="1" applyFill="1" applyBorder="1" applyAlignment="1">
      <alignment vertical="center"/>
    </xf>
    <xf numFmtId="0" fontId="3" fillId="6" borderId="15" xfId="0" applyNumberFormat="1" applyFont="1" applyFill="1" applyBorder="1" applyAlignment="1">
      <alignment vertical="center"/>
    </xf>
    <xf numFmtId="0" fontId="2" fillId="6" borderId="18" xfId="0" applyNumberFormat="1" applyFont="1" applyFill="1" applyBorder="1" applyAlignment="1">
      <alignment horizontal="center" vertical="center"/>
    </xf>
    <xf numFmtId="0" fontId="3" fillId="6" borderId="18" xfId="0" applyNumberFormat="1" applyFont="1" applyFill="1" applyBorder="1" applyAlignment="1">
      <alignment horizontal="justify" vertical="center" wrapText="1"/>
    </xf>
    <xf numFmtId="0" fontId="3" fillId="6" borderId="18" xfId="0" applyNumberFormat="1" applyFont="1" applyFill="1" applyBorder="1" applyAlignment="1">
      <alignment horizontal="center" vertical="center" wrapText="1"/>
    </xf>
    <xf numFmtId="168" fontId="3" fillId="6" borderId="18" xfId="0" applyFont="1" applyFill="1" applyBorder="1" applyAlignment="1">
      <alignment horizontal="justify" vertical="center" wrapText="1"/>
    </xf>
    <xf numFmtId="168" fontId="2" fillId="6" borderId="18" xfId="0" applyFont="1" applyFill="1" applyBorder="1" applyAlignment="1">
      <alignment vertical="center"/>
    </xf>
    <xf numFmtId="168" fontId="3" fillId="6" borderId="16" xfId="0" applyFont="1" applyFill="1" applyBorder="1" applyAlignment="1">
      <alignment horizontal="justify" vertical="center" wrapText="1"/>
    </xf>
    <xf numFmtId="165" fontId="3" fillId="16" borderId="16" xfId="0" applyNumberFormat="1" applyFont="1" applyFill="1" applyBorder="1" applyAlignment="1">
      <alignment vertical="center"/>
    </xf>
    <xf numFmtId="168" fontId="3" fillId="7" borderId="16" xfId="0" applyFont="1" applyFill="1" applyBorder="1" applyAlignment="1">
      <alignment vertical="center"/>
    </xf>
    <xf numFmtId="168" fontId="3" fillId="7" borderId="26" xfId="0" applyFont="1" applyFill="1" applyBorder="1" applyAlignment="1">
      <alignment horizontal="justify" vertical="center" wrapText="1"/>
    </xf>
    <xf numFmtId="168" fontId="3" fillId="7" borderId="27" xfId="0" applyFont="1" applyFill="1" applyBorder="1" applyAlignment="1">
      <alignment horizontal="justify" vertical="center" wrapText="1"/>
    </xf>
    <xf numFmtId="0" fontId="2" fillId="2" borderId="13" xfId="9" applyFont="1" applyFill="1" applyBorder="1">
      <alignment horizontal="center" vertical="center" wrapText="1"/>
    </xf>
    <xf numFmtId="165" fontId="2" fillId="0" borderId="13" xfId="8" applyFont="1" applyFill="1" applyBorder="1" applyAlignment="1">
      <alignment horizontal="center" vertical="center" wrapText="1"/>
    </xf>
    <xf numFmtId="172" fontId="2" fillId="0" borderId="13" xfId="2" applyNumberFormat="1" applyFont="1" applyFill="1" applyBorder="1" applyAlignment="1">
      <alignment horizontal="right" vertical="center" wrapText="1"/>
    </xf>
    <xf numFmtId="168" fontId="3" fillId="7" borderId="18" xfId="0" applyFont="1" applyFill="1" applyBorder="1" applyAlignment="1">
      <alignment vertical="center"/>
    </xf>
    <xf numFmtId="0" fontId="2" fillId="0" borderId="13" xfId="7" applyFont="1" applyBorder="1" applyAlignment="1">
      <alignment horizontal="center" vertical="center" wrapText="1"/>
    </xf>
    <xf numFmtId="168" fontId="2" fillId="0" borderId="13" xfId="0" applyFont="1" applyBorder="1" applyAlignment="1">
      <alignment vertical="center" wrapText="1"/>
    </xf>
    <xf numFmtId="0" fontId="2" fillId="0" borderId="13" xfId="9" applyNumberFormat="1" applyFont="1" applyFill="1" applyBorder="1" applyAlignment="1">
      <alignment horizontal="center" vertical="center" wrapText="1"/>
    </xf>
    <xf numFmtId="0" fontId="2" fillId="2" borderId="13" xfId="9" applyFont="1" applyFill="1" applyBorder="1" applyAlignment="1">
      <alignment horizontal="justify" vertical="center" wrapText="1"/>
    </xf>
    <xf numFmtId="0" fontId="2" fillId="0" borderId="13" xfId="9" applyFont="1" applyFill="1" applyBorder="1">
      <alignment horizontal="center" vertical="center" wrapText="1"/>
    </xf>
    <xf numFmtId="0" fontId="3" fillId="16" borderId="13" xfId="0" applyNumberFormat="1" applyFont="1" applyFill="1" applyBorder="1" applyAlignment="1">
      <alignment horizontal="left" vertical="center" wrapText="1"/>
    </xf>
    <xf numFmtId="43" fontId="2" fillId="0" borderId="13" xfId="0" applyNumberFormat="1" applyFont="1" applyBorder="1" applyAlignment="1">
      <alignment vertical="center"/>
    </xf>
    <xf numFmtId="41" fontId="2" fillId="0" borderId="13" xfId="2" applyFont="1" applyFill="1" applyBorder="1" applyAlignment="1">
      <alignment vertical="center"/>
    </xf>
    <xf numFmtId="168" fontId="3" fillId="16" borderId="16" xfId="0" applyFont="1" applyFill="1" applyBorder="1" applyAlignment="1">
      <alignment horizontal="center" vertical="center"/>
    </xf>
    <xf numFmtId="43" fontId="3" fillId="7" borderId="13" xfId="1" applyFont="1" applyFill="1" applyBorder="1" applyAlignment="1">
      <alignment horizontal="left" vertical="center"/>
    </xf>
    <xf numFmtId="165" fontId="3" fillId="7" borderId="13" xfId="0" applyNumberFormat="1" applyFont="1" applyFill="1" applyBorder="1" applyAlignment="1">
      <alignment horizontal="left" vertical="center"/>
    </xf>
    <xf numFmtId="165" fontId="2" fillId="0" borderId="13" xfId="8" applyFont="1" applyFill="1" applyBorder="1" applyAlignment="1">
      <alignment horizontal="center" vertical="center"/>
    </xf>
    <xf numFmtId="165" fontId="3" fillId="7" borderId="19" xfId="0" applyNumberFormat="1" applyFont="1" applyFill="1" applyBorder="1" applyAlignment="1">
      <alignment vertical="center"/>
    </xf>
    <xf numFmtId="3" fontId="2" fillId="0" borderId="13" xfId="0" applyNumberFormat="1" applyFont="1" applyBorder="1" applyAlignment="1">
      <alignment horizontal="center" vertical="center" wrapText="1"/>
    </xf>
    <xf numFmtId="165" fontId="2" fillId="0" borderId="13" xfId="5" applyFont="1" applyFill="1" applyBorder="1" applyAlignment="1">
      <alignment vertical="center"/>
    </xf>
    <xf numFmtId="43" fontId="3" fillId="7" borderId="13" xfId="1" applyFont="1" applyFill="1" applyBorder="1" applyAlignment="1">
      <alignment vertical="center"/>
    </xf>
    <xf numFmtId="168" fontId="2" fillId="12" borderId="13" xfId="0" applyFont="1" applyFill="1" applyBorder="1" applyAlignment="1">
      <alignment horizontal="justify" vertical="center"/>
    </xf>
    <xf numFmtId="165" fontId="2" fillId="0" borderId="13" xfId="8" applyFont="1" applyFill="1" applyBorder="1" applyAlignment="1">
      <alignment vertical="center"/>
    </xf>
    <xf numFmtId="165" fontId="3" fillId="7" borderId="13" xfId="0" applyNumberFormat="1" applyFont="1" applyFill="1" applyBorder="1" applyAlignment="1">
      <alignment horizontal="justify" vertical="center" wrapText="1"/>
    </xf>
    <xf numFmtId="165" fontId="3" fillId="7" borderId="13" xfId="0" applyNumberFormat="1" applyFont="1" applyFill="1" applyBorder="1" applyAlignment="1">
      <alignment horizontal="center" vertical="center" wrapText="1"/>
    </xf>
    <xf numFmtId="168" fontId="2" fillId="0" borderId="13" xfId="0" applyFont="1" applyBorder="1" applyAlignment="1">
      <alignment horizontal="center" vertical="center"/>
    </xf>
    <xf numFmtId="170" fontId="2" fillId="0" borderId="13" xfId="8" applyNumberFormat="1" applyFont="1" applyFill="1" applyBorder="1" applyAlignment="1">
      <alignment horizontal="right" vertical="center" wrapText="1"/>
    </xf>
    <xf numFmtId="165" fontId="2" fillId="0" borderId="13" xfId="8" applyFont="1" applyFill="1" applyBorder="1" applyAlignment="1">
      <alignment horizontal="left" vertical="center" wrapText="1"/>
    </xf>
    <xf numFmtId="0" fontId="3" fillId="7" borderId="17" xfId="0" applyNumberFormat="1" applyFont="1" applyFill="1" applyBorder="1" applyAlignment="1">
      <alignment horizontal="center" vertical="center" wrapText="1"/>
    </xf>
    <xf numFmtId="0" fontId="2" fillId="2" borderId="19" xfId="7" applyFont="1" applyFill="1" applyBorder="1" applyAlignment="1">
      <alignment horizontal="center" vertical="center" wrapText="1"/>
    </xf>
    <xf numFmtId="0" fontId="2" fillId="2" borderId="13" xfId="7" applyFont="1" applyFill="1" applyBorder="1" applyAlignment="1">
      <alignment horizontal="justify" vertical="center" wrapText="1"/>
    </xf>
    <xf numFmtId="165" fontId="2" fillId="2" borderId="13" xfId="0" applyNumberFormat="1" applyFont="1" applyFill="1" applyBorder="1" applyAlignment="1">
      <alignment vertical="center"/>
    </xf>
    <xf numFmtId="165" fontId="2" fillId="2" borderId="13" xfId="0" applyNumberFormat="1" applyFont="1" applyFill="1" applyBorder="1" applyAlignment="1">
      <alignment horizontal="center" vertical="center"/>
    </xf>
    <xf numFmtId="1" fontId="2" fillId="2" borderId="13" xfId="13" applyNumberFormat="1" applyFont="1" applyFill="1" applyBorder="1" applyAlignment="1">
      <alignment horizontal="center" vertical="center"/>
    </xf>
    <xf numFmtId="43" fontId="2" fillId="0" borderId="13" xfId="1" applyFont="1" applyFill="1" applyBorder="1" applyAlignment="1">
      <alignment horizontal="center" vertical="center" wrapText="1"/>
    </xf>
    <xf numFmtId="43" fontId="2" fillId="0" borderId="13" xfId="1" applyFont="1" applyFill="1" applyBorder="1" applyAlignment="1">
      <alignment horizontal="right" vertical="center" wrapText="1"/>
    </xf>
    <xf numFmtId="0" fontId="2" fillId="0" borderId="13" xfId="1" applyNumberFormat="1" applyFont="1" applyBorder="1" applyAlignment="1">
      <alignment horizontal="center" vertical="center" wrapText="1"/>
    </xf>
    <xf numFmtId="0" fontId="2" fillId="0" borderId="13" xfId="1" applyNumberFormat="1" applyFont="1" applyFill="1" applyBorder="1" applyAlignment="1">
      <alignment horizontal="center" vertical="center" wrapText="1"/>
    </xf>
    <xf numFmtId="43" fontId="2" fillId="0" borderId="13" xfId="1" applyFont="1" applyFill="1" applyBorder="1" applyAlignment="1">
      <alignment horizontal="justify" vertical="center"/>
    </xf>
    <xf numFmtId="43" fontId="2" fillId="0" borderId="13" xfId="1" applyFont="1" applyFill="1" applyBorder="1" applyAlignment="1">
      <alignment horizontal="left" vertical="center" wrapText="1"/>
    </xf>
    <xf numFmtId="0" fontId="3" fillId="6" borderId="13" xfId="0" applyNumberFormat="1" applyFont="1" applyFill="1" applyBorder="1" applyAlignment="1">
      <alignment horizontal="center" vertical="center"/>
    </xf>
    <xf numFmtId="165" fontId="2" fillId="0" borderId="13" xfId="5" applyFont="1" applyBorder="1" applyAlignment="1">
      <alignment horizontal="justify" vertical="center"/>
    </xf>
    <xf numFmtId="165" fontId="2" fillId="0" borderId="13" xfId="8" applyFont="1" applyBorder="1" applyAlignment="1">
      <alignment horizontal="right" vertical="center" wrapText="1"/>
    </xf>
    <xf numFmtId="0" fontId="2" fillId="2" borderId="13" xfId="9" applyNumberFormat="1" applyFont="1" applyFill="1" applyBorder="1" applyAlignment="1">
      <alignment horizontal="center" vertical="center" wrapText="1"/>
    </xf>
    <xf numFmtId="168" fontId="2" fillId="0" borderId="13" xfId="0" applyFont="1" applyBorder="1" applyAlignment="1">
      <alignment vertical="center"/>
    </xf>
    <xf numFmtId="168" fontId="2" fillId="0" borderId="17" xfId="0" applyFont="1" applyFill="1" applyBorder="1" applyAlignment="1">
      <alignment vertical="center" wrapText="1"/>
    </xf>
    <xf numFmtId="165" fontId="2" fillId="2" borderId="13" xfId="8" applyFont="1" applyFill="1" applyBorder="1" applyAlignment="1">
      <alignment horizontal="center" vertical="center"/>
    </xf>
    <xf numFmtId="3" fontId="2" fillId="2" borderId="13" xfId="0" applyNumberFormat="1" applyFont="1" applyFill="1" applyBorder="1" applyAlignment="1">
      <alignment horizontal="center" vertical="center" wrapText="1"/>
    </xf>
    <xf numFmtId="173" fontId="2" fillId="0" borderId="13" xfId="4" applyNumberFormat="1" applyFont="1" applyFill="1" applyBorder="1" applyAlignment="1">
      <alignment horizontal="center" vertical="center"/>
    </xf>
    <xf numFmtId="173" fontId="2" fillId="0" borderId="13" xfId="4" applyNumberFormat="1" applyFont="1" applyFill="1" applyBorder="1" applyAlignment="1">
      <alignment horizontal="justify" vertical="center"/>
    </xf>
    <xf numFmtId="0" fontId="2" fillId="2" borderId="17" xfId="7" applyFont="1" applyFill="1" applyBorder="1" applyAlignment="1">
      <alignment horizontal="center" vertical="center" wrapText="1"/>
    </xf>
    <xf numFmtId="168" fontId="2" fillId="0" borderId="15" xfId="0" applyFont="1" applyBorder="1" applyAlignment="1">
      <alignment horizontal="center" vertical="center"/>
    </xf>
    <xf numFmtId="168" fontId="2" fillId="7" borderId="13" xfId="0" applyFont="1" applyFill="1" applyBorder="1" applyAlignment="1">
      <alignment horizontal="justify" vertical="center" wrapText="1"/>
    </xf>
    <xf numFmtId="165" fontId="2" fillId="7" borderId="13" xfId="5" applyFont="1" applyFill="1" applyBorder="1" applyAlignment="1">
      <alignment horizontal="justify" vertical="center"/>
    </xf>
    <xf numFmtId="165" fontId="3" fillId="7" borderId="13" xfId="5" applyFont="1" applyFill="1" applyBorder="1" applyAlignment="1">
      <alignment horizontal="justify" vertical="center"/>
    </xf>
    <xf numFmtId="165" fontId="3" fillId="7" borderId="13" xfId="5" applyFont="1" applyFill="1" applyBorder="1" applyAlignment="1">
      <alignment horizontal="center" vertical="center"/>
    </xf>
    <xf numFmtId="168" fontId="2" fillId="0" borderId="13" xfId="0" applyFont="1" applyBorder="1" applyAlignment="1">
      <alignment horizontal="center"/>
    </xf>
    <xf numFmtId="0" fontId="3" fillId="0" borderId="13" xfId="0" applyNumberFormat="1" applyFont="1" applyBorder="1" applyAlignment="1">
      <alignment horizontal="center" vertical="center"/>
    </xf>
    <xf numFmtId="168" fontId="3" fillId="0" borderId="13" xfId="0" applyFont="1" applyBorder="1" applyAlignment="1">
      <alignment horizontal="center" vertical="center"/>
    </xf>
    <xf numFmtId="0" fontId="2" fillId="0" borderId="13" xfId="7" applyFont="1" applyFill="1" applyBorder="1" applyAlignment="1">
      <alignment horizontal="center" vertical="center" wrapText="1"/>
    </xf>
    <xf numFmtId="165" fontId="3" fillId="0" borderId="13" xfId="0" applyNumberFormat="1" applyFont="1" applyBorder="1" applyAlignment="1">
      <alignment vertical="center"/>
    </xf>
    <xf numFmtId="0" fontId="2" fillId="2" borderId="13" xfId="7" applyFont="1" applyFill="1" applyBorder="1" applyAlignment="1">
      <alignment horizontal="center" vertical="center"/>
    </xf>
    <xf numFmtId="0" fontId="2" fillId="0" borderId="13" xfId="7" applyFont="1" applyBorder="1" applyAlignment="1">
      <alignment horizontal="center" vertical="center"/>
    </xf>
    <xf numFmtId="168" fontId="3" fillId="0" borderId="13" xfId="0" applyFont="1" applyBorder="1" applyAlignment="1">
      <alignment horizontal="left" vertical="center"/>
    </xf>
    <xf numFmtId="0" fontId="2" fillId="2" borderId="13" xfId="1" applyNumberFormat="1" applyFont="1" applyFill="1" applyBorder="1" applyAlignment="1">
      <alignment horizontal="center" vertical="center" wrapText="1"/>
    </xf>
    <xf numFmtId="165" fontId="2" fillId="2" borderId="15" xfId="5" applyFont="1" applyFill="1" applyBorder="1" applyAlignment="1">
      <alignment horizontal="justify" vertical="center"/>
    </xf>
    <xf numFmtId="165" fontId="2" fillId="2" borderId="16" xfId="5" applyFont="1" applyFill="1" applyBorder="1" applyAlignment="1">
      <alignment horizontal="justify" vertical="center"/>
    </xf>
    <xf numFmtId="165" fontId="2" fillId="0" borderId="15" xfId="5" applyFont="1" applyFill="1" applyBorder="1" applyAlignment="1">
      <alignment horizontal="justify" vertical="center"/>
    </xf>
    <xf numFmtId="165" fontId="2" fillId="0" borderId="16" xfId="5" applyFont="1" applyFill="1" applyBorder="1" applyAlignment="1">
      <alignment horizontal="justify" vertical="center"/>
    </xf>
    <xf numFmtId="0" fontId="2" fillId="0" borderId="15" xfId="7" applyFont="1" applyBorder="1" applyAlignment="1">
      <alignment horizontal="center" vertical="center" wrapText="1"/>
    </xf>
    <xf numFmtId="1" fontId="2" fillId="0" borderId="13" xfId="0" applyNumberFormat="1" applyFont="1" applyFill="1" applyBorder="1" applyAlignment="1">
      <alignment horizontal="center" vertical="center" wrapText="1"/>
    </xf>
    <xf numFmtId="0" fontId="3" fillId="7" borderId="15" xfId="7" applyFont="1" applyFill="1" applyBorder="1" applyAlignment="1">
      <alignment vertical="center"/>
    </xf>
    <xf numFmtId="49" fontId="2" fillId="2" borderId="32" xfId="0" applyNumberFormat="1" applyFont="1" applyFill="1" applyBorder="1" applyAlignment="1">
      <alignment horizontal="center" vertical="center" wrapText="1"/>
    </xf>
    <xf numFmtId="168" fontId="2" fillId="0" borderId="13" xfId="0" applyFont="1" applyBorder="1" applyAlignment="1" applyProtection="1">
      <alignment horizontal="justify" vertical="center" wrapText="1"/>
      <protection locked="0"/>
    </xf>
    <xf numFmtId="165" fontId="3" fillId="7" borderId="15" xfId="8" applyFont="1" applyFill="1" applyBorder="1" applyAlignment="1">
      <alignment horizontal="center" vertical="center"/>
    </xf>
    <xf numFmtId="165" fontId="3" fillId="7" borderId="16" xfId="8" applyFont="1" applyFill="1" applyBorder="1" applyAlignment="1">
      <alignment horizontal="center" vertical="center"/>
    </xf>
    <xf numFmtId="168" fontId="2" fillId="0" borderId="17" xfId="0" applyFont="1" applyBorder="1"/>
    <xf numFmtId="0" fontId="3" fillId="0" borderId="17" xfId="0" applyNumberFormat="1" applyFont="1" applyBorder="1" applyAlignment="1">
      <alignment horizontal="left" vertical="center" wrapText="1"/>
    </xf>
    <xf numFmtId="168" fontId="3" fillId="7" borderId="22" xfId="0" applyFont="1" applyFill="1" applyBorder="1" applyAlignment="1">
      <alignment vertical="center"/>
    </xf>
    <xf numFmtId="0" fontId="2" fillId="7" borderId="17" xfId="0" applyNumberFormat="1" applyFont="1" applyFill="1" applyBorder="1" applyAlignment="1">
      <alignment horizontal="center" vertical="center"/>
    </xf>
    <xf numFmtId="0" fontId="3" fillId="7" borderId="17" xfId="0" applyNumberFormat="1" applyFont="1" applyFill="1" applyBorder="1" applyAlignment="1">
      <alignment horizontal="justify" vertical="center" wrapText="1"/>
    </xf>
    <xf numFmtId="168" fontId="3" fillId="7" borderId="17" xfId="0" applyFont="1" applyFill="1" applyBorder="1" applyAlignment="1">
      <alignment horizontal="justify" vertical="center" wrapText="1"/>
    </xf>
    <xf numFmtId="168" fontId="2" fillId="7" borderId="17" xfId="0" applyFont="1" applyFill="1" applyBorder="1" applyAlignment="1">
      <alignment vertical="center"/>
    </xf>
    <xf numFmtId="168" fontId="3" fillId="7" borderId="17" xfId="0" applyFont="1" applyFill="1" applyBorder="1" applyAlignment="1">
      <alignment horizontal="center" vertical="center"/>
    </xf>
    <xf numFmtId="165" fontId="3" fillId="7" borderId="17" xfId="8" applyFont="1" applyFill="1" applyBorder="1" applyAlignment="1">
      <alignment horizontal="center" vertical="center"/>
    </xf>
    <xf numFmtId="168" fontId="2" fillId="0" borderId="19" xfId="0" applyFont="1" applyBorder="1"/>
    <xf numFmtId="0" fontId="3" fillId="0" borderId="19" xfId="0" applyNumberFormat="1" applyFont="1" applyBorder="1" applyAlignment="1">
      <alignment horizontal="left" vertical="center" wrapText="1"/>
    </xf>
    <xf numFmtId="168" fontId="2" fillId="0" borderId="19" xfId="0" applyFont="1" applyBorder="1" applyAlignment="1">
      <alignment horizontal="center" vertical="center"/>
    </xf>
    <xf numFmtId="0" fontId="2" fillId="2" borderId="19" xfId="6" applyNumberFormat="1" applyFont="1" applyFill="1" applyBorder="1" applyAlignment="1">
      <alignment horizontal="center" vertical="center" wrapText="1"/>
    </xf>
    <xf numFmtId="0" fontId="2" fillId="0" borderId="19" xfId="7" applyFont="1" applyBorder="1" applyAlignment="1">
      <alignment horizontal="justify" vertical="center" wrapText="1"/>
    </xf>
    <xf numFmtId="0" fontId="2" fillId="0" borderId="19" xfId="7" applyFont="1" applyBorder="1" applyAlignment="1">
      <alignment horizontal="center" vertical="center" wrapText="1"/>
    </xf>
    <xf numFmtId="165" fontId="2" fillId="0" borderId="19" xfId="5" applyFont="1" applyFill="1" applyBorder="1" applyAlignment="1">
      <alignment horizontal="justify" vertical="center"/>
    </xf>
    <xf numFmtId="165" fontId="2" fillId="0" borderId="25" xfId="5" applyFont="1" applyFill="1" applyBorder="1" applyAlignment="1">
      <alignment horizontal="justify" vertical="center"/>
    </xf>
    <xf numFmtId="165" fontId="2" fillId="0" borderId="27" xfId="5" applyFont="1" applyFill="1" applyBorder="1" applyAlignment="1">
      <alignment horizontal="justify" vertical="center"/>
    </xf>
    <xf numFmtId="165" fontId="2" fillId="0" borderId="19" xfId="8" applyFont="1" applyFill="1" applyBorder="1" applyAlignment="1">
      <alignment horizontal="right" vertical="center" wrapText="1"/>
    </xf>
    <xf numFmtId="165" fontId="2" fillId="0" borderId="19" xfId="0" applyNumberFormat="1" applyFont="1" applyBorder="1" applyAlignment="1">
      <alignment vertical="center"/>
    </xf>
    <xf numFmtId="165" fontId="2" fillId="0" borderId="19" xfId="0" applyNumberFormat="1" applyFont="1" applyBorder="1" applyAlignment="1">
      <alignment horizontal="center" vertical="center"/>
    </xf>
    <xf numFmtId="0" fontId="3" fillId="7" borderId="31" xfId="0" applyNumberFormat="1" applyFont="1" applyFill="1" applyBorder="1" applyAlignment="1">
      <alignment horizontal="justify" vertical="center" wrapText="1"/>
    </xf>
    <xf numFmtId="49" fontId="2" fillId="2" borderId="32" xfId="0" applyNumberFormat="1" applyFont="1" applyFill="1" applyBorder="1" applyAlignment="1">
      <alignment horizontal="center" vertical="center"/>
    </xf>
    <xf numFmtId="49" fontId="2" fillId="2" borderId="13" xfId="7" applyNumberFormat="1" applyFont="1" applyFill="1" applyBorder="1" applyAlignment="1">
      <alignment horizontal="justify" vertical="center" wrapText="1"/>
    </xf>
    <xf numFmtId="44" fontId="2" fillId="0" borderId="15" xfId="3" applyFont="1" applyFill="1" applyBorder="1" applyAlignment="1">
      <alignment horizontal="center" vertical="center"/>
    </xf>
    <xf numFmtId="43" fontId="2" fillId="2" borderId="13" xfId="1" applyFont="1" applyFill="1" applyBorder="1" applyAlignment="1">
      <alignment vertical="center"/>
    </xf>
    <xf numFmtId="165" fontId="2" fillId="0" borderId="15" xfId="8" applyFont="1" applyFill="1" applyBorder="1" applyAlignment="1">
      <alignment horizontal="center" vertical="center"/>
    </xf>
    <xf numFmtId="43" fontId="3" fillId="7" borderId="13" xfId="0" applyNumberFormat="1" applyFont="1" applyFill="1" applyBorder="1" applyAlignment="1">
      <alignment vertical="center"/>
    </xf>
    <xf numFmtId="43" fontId="3" fillId="7" borderId="15" xfId="0" applyNumberFormat="1" applyFont="1" applyFill="1" applyBorder="1" applyAlignment="1">
      <alignment vertical="center"/>
    </xf>
    <xf numFmtId="43" fontId="3" fillId="7" borderId="16" xfId="0" applyNumberFormat="1" applyFont="1" applyFill="1" applyBorder="1" applyAlignment="1">
      <alignment vertical="center"/>
    </xf>
    <xf numFmtId="43" fontId="3" fillId="7" borderId="13" xfId="0" applyNumberFormat="1" applyFont="1" applyFill="1" applyBorder="1" applyAlignment="1">
      <alignment horizontal="center" vertical="center"/>
    </xf>
    <xf numFmtId="165" fontId="2" fillId="2" borderId="13" xfId="5" applyFont="1" applyFill="1" applyBorder="1" applyAlignment="1">
      <alignment horizontal="right" vertical="center"/>
    </xf>
    <xf numFmtId="165" fontId="2" fillId="2" borderId="13" xfId="0" applyNumberFormat="1" applyFont="1" applyFill="1" applyBorder="1" applyAlignment="1">
      <alignment horizontal="right" vertical="center" wrapText="1"/>
    </xf>
    <xf numFmtId="168" fontId="2" fillId="0" borderId="15" xfId="0" applyFont="1" applyBorder="1"/>
    <xf numFmtId="165" fontId="2" fillId="0" borderId="24" xfId="0" applyNumberFormat="1" applyFont="1" applyBorder="1" applyAlignment="1">
      <alignment horizontal="center" vertical="center"/>
    </xf>
    <xf numFmtId="165" fontId="2" fillId="0" borderId="15" xfId="5" applyFont="1" applyFill="1" applyBorder="1" applyAlignment="1">
      <alignment horizontal="right" vertical="center"/>
    </xf>
    <xf numFmtId="165" fontId="3" fillId="7" borderId="15" xfId="0" applyNumberFormat="1" applyFont="1" applyFill="1" applyBorder="1" applyAlignment="1">
      <alignment vertical="center"/>
    </xf>
    <xf numFmtId="165" fontId="3" fillId="7" borderId="16" xfId="0" applyNumberFormat="1" applyFont="1" applyFill="1" applyBorder="1" applyAlignment="1">
      <alignment vertical="center"/>
    </xf>
    <xf numFmtId="165" fontId="2" fillId="2" borderId="15" xfId="8" applyFont="1" applyFill="1" applyBorder="1" applyAlignment="1">
      <alignment horizontal="center" vertical="center"/>
    </xf>
    <xf numFmtId="165" fontId="2" fillId="0" borderId="15" xfId="8" applyFont="1" applyFill="1" applyBorder="1" applyAlignment="1">
      <alignment vertical="center"/>
    </xf>
    <xf numFmtId="43" fontId="3" fillId="6" borderId="13" xfId="0" applyNumberFormat="1" applyFont="1" applyFill="1" applyBorder="1" applyAlignment="1">
      <alignment vertical="center"/>
    </xf>
    <xf numFmtId="43" fontId="3" fillId="6" borderId="13" xfId="0" applyNumberFormat="1" applyFont="1" applyFill="1" applyBorder="1" applyAlignment="1">
      <alignment horizontal="center" vertical="center"/>
    </xf>
    <xf numFmtId="168" fontId="3" fillId="7" borderId="13" xfId="0" applyFont="1" applyFill="1" applyBorder="1" applyAlignment="1">
      <alignment horizontal="justify" vertical="center"/>
    </xf>
    <xf numFmtId="165" fontId="2" fillId="0" borderId="15" xfId="0" applyNumberFormat="1" applyFont="1" applyBorder="1" applyAlignment="1">
      <alignment vertical="center"/>
    </xf>
    <xf numFmtId="165" fontId="2" fillId="0" borderId="16" xfId="0" applyNumberFormat="1" applyFont="1" applyBorder="1" applyAlignment="1">
      <alignment vertical="center"/>
    </xf>
    <xf numFmtId="165" fontId="2" fillId="2" borderId="15" xfId="0" applyNumberFormat="1" applyFont="1" applyFill="1" applyBorder="1" applyAlignment="1">
      <alignment vertical="center"/>
    </xf>
    <xf numFmtId="165" fontId="2" fillId="2" borderId="16" xfId="0" applyNumberFormat="1" applyFont="1" applyFill="1" applyBorder="1" applyAlignment="1">
      <alignment vertical="center"/>
    </xf>
    <xf numFmtId="165" fontId="2" fillId="0" borderId="15" xfId="8" applyFont="1" applyFill="1" applyBorder="1" applyAlignment="1">
      <alignment horizontal="right" vertical="center"/>
    </xf>
    <xf numFmtId="165" fontId="2" fillId="0" borderId="13" xfId="5" applyFont="1" applyFill="1" applyBorder="1" applyAlignment="1">
      <alignment horizontal="center" vertical="center" wrapText="1"/>
    </xf>
    <xf numFmtId="0" fontId="3" fillId="7" borderId="13" xfId="0" applyNumberFormat="1" applyFont="1" applyFill="1" applyBorder="1" applyAlignment="1">
      <alignment horizontal="left" vertical="center" wrapText="1"/>
    </xf>
    <xf numFmtId="165" fontId="3" fillId="7" borderId="3" xfId="0" applyNumberFormat="1" applyFont="1" applyFill="1" applyBorder="1" applyAlignment="1">
      <alignment horizontal="center" vertical="center"/>
    </xf>
    <xf numFmtId="0" fontId="2" fillId="0" borderId="13" xfId="12" applyNumberFormat="1" applyFont="1" applyFill="1" applyBorder="1" applyAlignment="1">
      <alignment horizontal="center" vertical="center" wrapText="1"/>
    </xf>
    <xf numFmtId="165" fontId="3" fillId="6" borderId="13" xfId="0" applyNumberFormat="1" applyFont="1" applyFill="1" applyBorder="1" applyAlignment="1">
      <alignment vertical="center" wrapText="1"/>
    </xf>
    <xf numFmtId="165" fontId="3" fillId="6" borderId="13" xfId="0" applyNumberFormat="1" applyFont="1" applyFill="1" applyBorder="1" applyAlignment="1">
      <alignment horizontal="center" vertical="center" wrapText="1"/>
    </xf>
    <xf numFmtId="0" fontId="3" fillId="0" borderId="13" xfId="0" applyNumberFormat="1" applyFont="1" applyBorder="1" applyAlignment="1">
      <alignment horizontal="left" vertical="center"/>
    </xf>
    <xf numFmtId="165" fontId="3" fillId="7" borderId="13" xfId="0" applyNumberFormat="1" applyFont="1" applyFill="1" applyBorder="1" applyAlignment="1">
      <alignment vertical="center" wrapText="1"/>
    </xf>
    <xf numFmtId="0" fontId="3" fillId="7" borderId="15" xfId="0" applyNumberFormat="1" applyFont="1" applyFill="1" applyBorder="1" applyAlignment="1">
      <alignment vertical="center"/>
    </xf>
    <xf numFmtId="0" fontId="2" fillId="0" borderId="13" xfId="0" applyNumberFormat="1" applyFont="1" applyBorder="1" applyAlignment="1" applyProtection="1">
      <alignment horizontal="center" vertical="center"/>
      <protection locked="0"/>
    </xf>
    <xf numFmtId="0" fontId="3" fillId="10" borderId="13" xfId="0" applyNumberFormat="1" applyFont="1" applyFill="1" applyBorder="1" applyAlignment="1">
      <alignment horizontal="left" vertical="center"/>
    </xf>
    <xf numFmtId="168" fontId="3" fillId="10" borderId="13" xfId="0" applyFont="1" applyFill="1" applyBorder="1" applyAlignment="1">
      <alignment horizontal="justify" vertical="center" wrapText="1"/>
    </xf>
    <xf numFmtId="165" fontId="3" fillId="0" borderId="13" xfId="5" applyFont="1" applyFill="1" applyBorder="1" applyAlignment="1">
      <alignment horizontal="justify" vertical="center"/>
    </xf>
    <xf numFmtId="165" fontId="2" fillId="0" borderId="16" xfId="8" applyFont="1" applyFill="1" applyBorder="1" applyAlignment="1">
      <alignment vertical="center"/>
    </xf>
    <xf numFmtId="168" fontId="2" fillId="0" borderId="13" xfId="0" applyFont="1" applyFill="1" applyBorder="1"/>
    <xf numFmtId="0" fontId="3" fillId="0" borderId="13" xfId="0" applyNumberFormat="1" applyFont="1" applyFill="1" applyBorder="1" applyAlignment="1">
      <alignment horizontal="center" vertical="center" wrapText="1"/>
    </xf>
    <xf numFmtId="165" fontId="2" fillId="0" borderId="13" xfId="0" applyNumberFormat="1" applyFont="1" applyFill="1" applyBorder="1" applyAlignment="1">
      <alignment vertical="center"/>
    </xf>
    <xf numFmtId="165" fontId="2" fillId="0" borderId="13" xfId="0" applyNumberFormat="1" applyFont="1" applyFill="1" applyBorder="1" applyAlignment="1">
      <alignment horizontal="justify" vertical="center"/>
    </xf>
    <xf numFmtId="165" fontId="2" fillId="0" borderId="13"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xf>
    <xf numFmtId="0" fontId="2" fillId="0" borderId="13" xfId="7" applyFont="1" applyFill="1" applyBorder="1" applyAlignment="1">
      <alignment horizontal="center" vertical="center"/>
    </xf>
    <xf numFmtId="165" fontId="2" fillId="0" borderId="13" xfId="0" applyNumberFormat="1" applyFont="1" applyFill="1" applyBorder="1" applyAlignment="1">
      <alignment horizontal="justify" vertical="center" wrapText="1"/>
    </xf>
    <xf numFmtId="165" fontId="2" fillId="0" borderId="15" xfId="0" applyNumberFormat="1" applyFont="1" applyFill="1" applyBorder="1" applyAlignment="1">
      <alignment horizontal="justify" vertical="center" wrapText="1"/>
    </xf>
    <xf numFmtId="165" fontId="2" fillId="0" borderId="13" xfId="5" applyFont="1" applyFill="1" applyBorder="1" applyAlignment="1">
      <alignment horizontal="justify" vertical="center" wrapText="1"/>
    </xf>
    <xf numFmtId="165" fontId="2" fillId="0" borderId="13" xfId="0" applyNumberFormat="1" applyFont="1" applyFill="1" applyBorder="1" applyAlignment="1">
      <alignment horizontal="right" vertical="center"/>
    </xf>
    <xf numFmtId="165" fontId="2" fillId="0" borderId="16" xfId="0" applyNumberFormat="1" applyFont="1" applyFill="1" applyBorder="1" applyAlignment="1">
      <alignment horizontal="justify" vertical="center" wrapText="1"/>
    </xf>
    <xf numFmtId="168" fontId="2" fillId="0" borderId="13" xfId="0" applyFont="1" applyFill="1" applyBorder="1" applyAlignment="1">
      <alignment horizontal="left" vertical="center" wrapText="1"/>
    </xf>
    <xf numFmtId="168" fontId="2" fillId="0" borderId="0" xfId="0" applyFont="1" applyFill="1" applyAlignment="1">
      <alignment horizontal="left" vertical="center" wrapText="1"/>
    </xf>
    <xf numFmtId="0" fontId="3" fillId="0" borderId="13" xfId="0" applyNumberFormat="1" applyFont="1" applyFill="1" applyBorder="1" applyAlignment="1">
      <alignment horizontal="left" vertical="center"/>
    </xf>
    <xf numFmtId="43" fontId="2" fillId="0" borderId="13" xfId="0" applyNumberFormat="1" applyFont="1" applyFill="1" applyBorder="1" applyAlignment="1">
      <alignment vertical="center"/>
    </xf>
    <xf numFmtId="0" fontId="3" fillId="0" borderId="13" xfId="0" applyNumberFormat="1" applyFont="1" applyFill="1" applyBorder="1" applyAlignment="1">
      <alignment horizontal="center" vertical="center"/>
    </xf>
    <xf numFmtId="168" fontId="2" fillId="11" borderId="3" xfId="0" applyFont="1" applyFill="1" applyBorder="1" applyAlignment="1">
      <alignment horizontal="justify" vertical="center" wrapText="1"/>
    </xf>
    <xf numFmtId="168" fontId="3" fillId="0" borderId="13" xfId="0" applyFont="1" applyFill="1" applyBorder="1" applyAlignment="1">
      <alignment horizontal="justify" vertical="center" wrapText="1"/>
    </xf>
    <xf numFmtId="0" fontId="3" fillId="18" borderId="35" xfId="0" applyNumberFormat="1" applyFont="1" applyFill="1" applyBorder="1" applyAlignment="1">
      <alignment horizontal="left" vertical="center"/>
    </xf>
    <xf numFmtId="0" fontId="3" fillId="18" borderId="36" xfId="0" applyNumberFormat="1" applyFont="1" applyFill="1" applyBorder="1" applyAlignment="1">
      <alignment horizontal="center" vertical="center"/>
    </xf>
    <xf numFmtId="0" fontId="2" fillId="18" borderId="36" xfId="0" applyNumberFormat="1" applyFont="1" applyFill="1" applyBorder="1" applyAlignment="1">
      <alignment horizontal="center" vertical="center"/>
    </xf>
    <xf numFmtId="168" fontId="2" fillId="18" borderId="36" xfId="0" applyFont="1" applyFill="1" applyBorder="1" applyAlignment="1">
      <alignment horizontal="center"/>
    </xf>
    <xf numFmtId="168" fontId="3" fillId="18" borderId="37" xfId="0" applyFont="1" applyFill="1" applyBorder="1" applyAlignment="1">
      <alignment horizontal="center" vertical="center"/>
    </xf>
    <xf numFmtId="0" fontId="3" fillId="9" borderId="31" xfId="0" applyNumberFormat="1" applyFont="1" applyFill="1" applyBorder="1" applyAlignment="1">
      <alignment horizontal="left" vertical="center" wrapText="1"/>
    </xf>
    <xf numFmtId="0" fontId="3" fillId="9" borderId="31" xfId="0" applyNumberFormat="1" applyFont="1" applyFill="1" applyBorder="1" applyAlignment="1">
      <alignment horizontal="center" vertical="center" wrapText="1"/>
    </xf>
    <xf numFmtId="0" fontId="3" fillId="9" borderId="31" xfId="0" applyNumberFormat="1" applyFont="1" applyFill="1" applyBorder="1" applyAlignment="1">
      <alignment horizontal="justify" vertical="center" wrapText="1"/>
    </xf>
    <xf numFmtId="168" fontId="3" fillId="9" borderId="31" xfId="0" applyFont="1" applyFill="1" applyBorder="1" applyAlignment="1">
      <alignment horizontal="justify" vertical="center" wrapText="1"/>
    </xf>
    <xf numFmtId="168" fontId="3" fillId="9" borderId="31" xfId="0" applyFont="1" applyFill="1" applyBorder="1" applyAlignment="1">
      <alignment horizontal="center" vertical="center" wrapText="1"/>
    </xf>
    <xf numFmtId="168" fontId="3" fillId="9" borderId="31" xfId="0" applyFont="1" applyFill="1" applyBorder="1" applyAlignment="1">
      <alignment horizontal="center" vertical="center"/>
    </xf>
    <xf numFmtId="165" fontId="3" fillId="9" borderId="31" xfId="0" applyNumberFormat="1" applyFont="1" applyFill="1" applyBorder="1" applyAlignment="1">
      <alignment vertical="center"/>
    </xf>
    <xf numFmtId="165" fontId="3" fillId="9" borderId="20" xfId="0" applyNumberFormat="1" applyFont="1" applyFill="1" applyBorder="1" applyAlignment="1">
      <alignment vertical="center"/>
    </xf>
    <xf numFmtId="165" fontId="3" fillId="15" borderId="20" xfId="0" applyNumberFormat="1" applyFont="1" applyFill="1" applyBorder="1" applyAlignment="1">
      <alignment vertical="center"/>
    </xf>
    <xf numFmtId="165" fontId="3" fillId="15" borderId="38" xfId="0" applyNumberFormat="1" applyFont="1" applyFill="1" applyBorder="1" applyAlignment="1">
      <alignment horizontal="center" vertical="center"/>
    </xf>
    <xf numFmtId="165" fontId="3" fillId="7" borderId="38" xfId="8" applyFont="1" applyFill="1" applyBorder="1" applyAlignment="1">
      <alignment horizontal="center" vertical="center"/>
    </xf>
    <xf numFmtId="0" fontId="2" fillId="2" borderId="3" xfId="7" applyFont="1" applyFill="1" applyBorder="1" applyAlignment="1">
      <alignment horizontal="center" vertical="center" wrapText="1"/>
    </xf>
    <xf numFmtId="0" fontId="3" fillId="4" borderId="35" xfId="0" applyNumberFormat="1" applyFont="1" applyFill="1" applyBorder="1" applyAlignment="1">
      <alignment horizontal="left" vertical="center"/>
    </xf>
    <xf numFmtId="0" fontId="3" fillId="4" borderId="36" xfId="0" applyNumberFormat="1" applyFont="1" applyFill="1" applyBorder="1" applyAlignment="1">
      <alignment horizontal="center" vertical="center"/>
    </xf>
    <xf numFmtId="168" fontId="3" fillId="4" borderId="36" xfId="0" applyFont="1" applyFill="1" applyBorder="1" applyAlignment="1">
      <alignment horizontal="center"/>
    </xf>
    <xf numFmtId="168" fontId="2" fillId="0" borderId="0" xfId="0" applyFont="1" applyFill="1" applyAlignment="1">
      <alignment horizontal="center"/>
    </xf>
    <xf numFmtId="168" fontId="6" fillId="0" borderId="0" xfId="0" applyFont="1" applyAlignment="1">
      <alignment horizontal="center"/>
    </xf>
    <xf numFmtId="4" fontId="6" fillId="0" borderId="0" xfId="0" applyNumberFormat="1" applyFont="1" applyAlignment="1">
      <alignment horizontal="center"/>
    </xf>
    <xf numFmtId="168" fontId="6" fillId="0" borderId="0" xfId="0" applyFont="1" applyAlignment="1">
      <alignment wrapText="1"/>
    </xf>
    <xf numFmtId="168" fontId="6" fillId="0" borderId="0" xfId="0" applyFont="1" applyAlignment="1">
      <alignment horizontal="center" vertical="center"/>
    </xf>
    <xf numFmtId="0" fontId="13" fillId="5" borderId="40" xfId="0" applyNumberFormat="1" applyFont="1" applyFill="1" applyBorder="1" applyAlignment="1">
      <alignment horizontal="center" vertical="center"/>
    </xf>
    <xf numFmtId="0" fontId="13" fillId="5" borderId="40" xfId="0" applyNumberFormat="1" applyFont="1" applyFill="1" applyBorder="1" applyAlignment="1">
      <alignment horizontal="left" vertical="center"/>
    </xf>
    <xf numFmtId="0" fontId="13" fillId="5" borderId="13" xfId="0" applyNumberFormat="1" applyFont="1" applyFill="1" applyBorder="1" applyAlignment="1">
      <alignment horizontal="justify" vertical="center" wrapText="1"/>
    </xf>
    <xf numFmtId="165" fontId="13" fillId="5" borderId="13" xfId="0" applyNumberFormat="1" applyFont="1" applyFill="1" applyBorder="1" applyAlignment="1">
      <alignment horizontal="left" vertical="center"/>
    </xf>
    <xf numFmtId="165" fontId="13" fillId="5" borderId="13" xfId="0" applyNumberFormat="1" applyFont="1" applyFill="1" applyBorder="1" applyAlignment="1">
      <alignment horizontal="center" vertical="center"/>
    </xf>
    <xf numFmtId="0" fontId="30" fillId="5" borderId="13" xfId="0" applyNumberFormat="1" applyFont="1" applyFill="1" applyBorder="1" applyAlignment="1">
      <alignment horizontal="center" vertical="center"/>
    </xf>
    <xf numFmtId="0" fontId="13" fillId="5" borderId="13" xfId="0" applyNumberFormat="1" applyFont="1" applyFill="1" applyBorder="1" applyAlignment="1">
      <alignment horizontal="center" vertical="center" wrapText="1"/>
    </xf>
    <xf numFmtId="168" fontId="13" fillId="5" borderId="13" xfId="0" applyFont="1" applyFill="1" applyBorder="1" applyAlignment="1">
      <alignment horizontal="justify" vertical="center" wrapText="1"/>
    </xf>
    <xf numFmtId="168" fontId="30" fillId="5" borderId="13" xfId="0" applyFont="1" applyFill="1" applyBorder="1" applyAlignment="1">
      <alignment horizontal="center" vertical="center"/>
    </xf>
    <xf numFmtId="168" fontId="30" fillId="2" borderId="0" xfId="0" applyFont="1" applyFill="1"/>
    <xf numFmtId="168" fontId="30" fillId="0" borderId="0" xfId="0" applyFont="1"/>
    <xf numFmtId="0" fontId="3" fillId="6" borderId="18" xfId="0" applyNumberFormat="1" applyFont="1" applyFill="1" applyBorder="1" applyAlignment="1">
      <alignment vertical="center"/>
    </xf>
    <xf numFmtId="0" fontId="3" fillId="16" borderId="16" xfId="0" applyNumberFormat="1" applyFont="1" applyFill="1" applyBorder="1" applyAlignment="1">
      <alignment horizontal="left" vertical="center"/>
    </xf>
    <xf numFmtId="168" fontId="13" fillId="5" borderId="40" xfId="0" applyFont="1" applyFill="1" applyBorder="1" applyAlignment="1">
      <alignment horizontal="center" vertical="center"/>
    </xf>
    <xf numFmtId="0" fontId="13" fillId="5" borderId="40" xfId="0" applyNumberFormat="1" applyFont="1" applyFill="1" applyBorder="1" applyAlignment="1">
      <alignment horizontal="justify" vertical="center" wrapText="1"/>
    </xf>
    <xf numFmtId="0" fontId="30" fillId="5" borderId="40" xfId="0" applyNumberFormat="1" applyFont="1" applyFill="1" applyBorder="1" applyAlignment="1">
      <alignment horizontal="center" vertical="center"/>
    </xf>
    <xf numFmtId="0" fontId="13" fillId="5" borderId="40" xfId="0" applyNumberFormat="1" applyFont="1" applyFill="1" applyBorder="1" applyAlignment="1">
      <alignment horizontal="center" vertical="center" wrapText="1"/>
    </xf>
    <xf numFmtId="168" fontId="13" fillId="5" borderId="40" xfId="0" applyFont="1" applyFill="1" applyBorder="1" applyAlignment="1">
      <alignment horizontal="justify" vertical="center" wrapText="1"/>
    </xf>
    <xf numFmtId="168" fontId="30" fillId="5" borderId="40" xfId="0" applyFont="1" applyFill="1" applyBorder="1" applyAlignment="1">
      <alignment horizontal="center" vertical="center"/>
    </xf>
    <xf numFmtId="165" fontId="13" fillId="5" borderId="40" xfId="0" applyNumberFormat="1" applyFont="1" applyFill="1" applyBorder="1" applyAlignment="1">
      <alignment horizontal="left" vertical="center"/>
    </xf>
    <xf numFmtId="165" fontId="13" fillId="5" borderId="40" xfId="0" applyNumberFormat="1" applyFont="1" applyFill="1" applyBorder="1" applyAlignment="1">
      <alignment horizontal="center" vertical="center"/>
    </xf>
    <xf numFmtId="168" fontId="13" fillId="2" borderId="0" xfId="0" applyFont="1" applyFill="1" applyAlignment="1">
      <alignment vertical="center"/>
    </xf>
    <xf numFmtId="168" fontId="13" fillId="0" borderId="0" xfId="0" applyFont="1" applyAlignment="1">
      <alignment vertical="center"/>
    </xf>
    <xf numFmtId="165" fontId="13" fillId="5" borderId="13" xfId="8" applyFont="1" applyFill="1" applyBorder="1" applyAlignment="1">
      <alignment horizontal="center" vertical="center"/>
    </xf>
    <xf numFmtId="0" fontId="3" fillId="49" borderId="13" xfId="0" applyNumberFormat="1" applyFont="1" applyFill="1" applyBorder="1" applyAlignment="1">
      <alignment horizontal="center" vertical="center" wrapText="1"/>
    </xf>
    <xf numFmtId="0" fontId="2" fillId="0" borderId="17" xfId="7"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2" fillId="0" borderId="32" xfId="0" applyNumberFormat="1" applyFont="1" applyFill="1" applyBorder="1" applyAlignment="1">
      <alignment horizontal="center" vertical="center"/>
    </xf>
    <xf numFmtId="49" fontId="2" fillId="0" borderId="33" xfId="0" applyNumberFormat="1" applyFont="1" applyFill="1" applyBorder="1" applyAlignment="1">
      <alignment horizontal="center" vertical="center"/>
    </xf>
    <xf numFmtId="0" fontId="2" fillId="0" borderId="31" xfId="0" applyNumberFormat="1" applyFont="1" applyFill="1" applyBorder="1" applyAlignment="1" applyProtection="1">
      <alignment horizontal="justify" vertical="center" wrapText="1"/>
      <protection locked="0"/>
    </xf>
    <xf numFmtId="49" fontId="2" fillId="0" borderId="34" xfId="0" applyNumberFormat="1" applyFont="1" applyFill="1" applyBorder="1" applyAlignment="1">
      <alignment horizontal="center" vertical="center"/>
    </xf>
    <xf numFmtId="0" fontId="2" fillId="0" borderId="13" xfId="7" applyNumberFormat="1" applyFont="1" applyFill="1" applyBorder="1" applyAlignment="1">
      <alignment horizontal="center" vertical="center" wrapText="1"/>
    </xf>
    <xf numFmtId="170" fontId="2" fillId="0" borderId="15" xfId="5" applyNumberFormat="1" applyFont="1" applyFill="1" applyBorder="1" applyAlignment="1">
      <alignment horizontal="center" vertical="center" wrapText="1"/>
    </xf>
    <xf numFmtId="0" fontId="2" fillId="0" borderId="13" xfId="7" applyFont="1" applyFill="1" applyBorder="1" applyAlignment="1">
      <alignment horizontal="justify" vertical="center"/>
    </xf>
    <xf numFmtId="168" fontId="13" fillId="5" borderId="0" xfId="0" applyFont="1" applyFill="1"/>
    <xf numFmtId="168" fontId="13" fillId="5" borderId="0" xfId="0" applyFont="1" applyFill="1" applyAlignment="1">
      <alignment horizontal="center"/>
    </xf>
    <xf numFmtId="176" fontId="13" fillId="5" borderId="13" xfId="4" applyNumberFormat="1" applyFont="1" applyFill="1" applyBorder="1" applyAlignment="1">
      <alignment vertical="center"/>
    </xf>
    <xf numFmtId="0" fontId="2" fillId="50" borderId="13" xfId="0" applyNumberFormat="1" applyFont="1" applyFill="1" applyBorder="1" applyAlignment="1">
      <alignment horizontal="center" vertical="center" wrapText="1"/>
    </xf>
    <xf numFmtId="0" fontId="2" fillId="50" borderId="13" xfId="0" applyNumberFormat="1" applyFont="1" applyFill="1" applyBorder="1" applyAlignment="1">
      <alignment vertical="center"/>
    </xf>
    <xf numFmtId="176" fontId="2" fillId="50" borderId="13" xfId="4" applyNumberFormat="1" applyFont="1" applyFill="1" applyBorder="1" applyAlignment="1">
      <alignment vertical="center"/>
    </xf>
    <xf numFmtId="176" fontId="3" fillId="6" borderId="13" xfId="4" applyNumberFormat="1" applyFont="1" applyFill="1" applyBorder="1" applyAlignment="1">
      <alignment vertical="center"/>
    </xf>
    <xf numFmtId="0" fontId="2" fillId="50" borderId="13" xfId="0" applyNumberFormat="1" applyFont="1" applyFill="1" applyBorder="1" applyAlignment="1">
      <alignment vertical="center" wrapText="1"/>
    </xf>
    <xf numFmtId="0" fontId="2" fillId="50" borderId="13" xfId="0" applyNumberFormat="1" applyFont="1" applyFill="1" applyBorder="1" applyAlignment="1">
      <alignment horizontal="justify" vertical="center" wrapText="1"/>
    </xf>
    <xf numFmtId="0" fontId="2" fillId="50" borderId="13" xfId="0" applyNumberFormat="1" applyFont="1" applyFill="1" applyBorder="1" applyAlignment="1">
      <alignment horizontal="justify" vertical="center"/>
    </xf>
    <xf numFmtId="176" fontId="3" fillId="4" borderId="13" xfId="4" applyNumberFormat="1" applyFont="1" applyFill="1" applyBorder="1" applyAlignment="1">
      <alignment vertical="center"/>
    </xf>
    <xf numFmtId="0" fontId="2" fillId="0" borderId="16" xfId="0" applyNumberFormat="1" applyFont="1" applyFill="1" applyBorder="1" applyAlignment="1">
      <alignment horizontal="center" vertical="center" wrapText="1"/>
    </xf>
    <xf numFmtId="43" fontId="2" fillId="0" borderId="13" xfId="1" applyFont="1" applyFill="1" applyBorder="1"/>
    <xf numFmtId="43" fontId="2" fillId="0" borderId="13" xfId="1" applyFont="1" applyFill="1" applyBorder="1" applyAlignment="1">
      <alignment vertical="center" wrapText="1"/>
    </xf>
    <xf numFmtId="4" fontId="2" fillId="0" borderId="15" xfId="0" applyNumberFormat="1" applyFont="1" applyFill="1" applyBorder="1" applyAlignment="1">
      <alignment vertical="center"/>
    </xf>
    <xf numFmtId="3" fontId="6" fillId="0" borderId="59" xfId="0" applyNumberFormat="1" applyFont="1" applyFill="1" applyBorder="1" applyAlignment="1">
      <alignment horizontal="right" vertical="center" wrapText="1"/>
    </xf>
    <xf numFmtId="0" fontId="3" fillId="7" borderId="31" xfId="0" applyNumberFormat="1" applyFont="1" applyFill="1" applyBorder="1" applyAlignment="1">
      <alignment horizontal="center" vertical="center" wrapText="1"/>
    </xf>
    <xf numFmtId="165" fontId="3" fillId="7" borderId="31" xfId="8" applyFont="1" applyFill="1" applyBorder="1" applyAlignment="1">
      <alignment horizontal="center" vertical="center"/>
    </xf>
    <xf numFmtId="0" fontId="2" fillId="0" borderId="3" xfId="9" applyNumberFormat="1" applyFont="1" applyFill="1" applyBorder="1" applyAlignment="1">
      <alignment horizontal="center" vertical="center" wrapText="1"/>
    </xf>
    <xf numFmtId="0" fontId="2" fillId="2" borderId="17" xfId="6" applyNumberFormat="1" applyFont="1" applyFill="1" applyBorder="1" applyAlignment="1">
      <alignment horizontal="center" vertical="center" wrapText="1"/>
    </xf>
    <xf numFmtId="49" fontId="2" fillId="0" borderId="60"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2" fillId="2" borderId="18" xfId="0" applyNumberFormat="1" applyFont="1" applyFill="1" applyBorder="1" applyAlignment="1">
      <alignment horizontal="justify" vertical="center" wrapText="1"/>
    </xf>
    <xf numFmtId="0" fontId="2" fillId="2" borderId="15" xfId="0" applyNumberFormat="1" applyFont="1" applyFill="1" applyBorder="1" applyAlignment="1" applyProtection="1">
      <alignment horizontal="justify" vertical="center" wrapText="1"/>
      <protection locked="0"/>
    </xf>
    <xf numFmtId="0" fontId="2" fillId="2" borderId="15" xfId="0" applyNumberFormat="1" applyFont="1" applyFill="1" applyBorder="1" applyAlignment="1">
      <alignment horizontal="justify" vertical="center" wrapText="1"/>
    </xf>
    <xf numFmtId="0" fontId="3" fillId="5" borderId="2" xfId="0" applyNumberFormat="1" applyFont="1" applyFill="1" applyBorder="1" applyAlignment="1">
      <alignment horizontal="center" vertical="center" wrapText="1"/>
    </xf>
    <xf numFmtId="168" fontId="2" fillId="5" borderId="2" xfId="0" applyFont="1" applyFill="1" applyBorder="1" applyAlignment="1">
      <alignment horizontal="justify" vertical="center" wrapText="1"/>
    </xf>
    <xf numFmtId="0" fontId="3" fillId="6" borderId="15" xfId="0" applyNumberFormat="1" applyFont="1" applyFill="1" applyBorder="1" applyAlignment="1">
      <alignment horizontal="center" vertical="center" wrapText="1"/>
    </xf>
    <xf numFmtId="0" fontId="3" fillId="6" borderId="15" xfId="0" applyNumberFormat="1" applyFont="1" applyFill="1" applyBorder="1" applyAlignment="1">
      <alignment vertical="center" wrapText="1"/>
    </xf>
    <xf numFmtId="0" fontId="3" fillId="6" borderId="18" xfId="0" applyNumberFormat="1" applyFont="1" applyFill="1" applyBorder="1" applyAlignment="1">
      <alignment vertical="center" wrapText="1"/>
    </xf>
    <xf numFmtId="168" fontId="30" fillId="5" borderId="19" xfId="0" applyFont="1" applyFill="1" applyBorder="1" applyAlignment="1">
      <alignment horizontal="center" vertical="center"/>
    </xf>
    <xf numFmtId="0" fontId="13" fillId="5" borderId="19" xfId="0" applyNumberFormat="1" applyFont="1" applyFill="1" applyBorder="1" applyAlignment="1">
      <alignment horizontal="center" vertical="center" wrapText="1"/>
    </xf>
    <xf numFmtId="165" fontId="13" fillId="5" borderId="19" xfId="0" applyNumberFormat="1" applyFont="1" applyFill="1" applyBorder="1" applyAlignment="1">
      <alignment horizontal="center" vertical="center"/>
    </xf>
    <xf numFmtId="0" fontId="2" fillId="0" borderId="0" xfId="0" applyNumberFormat="1" applyFont="1" applyFill="1" applyBorder="1" applyAlignment="1">
      <alignment horizontal="center" vertical="center" wrapText="1"/>
    </xf>
    <xf numFmtId="0" fontId="2" fillId="0" borderId="31" xfId="0" applyNumberFormat="1" applyFont="1" applyFill="1" applyBorder="1" applyAlignment="1">
      <alignment horizontal="center" vertical="center" wrapText="1"/>
    </xf>
    <xf numFmtId="0" fontId="2" fillId="0" borderId="17" xfId="0" applyNumberFormat="1" applyFont="1" applyFill="1" applyBorder="1" applyAlignment="1">
      <alignment horizontal="center" vertical="center" wrapText="1"/>
    </xf>
    <xf numFmtId="0" fontId="13" fillId="5" borderId="19" xfId="0" applyNumberFormat="1" applyFont="1" applyFill="1" applyBorder="1" applyAlignment="1">
      <alignment horizontal="justify" vertical="center" wrapText="1"/>
    </xf>
    <xf numFmtId="0" fontId="2" fillId="0" borderId="13" xfId="0" applyNumberFormat="1" applyFont="1" applyFill="1" applyBorder="1" applyAlignment="1" applyProtection="1">
      <alignment horizontal="center" vertical="center" wrapText="1"/>
      <protection locked="0"/>
    </xf>
    <xf numFmtId="0" fontId="2" fillId="0" borderId="19" xfId="0" applyNumberFormat="1" applyFont="1" applyFill="1" applyBorder="1" applyAlignment="1">
      <alignment horizontal="center" vertical="center" wrapText="1"/>
    </xf>
    <xf numFmtId="0" fontId="2" fillId="0" borderId="24" xfId="0" applyNumberFormat="1" applyFont="1" applyFill="1" applyBorder="1" applyAlignment="1">
      <alignment horizontal="justify" vertical="center" wrapText="1"/>
    </xf>
    <xf numFmtId="0" fontId="2" fillId="2" borderId="24" xfId="0" applyNumberFormat="1" applyFont="1" applyFill="1" applyBorder="1" applyAlignment="1" applyProtection="1">
      <alignment horizontal="justify" vertical="center" wrapText="1"/>
      <protection locked="0"/>
    </xf>
    <xf numFmtId="0" fontId="2" fillId="0" borderId="3" xfId="7" applyFont="1" applyFill="1" applyBorder="1" applyAlignment="1">
      <alignment horizontal="center" vertical="center" wrapText="1"/>
    </xf>
    <xf numFmtId="49" fontId="2" fillId="0" borderId="13" xfId="7" applyNumberFormat="1" applyFont="1" applyFill="1" applyBorder="1" applyAlignment="1">
      <alignment horizontal="justify" vertical="center" wrapText="1"/>
    </xf>
    <xf numFmtId="0" fontId="4" fillId="0" borderId="0" xfId="0" applyNumberFormat="1" applyFont="1" applyFill="1" applyBorder="1" applyAlignment="1">
      <alignment horizontal="center" vertical="center" wrapText="1"/>
    </xf>
    <xf numFmtId="168" fontId="4" fillId="0" borderId="26" xfId="0" applyFont="1" applyFill="1" applyBorder="1" applyAlignment="1">
      <alignment horizontal="center" vertical="center" wrapText="1"/>
    </xf>
    <xf numFmtId="168" fontId="4" fillId="0" borderId="0" xfId="0" applyFont="1" applyFill="1" applyBorder="1" applyAlignment="1">
      <alignment horizontal="center" vertical="center" wrapText="1"/>
    </xf>
    <xf numFmtId="170" fontId="4" fillId="0" borderId="0" xfId="5" applyNumberFormat="1" applyFont="1" applyFill="1" applyBorder="1" applyAlignment="1">
      <alignment horizontal="center" vertical="center" wrapText="1"/>
    </xf>
    <xf numFmtId="168" fontId="4" fillId="0" borderId="0" xfId="0" applyFont="1" applyFill="1" applyAlignment="1">
      <alignment horizontal="center" vertical="center"/>
    </xf>
    <xf numFmtId="168" fontId="2" fillId="0" borderId="17" xfId="0" applyFont="1" applyBorder="1" applyAlignment="1">
      <alignment horizontal="center" vertical="center" wrapText="1"/>
    </xf>
    <xf numFmtId="168" fontId="2" fillId="0" borderId="23" xfId="0" applyFont="1" applyBorder="1" applyAlignment="1">
      <alignment horizontal="center" vertical="center" wrapText="1"/>
    </xf>
    <xf numFmtId="168" fontId="2" fillId="0" borderId="19" xfId="0" applyFont="1" applyBorder="1" applyAlignment="1">
      <alignment horizontal="center" vertical="center" wrapText="1"/>
    </xf>
    <xf numFmtId="0" fontId="3" fillId="0" borderId="23" xfId="0" applyNumberFormat="1" applyFont="1" applyBorder="1" applyAlignment="1">
      <alignment horizontal="left" vertical="center" wrapText="1"/>
    </xf>
    <xf numFmtId="168" fontId="3" fillId="0" borderId="29" xfId="0" applyFont="1" applyBorder="1" applyAlignment="1">
      <alignment vertical="center"/>
    </xf>
    <xf numFmtId="0" fontId="3" fillId="0" borderId="22" xfId="0" applyNumberFormat="1" applyFont="1" applyFill="1" applyBorder="1" applyAlignment="1">
      <alignment horizontal="left" vertical="center" wrapText="1"/>
    </xf>
    <xf numFmtId="168" fontId="3" fillId="0" borderId="62" xfId="0" applyFont="1" applyBorder="1" applyAlignment="1">
      <alignment vertical="center"/>
    </xf>
    <xf numFmtId="0" fontId="3" fillId="0" borderId="63" xfId="0" applyNumberFormat="1" applyFont="1" applyBorder="1" applyAlignment="1">
      <alignment horizontal="left" vertical="center" wrapText="1"/>
    </xf>
    <xf numFmtId="168" fontId="2" fillId="0" borderId="62" xfId="0" applyFont="1" applyBorder="1"/>
    <xf numFmtId="168" fontId="2" fillId="0" borderId="25" xfId="0" applyFont="1" applyBorder="1"/>
    <xf numFmtId="0" fontId="3" fillId="0" borderId="27" xfId="0" applyNumberFormat="1" applyFont="1" applyBorder="1" applyAlignment="1">
      <alignment horizontal="left" vertical="center" wrapText="1"/>
    </xf>
    <xf numFmtId="0" fontId="3" fillId="6" borderId="17" xfId="0" applyNumberFormat="1" applyFont="1" applyFill="1" applyBorder="1" applyAlignment="1">
      <alignment horizontal="center" vertical="center" wrapText="1"/>
    </xf>
    <xf numFmtId="0" fontId="3" fillId="0" borderId="61" xfId="0" applyNumberFormat="1" applyFont="1" applyFill="1" applyBorder="1" applyAlignment="1">
      <alignment horizontal="left" vertical="center" wrapText="1"/>
    </xf>
    <xf numFmtId="0" fontId="3" fillId="0" borderId="64" xfId="0" applyNumberFormat="1" applyFont="1" applyBorder="1" applyAlignment="1">
      <alignment horizontal="left" vertical="center" wrapText="1"/>
    </xf>
    <xf numFmtId="0" fontId="3" fillId="0" borderId="12" xfId="0" applyNumberFormat="1" applyFont="1" applyBorder="1" applyAlignment="1">
      <alignment horizontal="left" vertical="center" wrapText="1"/>
    </xf>
    <xf numFmtId="168" fontId="54" fillId="12" borderId="67" xfId="0" applyFont="1" applyFill="1" applyBorder="1" applyAlignment="1">
      <alignment horizontal="center" vertical="center" wrapText="1"/>
    </xf>
    <xf numFmtId="168" fontId="54" fillId="0" borderId="67" xfId="0" applyFont="1" applyBorder="1" applyAlignment="1">
      <alignment horizontal="center" vertical="center" wrapText="1"/>
    </xf>
    <xf numFmtId="168" fontId="6" fillId="0" borderId="67" xfId="0" applyFont="1" applyBorder="1" applyAlignment="1">
      <alignment horizontal="center" vertical="center" wrapText="1"/>
    </xf>
    <xf numFmtId="168" fontId="54" fillId="12" borderId="67" xfId="0" applyFont="1" applyFill="1" applyBorder="1" applyAlignment="1">
      <alignment horizontal="center" vertical="center"/>
    </xf>
    <xf numFmtId="168" fontId="54" fillId="0" borderId="67" xfId="0" applyFont="1" applyBorder="1" applyAlignment="1">
      <alignment horizontal="center" vertical="center"/>
    </xf>
    <xf numFmtId="168" fontId="6" fillId="0" borderId="67" xfId="0" applyFont="1" applyBorder="1" applyAlignment="1">
      <alignment horizontal="center" vertical="center"/>
    </xf>
    <xf numFmtId="1" fontId="54" fillId="12" borderId="67" xfId="0" applyNumberFormat="1" applyFont="1" applyFill="1" applyBorder="1" applyAlignment="1">
      <alignment horizontal="center" vertical="center"/>
    </xf>
    <xf numFmtId="168" fontId="54" fillId="0" borderId="66" xfId="0" applyFont="1" applyBorder="1" applyAlignment="1">
      <alignment horizontal="justify" vertical="center" wrapText="1"/>
    </xf>
    <xf numFmtId="168" fontId="6" fillId="0" borderId="66" xfId="0" applyFont="1" applyBorder="1" applyAlignment="1">
      <alignment horizontal="justify" vertical="center" wrapText="1"/>
    </xf>
    <xf numFmtId="168" fontId="54" fillId="12" borderId="66" xfId="0" applyFont="1" applyFill="1" applyBorder="1" applyAlignment="1">
      <alignment horizontal="justify" vertical="center" wrapText="1"/>
    </xf>
    <xf numFmtId="0" fontId="6" fillId="0" borderId="66" xfId="0" applyNumberFormat="1" applyFont="1" applyBorder="1" applyAlignment="1">
      <alignment horizontal="justify" vertical="center" wrapText="1"/>
    </xf>
    <xf numFmtId="168" fontId="54" fillId="12" borderId="72" xfId="0" applyFont="1" applyFill="1" applyBorder="1" applyAlignment="1">
      <alignment horizontal="center" vertical="center"/>
    </xf>
    <xf numFmtId="168" fontId="54" fillId="0" borderId="0" xfId="0" applyFont="1" applyBorder="1" applyAlignment="1">
      <alignment horizontal="justify" vertical="center" wrapText="1"/>
    </xf>
    <xf numFmtId="168" fontId="13" fillId="5" borderId="65" xfId="0" applyFont="1" applyFill="1" applyBorder="1" applyAlignment="1">
      <alignment vertical="center"/>
    </xf>
    <xf numFmtId="168" fontId="6" fillId="0" borderId="65" xfId="0" applyFont="1" applyBorder="1" applyAlignment="1">
      <alignment vertical="center"/>
    </xf>
    <xf numFmtId="168" fontId="6" fillId="0" borderId="73" xfId="0" applyFont="1" applyBorder="1" applyAlignment="1">
      <alignment vertical="center"/>
    </xf>
    <xf numFmtId="168" fontId="3" fillId="4" borderId="37" xfId="0" applyFont="1" applyFill="1" applyBorder="1" applyAlignment="1">
      <alignment vertical="center"/>
    </xf>
    <xf numFmtId="168" fontId="6" fillId="0" borderId="0" xfId="0" applyFont="1" applyAlignment="1">
      <alignment vertical="center"/>
    </xf>
    <xf numFmtId="168" fontId="3" fillId="17" borderId="37" xfId="0" applyFont="1" applyFill="1" applyBorder="1" applyAlignment="1">
      <alignment vertical="center"/>
    </xf>
    <xf numFmtId="168" fontId="3" fillId="6" borderId="13" xfId="0" applyNumberFormat="1" applyFont="1" applyFill="1" applyBorder="1" applyAlignment="1">
      <alignment vertical="center"/>
    </xf>
    <xf numFmtId="0" fontId="3" fillId="16" borderId="13" xfId="0" applyNumberFormat="1" applyFont="1" applyFill="1" applyBorder="1" applyAlignment="1">
      <alignment vertical="center"/>
    </xf>
    <xf numFmtId="168" fontId="3" fillId="16" borderId="13" xfId="0" applyNumberFormat="1" applyFont="1" applyFill="1" applyBorder="1" applyAlignment="1">
      <alignment vertical="center"/>
    </xf>
    <xf numFmtId="168" fontId="3" fillId="0" borderId="13" xfId="0" applyFont="1" applyFill="1" applyBorder="1" applyAlignment="1">
      <alignment horizontal="left" vertical="center"/>
    </xf>
    <xf numFmtId="0" fontId="2" fillId="0" borderId="0" xfId="0" applyNumberFormat="1" applyFont="1" applyBorder="1" applyAlignment="1">
      <alignment horizontal="center" vertical="center"/>
    </xf>
    <xf numFmtId="168" fontId="2" fillId="0" borderId="0" xfId="0" applyFont="1" applyBorder="1" applyAlignment="1">
      <alignment horizontal="center"/>
    </xf>
    <xf numFmtId="0" fontId="3" fillId="16" borderId="15" xfId="0" applyNumberFormat="1" applyFont="1" applyFill="1" applyBorder="1" applyAlignment="1">
      <alignment horizontal="center" vertical="center" wrapText="1"/>
    </xf>
    <xf numFmtId="0" fontId="3" fillId="16" borderId="16" xfId="0" applyNumberFormat="1" applyFont="1" applyFill="1" applyBorder="1" applyAlignment="1">
      <alignment vertical="center"/>
    </xf>
    <xf numFmtId="0" fontId="3" fillId="16" borderId="24" xfId="0" applyNumberFormat="1" applyFont="1" applyFill="1" applyBorder="1" applyAlignment="1">
      <alignment horizontal="center" vertical="center" wrapText="1"/>
    </xf>
    <xf numFmtId="0" fontId="3" fillId="16" borderId="28" xfId="0" applyNumberFormat="1" applyFont="1" applyFill="1" applyBorder="1" applyAlignment="1">
      <alignment horizontal="center" vertical="center" wrapText="1"/>
    </xf>
    <xf numFmtId="0" fontId="3" fillId="6" borderId="13" xfId="0" applyNumberFormat="1" applyFont="1" applyFill="1" applyBorder="1" applyAlignment="1">
      <alignment horizontal="justify" vertical="center"/>
    </xf>
    <xf numFmtId="0" fontId="3" fillId="16" borderId="13" xfId="0" applyNumberFormat="1" applyFont="1" applyFill="1" applyBorder="1" applyAlignment="1">
      <alignment horizontal="justify" vertical="center"/>
    </xf>
    <xf numFmtId="168" fontId="6" fillId="0" borderId="13" xfId="0" applyFont="1" applyBorder="1"/>
    <xf numFmtId="168" fontId="6" fillId="0" borderId="13" xfId="0" applyFont="1" applyFill="1" applyBorder="1"/>
    <xf numFmtId="0" fontId="3" fillId="16" borderId="17" xfId="0" applyNumberFormat="1" applyFont="1" applyFill="1" applyBorder="1" applyAlignment="1">
      <alignment horizontal="left" vertical="center"/>
    </xf>
    <xf numFmtId="0" fontId="3" fillId="16" borderId="17" xfId="0" applyNumberFormat="1" applyFont="1" applyFill="1" applyBorder="1" applyAlignment="1">
      <alignment vertical="center"/>
    </xf>
    <xf numFmtId="0" fontId="3" fillId="9" borderId="13" xfId="0" applyNumberFormat="1" applyFont="1" applyFill="1" applyBorder="1" applyAlignment="1">
      <alignment horizontal="left" vertical="center"/>
    </xf>
    <xf numFmtId="0" fontId="3" fillId="9" borderId="13" xfId="0" applyNumberFormat="1" applyFont="1" applyFill="1" applyBorder="1" applyAlignment="1">
      <alignment horizontal="center" vertical="center"/>
    </xf>
    <xf numFmtId="0" fontId="3" fillId="9" borderId="13" xfId="0" applyNumberFormat="1" applyFont="1" applyFill="1" applyBorder="1" applyAlignment="1">
      <alignment horizontal="left" vertical="center" wrapText="1"/>
    </xf>
    <xf numFmtId="168" fontId="3" fillId="9" borderId="13" xfId="0" applyNumberFormat="1" applyFont="1" applyFill="1" applyBorder="1" applyAlignment="1">
      <alignment horizontal="left" vertical="center" wrapText="1"/>
    </xf>
    <xf numFmtId="0" fontId="3" fillId="16" borderId="16" xfId="0" applyNumberFormat="1" applyFont="1" applyFill="1" applyBorder="1" applyAlignment="1">
      <alignment horizontal="center" vertical="center" wrapText="1"/>
    </xf>
    <xf numFmtId="0" fontId="3" fillId="16" borderId="15" xfId="0" applyNumberFormat="1" applyFont="1" applyFill="1" applyBorder="1" applyAlignment="1">
      <alignment vertical="center"/>
    </xf>
    <xf numFmtId="168" fontId="2" fillId="0" borderId="0" xfId="0" applyFont="1" applyBorder="1" applyAlignment="1">
      <alignment horizontal="justify"/>
    </xf>
    <xf numFmtId="168" fontId="3" fillId="16" borderId="13" xfId="0" applyNumberFormat="1" applyFont="1" applyFill="1" applyBorder="1" applyAlignment="1">
      <alignment horizontal="left" vertical="center"/>
    </xf>
    <xf numFmtId="168" fontId="3" fillId="16" borderId="16" xfId="0" applyNumberFormat="1" applyFont="1" applyFill="1" applyBorder="1" applyAlignment="1">
      <alignment vertical="center"/>
    </xf>
    <xf numFmtId="168" fontId="3" fillId="16" borderId="13" xfId="0" applyFont="1" applyFill="1" applyBorder="1" applyAlignment="1">
      <alignment horizontal="left" vertical="center"/>
    </xf>
    <xf numFmtId="0" fontId="3" fillId="16" borderId="18" xfId="0" applyNumberFormat="1" applyFont="1" applyFill="1" applyBorder="1" applyAlignment="1">
      <alignment horizontal="left" vertical="center" wrapText="1"/>
    </xf>
    <xf numFmtId="168" fontId="3" fillId="17" borderId="13" xfId="0" applyFont="1" applyFill="1" applyBorder="1" applyAlignment="1">
      <alignment horizontal="left" vertical="center"/>
    </xf>
    <xf numFmtId="0" fontId="3" fillId="9" borderId="7" xfId="0" applyNumberFormat="1" applyFont="1" applyFill="1" applyBorder="1" applyAlignment="1">
      <alignment horizontal="left" vertical="center"/>
    </xf>
    <xf numFmtId="0" fontId="3" fillId="9" borderId="8" xfId="0" applyNumberFormat="1" applyFont="1" applyFill="1" applyBorder="1" applyAlignment="1">
      <alignment horizontal="left" vertical="center"/>
    </xf>
    <xf numFmtId="0" fontId="3" fillId="50" borderId="13" xfId="0" applyNumberFormat="1" applyFont="1" applyFill="1" applyBorder="1" applyAlignment="1">
      <alignment horizontal="center" vertical="center" wrapText="1"/>
    </xf>
    <xf numFmtId="0" fontId="3" fillId="50" borderId="13" xfId="0" applyNumberFormat="1" applyFont="1" applyFill="1" applyBorder="1" applyAlignment="1">
      <alignment vertical="center"/>
    </xf>
    <xf numFmtId="168" fontId="2" fillId="0" borderId="13" xfId="0" applyFont="1" applyFill="1" applyBorder="1" applyAlignment="1">
      <alignment horizontal="center" vertical="center"/>
    </xf>
    <xf numFmtId="168" fontId="2" fillId="0" borderId="13" xfId="0" applyFont="1" applyFill="1" applyBorder="1" applyAlignment="1">
      <alignment horizontal="justify" vertical="center" wrapText="1"/>
    </xf>
    <xf numFmtId="168" fontId="2" fillId="0" borderId="13" xfId="0" applyFont="1" applyBorder="1" applyAlignment="1">
      <alignment horizontal="justify" vertical="center" wrapText="1"/>
    </xf>
    <xf numFmtId="0" fontId="2" fillId="0" borderId="13" xfId="0" applyNumberFormat="1" applyFont="1" applyBorder="1" applyAlignment="1">
      <alignment horizontal="justify" vertical="center" wrapText="1"/>
    </xf>
    <xf numFmtId="168" fontId="2" fillId="12" borderId="13" xfId="0" applyFont="1" applyFill="1" applyBorder="1" applyAlignment="1">
      <alignment horizontal="center" vertical="center"/>
    </xf>
    <xf numFmtId="170" fontId="2" fillId="0" borderId="13" xfId="0" applyNumberFormat="1" applyFont="1" applyFill="1" applyBorder="1" applyAlignment="1">
      <alignment horizontal="justify" vertical="center" wrapText="1"/>
    </xf>
    <xf numFmtId="0" fontId="2" fillId="0" borderId="13" xfId="0" applyNumberFormat="1" applyFont="1" applyFill="1" applyBorder="1" applyAlignment="1">
      <alignment horizontal="justify" vertical="center" wrapText="1"/>
    </xf>
    <xf numFmtId="0" fontId="2" fillId="0" borderId="19" xfId="0" applyNumberFormat="1" applyFont="1" applyBorder="1" applyAlignment="1">
      <alignment horizontal="justify" vertical="center" wrapText="1"/>
    </xf>
    <xf numFmtId="0" fontId="2" fillId="0" borderId="13" xfId="0" applyNumberFormat="1" applyFont="1" applyBorder="1" applyAlignment="1">
      <alignment horizontal="center" vertical="center" wrapText="1"/>
    </xf>
    <xf numFmtId="168" fontId="2" fillId="2" borderId="13" xfId="0" applyFont="1" applyFill="1" applyBorder="1" applyAlignment="1">
      <alignment horizontal="justify" vertical="center" wrapText="1"/>
    </xf>
    <xf numFmtId="168" fontId="2" fillId="0" borderId="13" xfId="0" applyFont="1" applyBorder="1" applyAlignment="1">
      <alignment horizontal="center" vertical="center" wrapText="1"/>
    </xf>
    <xf numFmtId="168" fontId="2" fillId="0" borderId="13" xfId="0" applyFont="1" applyFill="1" applyBorder="1" applyAlignment="1">
      <alignment horizontal="center" vertical="center" wrapText="1"/>
    </xf>
    <xf numFmtId="0" fontId="2" fillId="2" borderId="13" xfId="0" applyNumberFormat="1" applyFont="1" applyFill="1" applyBorder="1" applyAlignment="1">
      <alignment horizontal="justify" vertical="center" wrapText="1"/>
    </xf>
    <xf numFmtId="168" fontId="2" fillId="12" borderId="13" xfId="0" applyFont="1" applyFill="1" applyBorder="1" applyAlignment="1">
      <alignment horizontal="center" vertical="center" wrapText="1"/>
    </xf>
    <xf numFmtId="168" fontId="2" fillId="0" borderId="19" xfId="0" applyFont="1" applyFill="1" applyBorder="1" applyAlignment="1">
      <alignment horizontal="center" vertical="center" wrapText="1"/>
    </xf>
    <xf numFmtId="0" fontId="2" fillId="0" borderId="13" xfId="6" applyNumberFormat="1" applyFont="1" applyFill="1" applyBorder="1" applyAlignment="1">
      <alignment horizontal="justify" vertical="center" wrapText="1"/>
    </xf>
    <xf numFmtId="168" fontId="2" fillId="14" borderId="13" xfId="0" applyFont="1" applyFill="1" applyBorder="1" applyAlignment="1">
      <alignment horizontal="center" vertical="center" wrapText="1"/>
    </xf>
    <xf numFmtId="168" fontId="2" fillId="12" borderId="13" xfId="0" applyFont="1" applyFill="1" applyBorder="1" applyAlignment="1">
      <alignment horizontal="justify" vertical="center" wrapText="1"/>
    </xf>
    <xf numFmtId="0" fontId="2" fillId="0" borderId="13" xfId="7" applyFont="1" applyBorder="1" applyAlignment="1">
      <alignment horizontal="justify" vertical="center" wrapText="1"/>
    </xf>
    <xf numFmtId="0" fontId="2" fillId="2" borderId="19" xfId="0" applyNumberFormat="1" applyFont="1" applyFill="1" applyBorder="1" applyAlignment="1">
      <alignment horizontal="justify" vertical="center" wrapText="1"/>
    </xf>
    <xf numFmtId="0" fontId="3" fillId="6" borderId="15" xfId="0" applyNumberFormat="1" applyFont="1" applyFill="1" applyBorder="1" applyAlignment="1">
      <alignment horizontal="left" vertical="center" wrapText="1"/>
    </xf>
    <xf numFmtId="165" fontId="2" fillId="0" borderId="17" xfId="5" applyFont="1" applyFill="1" applyBorder="1" applyAlignment="1">
      <alignment horizontal="justify" vertical="center"/>
    </xf>
    <xf numFmtId="4" fontId="2" fillId="0" borderId="13" xfId="0" applyNumberFormat="1" applyFont="1" applyFill="1" applyBorder="1" applyAlignment="1">
      <alignment horizontal="right" vertical="center" wrapText="1"/>
    </xf>
    <xf numFmtId="43" fontId="2" fillId="0" borderId="13" xfId="8" applyNumberFormat="1" applyFont="1" applyFill="1" applyBorder="1" applyAlignment="1">
      <alignment vertical="center"/>
    </xf>
    <xf numFmtId="165" fontId="2" fillId="0" borderId="16" xfId="0" applyNumberFormat="1" applyFont="1" applyFill="1" applyBorder="1" applyAlignment="1">
      <alignment vertical="center"/>
    </xf>
    <xf numFmtId="165" fontId="2" fillId="0" borderId="16" xfId="0" applyNumberFormat="1" applyFont="1" applyBorder="1" applyAlignment="1">
      <alignment horizontal="center" vertical="center"/>
    </xf>
    <xf numFmtId="165" fontId="3" fillId="7" borderId="17" xfId="0" applyNumberFormat="1" applyFont="1" applyFill="1" applyBorder="1" applyAlignment="1">
      <alignment vertical="center"/>
    </xf>
    <xf numFmtId="0" fontId="2" fillId="0" borderId="17" xfId="9" applyFont="1" applyFill="1" applyBorder="1">
      <alignment horizontal="center" vertical="center" wrapText="1"/>
    </xf>
    <xf numFmtId="0" fontId="2" fillId="0" borderId="19" xfId="9" applyFont="1" applyFill="1" applyBorder="1">
      <alignment horizontal="center" vertical="center" wrapText="1"/>
    </xf>
    <xf numFmtId="170" fontId="4" fillId="0" borderId="26" xfId="5" applyNumberFormat="1" applyFont="1" applyFill="1" applyBorder="1" applyAlignment="1">
      <alignment horizontal="center" vertical="center" wrapText="1"/>
    </xf>
    <xf numFmtId="43" fontId="2" fillId="0" borderId="13" xfId="1" applyFont="1" applyFill="1" applyBorder="1" applyAlignment="1">
      <alignment horizontal="center" vertical="center"/>
    </xf>
    <xf numFmtId="43" fontId="3" fillId="7" borderId="13" xfId="1" applyFont="1" applyFill="1" applyBorder="1" applyAlignment="1">
      <alignment horizontal="justify" vertical="center"/>
    </xf>
    <xf numFmtId="43" fontId="3" fillId="16" borderId="13" xfId="1" applyFont="1" applyFill="1" applyBorder="1" applyAlignment="1">
      <alignment vertical="center"/>
    </xf>
    <xf numFmtId="43" fontId="3" fillId="6" borderId="13" xfId="1" applyFont="1" applyFill="1" applyBorder="1" applyAlignment="1">
      <alignment vertical="center"/>
    </xf>
    <xf numFmtId="43" fontId="2" fillId="2" borderId="13" xfId="1" applyFont="1" applyFill="1" applyBorder="1" applyAlignment="1">
      <alignment horizontal="center" vertical="center"/>
    </xf>
    <xf numFmtId="43" fontId="57" fillId="0" borderId="13" xfId="1" applyFont="1" applyFill="1" applyBorder="1" applyAlignment="1">
      <alignment horizontal="center" vertical="center" wrapText="1"/>
    </xf>
    <xf numFmtId="168" fontId="2" fillId="2" borderId="9" xfId="0" applyFont="1" applyFill="1" applyBorder="1" applyAlignment="1">
      <alignment horizontal="left" vertical="center" wrapText="1"/>
    </xf>
    <xf numFmtId="165" fontId="3" fillId="7" borderId="63" xfId="0" applyNumberFormat="1" applyFont="1" applyFill="1" applyBorder="1" applyAlignment="1">
      <alignment vertical="center"/>
    </xf>
    <xf numFmtId="43" fontId="3" fillId="6" borderId="27" xfId="0" applyNumberFormat="1" applyFont="1" applyFill="1" applyBorder="1" applyAlignment="1">
      <alignment vertical="center"/>
    </xf>
    <xf numFmtId="165" fontId="3" fillId="6" borderId="16" xfId="0" applyNumberFormat="1" applyFont="1" applyFill="1" applyBorder="1" applyAlignment="1">
      <alignment vertical="center"/>
    </xf>
    <xf numFmtId="165" fontId="3" fillId="15" borderId="39" xfId="0" applyNumberFormat="1" applyFont="1" applyFill="1" applyBorder="1" applyAlignment="1">
      <alignment vertical="center"/>
    </xf>
    <xf numFmtId="165" fontId="2" fillId="0" borderId="3" xfId="0" applyNumberFormat="1" applyFont="1" applyBorder="1" applyAlignment="1">
      <alignment vertical="center"/>
    </xf>
    <xf numFmtId="165" fontId="3" fillId="7" borderId="3" xfId="0" applyNumberFormat="1" applyFont="1" applyFill="1" applyBorder="1" applyAlignment="1">
      <alignment vertical="center"/>
    </xf>
    <xf numFmtId="165" fontId="2" fillId="2" borderId="3" xfId="0" applyNumberFormat="1" applyFont="1" applyFill="1" applyBorder="1" applyAlignment="1">
      <alignment vertical="center"/>
    </xf>
    <xf numFmtId="43" fontId="3" fillId="6" borderId="3" xfId="0" applyNumberFormat="1" applyFont="1" applyFill="1" applyBorder="1" applyAlignment="1">
      <alignment vertical="center"/>
    </xf>
    <xf numFmtId="165" fontId="3" fillId="16" borderId="3" xfId="0" applyNumberFormat="1" applyFont="1" applyFill="1" applyBorder="1" applyAlignment="1">
      <alignment vertical="center"/>
    </xf>
    <xf numFmtId="165" fontId="3" fillId="6" borderId="3" xfId="0" applyNumberFormat="1" applyFont="1" applyFill="1" applyBorder="1" applyAlignment="1">
      <alignment vertical="center"/>
    </xf>
    <xf numFmtId="165" fontId="3" fillId="15" borderId="3" xfId="0" applyNumberFormat="1" applyFont="1" applyFill="1" applyBorder="1" applyAlignment="1">
      <alignment vertical="center"/>
    </xf>
    <xf numFmtId="43" fontId="2" fillId="0" borderId="13" xfId="1" applyFont="1" applyBorder="1" applyAlignment="1">
      <alignment horizontal="justify" vertical="center" wrapText="1"/>
    </xf>
    <xf numFmtId="168" fontId="3" fillId="10" borderId="13" xfId="0" applyFont="1" applyFill="1" applyBorder="1" applyAlignment="1">
      <alignment horizontal="center" vertical="center"/>
    </xf>
    <xf numFmtId="43" fontId="3" fillId="10" borderId="13" xfId="0" applyNumberFormat="1" applyFont="1" applyFill="1" applyBorder="1" applyAlignment="1">
      <alignment vertical="center"/>
    </xf>
    <xf numFmtId="43" fontId="3" fillId="10" borderId="13" xfId="0" applyNumberFormat="1" applyFont="1" applyFill="1" applyBorder="1" applyAlignment="1">
      <alignment horizontal="center" vertical="center"/>
    </xf>
    <xf numFmtId="168" fontId="3" fillId="10" borderId="0" xfId="0" applyFont="1" applyFill="1" applyAlignment="1">
      <alignment vertical="center"/>
    </xf>
    <xf numFmtId="43" fontId="3" fillId="11" borderId="9" xfId="0" applyNumberFormat="1" applyFont="1" applyFill="1" applyBorder="1" applyAlignment="1">
      <alignment vertical="center"/>
    </xf>
    <xf numFmtId="43" fontId="3" fillId="11" borderId="3" xfId="0" applyNumberFormat="1" applyFont="1" applyFill="1" applyBorder="1" applyAlignment="1">
      <alignment vertical="center"/>
    </xf>
    <xf numFmtId="43" fontId="3" fillId="11" borderId="7" xfId="0" applyNumberFormat="1" applyFont="1" applyFill="1" applyBorder="1" applyAlignment="1">
      <alignment vertical="center"/>
    </xf>
    <xf numFmtId="43" fontId="3" fillId="11" borderId="13" xfId="0" applyNumberFormat="1" applyFont="1" applyFill="1" applyBorder="1" applyAlignment="1">
      <alignment vertical="center"/>
    </xf>
    <xf numFmtId="43" fontId="3" fillId="11" borderId="3" xfId="0" applyNumberFormat="1" applyFont="1" applyFill="1" applyBorder="1" applyAlignment="1">
      <alignment horizontal="center" vertical="center"/>
    </xf>
    <xf numFmtId="168" fontId="2" fillId="11" borderId="0" xfId="0" applyFont="1" applyFill="1" applyAlignment="1">
      <alignment vertical="center"/>
    </xf>
    <xf numFmtId="0" fontId="3" fillId="6" borderId="18" xfId="0" applyNumberFormat="1" applyFont="1" applyFill="1" applyBorder="1" applyAlignment="1">
      <alignment horizontal="left" vertical="center" wrapText="1"/>
    </xf>
    <xf numFmtId="0" fontId="2" fillId="2" borderId="17" xfId="0" applyNumberFormat="1" applyFont="1" applyFill="1" applyBorder="1" applyAlignment="1">
      <alignment horizontal="justify" vertical="center" wrapText="1"/>
    </xf>
    <xf numFmtId="0" fontId="2" fillId="2" borderId="23" xfId="0" applyNumberFormat="1" applyFont="1" applyFill="1" applyBorder="1" applyAlignment="1">
      <alignment horizontal="justify" vertical="center" wrapText="1"/>
    </xf>
    <xf numFmtId="0" fontId="2" fillId="2" borderId="19" xfId="0" applyNumberFormat="1" applyFont="1" applyFill="1" applyBorder="1" applyAlignment="1">
      <alignment horizontal="justify" vertical="center" wrapText="1"/>
    </xf>
    <xf numFmtId="0" fontId="2" fillId="0" borderId="17" xfId="0" applyNumberFormat="1" applyFont="1" applyBorder="1" applyAlignment="1">
      <alignment horizontal="justify" vertical="center" wrapText="1"/>
    </xf>
    <xf numFmtId="0" fontId="2" fillId="0" borderId="19" xfId="0" applyNumberFormat="1" applyFont="1" applyBorder="1" applyAlignment="1">
      <alignment horizontal="justify" vertical="center" wrapText="1"/>
    </xf>
    <xf numFmtId="168" fontId="2" fillId="0" borderId="17" xfId="0" applyFont="1" applyFill="1" applyBorder="1" applyAlignment="1">
      <alignment horizontal="center" vertical="center" wrapText="1"/>
    </xf>
    <xf numFmtId="168" fontId="2" fillId="0" borderId="19" xfId="0" applyFont="1" applyFill="1" applyBorder="1" applyAlignment="1">
      <alignment horizontal="center" vertical="center" wrapText="1"/>
    </xf>
    <xf numFmtId="168" fontId="2" fillId="0" borderId="17" xfId="0" applyFont="1" applyBorder="1" applyAlignment="1">
      <alignment horizontal="justify" vertical="center" wrapText="1"/>
    </xf>
    <xf numFmtId="168" fontId="2" fillId="0" borderId="19" xfId="0" applyFont="1" applyBorder="1" applyAlignment="1">
      <alignment horizontal="justify" vertical="center" wrapText="1"/>
    </xf>
    <xf numFmtId="168" fontId="2" fillId="0" borderId="19" xfId="0" applyFont="1" applyFill="1" applyBorder="1" applyAlignment="1">
      <alignment horizontal="justify" vertical="center" wrapText="1"/>
    </xf>
    <xf numFmtId="0" fontId="2" fillId="0" borderId="23" xfId="0" applyNumberFormat="1" applyFont="1" applyBorder="1" applyAlignment="1">
      <alignment horizontal="justify" vertical="center" wrapText="1"/>
    </xf>
    <xf numFmtId="168" fontId="3" fillId="7" borderId="18" xfId="0" applyFont="1" applyFill="1" applyBorder="1" applyAlignment="1">
      <alignment horizontal="left" vertical="center"/>
    </xf>
    <xf numFmtId="170" fontId="4" fillId="4" borderId="9" xfId="5" applyNumberFormat="1" applyFont="1" applyFill="1" applyBorder="1" applyAlignment="1">
      <alignment horizontal="center" vertical="center" wrapText="1"/>
    </xf>
    <xf numFmtId="170" fontId="4" fillId="4" borderId="3" xfId="5" applyNumberFormat="1" applyFont="1" applyFill="1" applyBorder="1" applyAlignment="1">
      <alignment horizontal="center" vertical="center" wrapText="1"/>
    </xf>
    <xf numFmtId="0" fontId="4" fillId="4" borderId="2" xfId="0" applyNumberFormat="1" applyFont="1" applyFill="1" applyBorder="1" applyAlignment="1">
      <alignment horizontal="center" vertical="center" wrapText="1"/>
    </xf>
    <xf numFmtId="168" fontId="13" fillId="5" borderId="15" xfId="0" applyFont="1" applyFill="1" applyBorder="1" applyAlignment="1">
      <alignment horizontal="center" vertical="center"/>
    </xf>
    <xf numFmtId="168" fontId="13" fillId="5" borderId="16" xfId="0" applyFont="1" applyFill="1" applyBorder="1" applyAlignment="1">
      <alignment horizontal="center" vertical="center"/>
    </xf>
    <xf numFmtId="0" fontId="3" fillId="9" borderId="15" xfId="0" applyNumberFormat="1" applyFont="1" applyFill="1" applyBorder="1" applyAlignment="1">
      <alignment vertical="center"/>
    </xf>
    <xf numFmtId="0" fontId="3" fillId="9" borderId="18" xfId="0" applyNumberFormat="1" applyFont="1" applyFill="1" applyBorder="1" applyAlignment="1">
      <alignment vertical="center"/>
    </xf>
    <xf numFmtId="0" fontId="3" fillId="9" borderId="16" xfId="0" applyNumberFormat="1" applyFont="1" applyFill="1" applyBorder="1" applyAlignment="1">
      <alignment vertical="center"/>
    </xf>
    <xf numFmtId="168" fontId="3" fillId="9" borderId="3" xfId="0" applyNumberFormat="1" applyFont="1" applyFill="1" applyBorder="1" applyAlignment="1">
      <alignment horizontal="left" vertical="center"/>
    </xf>
    <xf numFmtId="43" fontId="3" fillId="50" borderId="13" xfId="1" applyFont="1" applyFill="1" applyBorder="1" applyAlignment="1">
      <alignment vertical="center"/>
    </xf>
    <xf numFmtId="43" fontId="13" fillId="5" borderId="13" xfId="1" applyFont="1" applyFill="1" applyBorder="1" applyAlignment="1">
      <alignment vertical="center"/>
    </xf>
    <xf numFmtId="168" fontId="54" fillId="0" borderId="67" xfId="0" applyFont="1" applyFill="1" applyBorder="1" applyAlignment="1">
      <alignment horizontal="center" vertical="center" wrapText="1"/>
    </xf>
    <xf numFmtId="168" fontId="6" fillId="0" borderId="67" xfId="0" applyFont="1" applyFill="1" applyBorder="1" applyAlignment="1">
      <alignment horizontal="center" vertical="center" wrapText="1"/>
    </xf>
    <xf numFmtId="0" fontId="2" fillId="6" borderId="18" xfId="0" applyNumberFormat="1" applyFont="1" applyFill="1" applyBorder="1" applyAlignment="1">
      <alignment horizontal="center" vertical="center" wrapText="1"/>
    </xf>
    <xf numFmtId="168" fontId="3" fillId="16" borderId="16" xfId="0" applyFont="1" applyFill="1" applyBorder="1" applyAlignment="1">
      <alignment horizontal="justify" vertical="center" wrapText="1"/>
    </xf>
    <xf numFmtId="168" fontId="3" fillId="7" borderId="18" xfId="0" applyFont="1" applyFill="1" applyBorder="1" applyAlignment="1">
      <alignment horizontal="justify" vertical="center" wrapText="1"/>
    </xf>
    <xf numFmtId="0" fontId="3" fillId="7" borderId="18" xfId="0" applyNumberFormat="1" applyFont="1" applyFill="1" applyBorder="1" applyAlignment="1">
      <alignment horizontal="center" vertical="center" wrapText="1"/>
    </xf>
    <xf numFmtId="168" fontId="3" fillId="7" borderId="16" xfId="0" applyFont="1" applyFill="1" applyBorder="1" applyAlignment="1">
      <alignment horizontal="justify" vertical="center" wrapText="1"/>
    </xf>
    <xf numFmtId="168" fontId="3" fillId="7" borderId="16" xfId="0" applyFont="1" applyFill="1" applyBorder="1" applyAlignment="1">
      <alignment horizontal="center" vertical="center" wrapText="1"/>
    </xf>
    <xf numFmtId="0" fontId="3" fillId="7" borderId="18" xfId="0" applyNumberFormat="1" applyFont="1" applyFill="1" applyBorder="1" applyAlignment="1">
      <alignment vertical="center"/>
    </xf>
    <xf numFmtId="0" fontId="3" fillId="7" borderId="18" xfId="0" applyNumberFormat="1" applyFont="1" applyFill="1" applyBorder="1" applyAlignment="1">
      <alignment horizontal="justify" vertical="center" wrapText="1"/>
    </xf>
    <xf numFmtId="0" fontId="2" fillId="7" borderId="18" xfId="0" applyNumberFormat="1" applyFont="1" applyFill="1" applyBorder="1" applyAlignment="1">
      <alignment horizontal="center" vertical="center" wrapText="1"/>
    </xf>
    <xf numFmtId="168" fontId="2" fillId="7" borderId="18" xfId="0" applyFont="1" applyFill="1" applyBorder="1" applyAlignment="1">
      <alignment vertical="center" wrapText="1"/>
    </xf>
    <xf numFmtId="168" fontId="3" fillId="6" borderId="16" xfId="0" applyFont="1" applyFill="1" applyBorder="1" applyAlignment="1">
      <alignment horizontal="center" vertical="center" wrapText="1"/>
    </xf>
    <xf numFmtId="168" fontId="2" fillId="6" borderId="18" xfId="0" applyFont="1" applyFill="1" applyBorder="1" applyAlignment="1">
      <alignment vertical="center" wrapText="1"/>
    </xf>
    <xf numFmtId="0" fontId="13" fillId="5" borderId="18" xfId="0" applyNumberFormat="1" applyFont="1" applyFill="1" applyBorder="1" applyAlignment="1">
      <alignment horizontal="justify" vertical="center" wrapText="1"/>
    </xf>
    <xf numFmtId="0" fontId="30" fillId="5" borderId="18" xfId="0" applyNumberFormat="1" applyFont="1" applyFill="1" applyBorder="1" applyAlignment="1">
      <alignment horizontal="center" vertical="center"/>
    </xf>
    <xf numFmtId="168" fontId="13" fillId="5" borderId="18" xfId="0" applyFont="1" applyFill="1" applyBorder="1" applyAlignment="1">
      <alignment horizontal="justify" vertical="center" wrapText="1"/>
    </xf>
    <xf numFmtId="0" fontId="13" fillId="5" borderId="18" xfId="0" applyNumberFormat="1" applyFont="1" applyFill="1" applyBorder="1" applyAlignment="1">
      <alignment horizontal="center" vertical="center" wrapText="1"/>
    </xf>
    <xf numFmtId="168" fontId="30" fillId="5" borderId="18" xfId="0" applyFont="1" applyFill="1" applyBorder="1" applyAlignment="1">
      <alignment horizontal="center" vertical="center"/>
    </xf>
    <xf numFmtId="0" fontId="3" fillId="10" borderId="15" xfId="0" applyNumberFormat="1" applyFont="1" applyFill="1" applyBorder="1" applyAlignment="1">
      <alignment horizontal="left" vertical="center"/>
    </xf>
    <xf numFmtId="0" fontId="3" fillId="10" borderId="18" xfId="0" applyNumberFormat="1" applyFont="1" applyFill="1" applyBorder="1" applyAlignment="1">
      <alignment horizontal="center" vertical="center"/>
    </xf>
    <xf numFmtId="168" fontId="3" fillId="10" borderId="18" xfId="0" applyFont="1" applyFill="1" applyBorder="1" applyAlignment="1">
      <alignment horizontal="center" vertical="center"/>
    </xf>
    <xf numFmtId="0" fontId="3" fillId="10" borderId="18" xfId="0" applyNumberFormat="1" applyFont="1" applyFill="1" applyBorder="1" applyAlignment="1">
      <alignment horizontal="justify" vertical="center" wrapText="1"/>
    </xf>
    <xf numFmtId="168" fontId="3" fillId="10" borderId="18" xfId="0" applyFont="1" applyFill="1" applyBorder="1" applyAlignment="1">
      <alignment horizontal="justify" vertical="center" wrapText="1"/>
    </xf>
    <xf numFmtId="0" fontId="3" fillId="10" borderId="18" xfId="0" applyNumberFormat="1" applyFont="1" applyFill="1" applyBorder="1" applyAlignment="1">
      <alignment horizontal="center" vertical="center" wrapText="1"/>
    </xf>
    <xf numFmtId="0" fontId="3" fillId="11" borderId="7" xfId="0" applyNumberFormat="1" applyFont="1" applyFill="1" applyBorder="1" applyAlignment="1">
      <alignment horizontal="left" vertical="center"/>
    </xf>
    <xf numFmtId="168" fontId="2" fillId="11" borderId="9" xfId="0" applyFont="1" applyFill="1" applyBorder="1" applyAlignment="1">
      <alignment horizontal="center" vertical="center"/>
    </xf>
    <xf numFmtId="0" fontId="2" fillId="11" borderId="15" xfId="0" applyNumberFormat="1" applyFont="1" applyFill="1" applyBorder="1" applyAlignment="1">
      <alignment horizontal="left" vertical="center"/>
    </xf>
    <xf numFmtId="0" fontId="2" fillId="11" borderId="18" xfId="0" applyNumberFormat="1" applyFont="1" applyFill="1" applyBorder="1" applyAlignment="1">
      <alignment horizontal="left" vertical="center"/>
    </xf>
    <xf numFmtId="0" fontId="2" fillId="11" borderId="18" xfId="0" applyNumberFormat="1" applyFont="1" applyFill="1" applyBorder="1" applyAlignment="1">
      <alignment horizontal="center" vertical="center"/>
    </xf>
    <xf numFmtId="168" fontId="2" fillId="11" borderId="18" xfId="0" applyFont="1" applyFill="1" applyBorder="1" applyAlignment="1">
      <alignment horizontal="center" vertical="center"/>
    </xf>
    <xf numFmtId="0" fontId="2" fillId="11" borderId="18" xfId="0" applyNumberFormat="1" applyFont="1" applyFill="1" applyBorder="1" applyAlignment="1">
      <alignment horizontal="justify" vertical="center" wrapText="1"/>
    </xf>
    <xf numFmtId="168" fontId="2" fillId="11" borderId="18" xfId="0" applyFont="1" applyFill="1" applyBorder="1" applyAlignment="1">
      <alignment horizontal="justify" vertical="center" wrapText="1"/>
    </xf>
    <xf numFmtId="0" fontId="2" fillId="11" borderId="18" xfId="0" applyNumberFormat="1" applyFont="1" applyFill="1" applyBorder="1" applyAlignment="1">
      <alignment horizontal="center" vertical="center" wrapText="1"/>
    </xf>
    <xf numFmtId="165" fontId="3" fillId="7" borderId="18" xfId="0" applyNumberFormat="1" applyFont="1" applyFill="1" applyBorder="1" applyAlignment="1">
      <alignment horizontal="justify" vertical="center" wrapText="1"/>
    </xf>
    <xf numFmtId="165" fontId="2" fillId="7" borderId="18" xfId="0" applyNumberFormat="1" applyFont="1" applyFill="1" applyBorder="1" applyAlignment="1">
      <alignment vertical="center" wrapText="1"/>
    </xf>
    <xf numFmtId="165" fontId="3" fillId="7" borderId="16" xfId="0" applyNumberFormat="1" applyFont="1" applyFill="1" applyBorder="1" applyAlignment="1">
      <alignment horizontal="center" vertical="center" wrapText="1"/>
    </xf>
    <xf numFmtId="0" fontId="2" fillId="7" borderId="18" xfId="0" applyNumberFormat="1" applyFont="1" applyFill="1" applyBorder="1" applyAlignment="1">
      <alignment horizontal="center" vertical="center"/>
    </xf>
    <xf numFmtId="168" fontId="2" fillId="7" borderId="18" xfId="0" applyFont="1" applyFill="1" applyBorder="1" applyAlignment="1">
      <alignment vertical="center"/>
    </xf>
    <xf numFmtId="168" fontId="3" fillId="7" borderId="16" xfId="0" applyFont="1" applyFill="1" applyBorder="1" applyAlignment="1">
      <alignment horizontal="center" vertical="center"/>
    </xf>
    <xf numFmtId="168" fontId="3" fillId="6" borderId="16" xfId="0" applyFont="1" applyFill="1" applyBorder="1" applyAlignment="1">
      <alignment horizontal="center" vertical="center"/>
    </xf>
    <xf numFmtId="0" fontId="2" fillId="7" borderId="18" xfId="0" applyNumberFormat="1" applyFont="1" applyFill="1" applyBorder="1" applyAlignment="1">
      <alignment horizontal="justify" vertical="center" wrapText="1"/>
    </xf>
    <xf numFmtId="168" fontId="2" fillId="7" borderId="18" xfId="0" applyFont="1" applyFill="1" applyBorder="1" applyAlignment="1">
      <alignment horizontal="justify" vertical="center" wrapText="1"/>
    </xf>
    <xf numFmtId="168" fontId="2" fillId="7" borderId="18" xfId="0" applyFont="1" applyFill="1" applyBorder="1" applyAlignment="1">
      <alignment horizontal="center" vertical="center"/>
    </xf>
    <xf numFmtId="168" fontId="2" fillId="7" borderId="16" xfId="0" applyFont="1" applyFill="1" applyBorder="1" applyAlignment="1">
      <alignment horizontal="center" vertical="center"/>
    </xf>
    <xf numFmtId="168" fontId="3" fillId="7" borderId="18" xfId="0" applyFont="1" applyFill="1" applyBorder="1" applyAlignment="1">
      <alignment horizontal="justify" vertical="center"/>
    </xf>
    <xf numFmtId="0" fontId="3" fillId="7" borderId="18" xfId="0" applyNumberFormat="1" applyFont="1" applyFill="1" applyBorder="1" applyAlignment="1">
      <alignment horizontal="center" vertical="center"/>
    </xf>
    <xf numFmtId="0" fontId="3" fillId="7" borderId="15" xfId="0" applyNumberFormat="1" applyFont="1" applyFill="1" applyBorder="1" applyAlignment="1">
      <alignment horizontal="justify" vertical="center" wrapText="1"/>
    </xf>
    <xf numFmtId="0" fontId="2" fillId="0" borderId="12" xfId="9" applyNumberFormat="1" applyFont="1" applyFill="1" applyBorder="1" applyAlignment="1">
      <alignment horizontal="center" vertical="center" wrapText="1"/>
    </xf>
    <xf numFmtId="165" fontId="2" fillId="7" borderId="18" xfId="8" applyFont="1" applyFill="1" applyBorder="1" applyAlignment="1">
      <alignment horizontal="center" vertical="center"/>
    </xf>
    <xf numFmtId="168" fontId="2" fillId="7" borderId="18" xfId="0" applyFont="1" applyFill="1" applyBorder="1" applyAlignment="1">
      <alignment horizontal="right" vertical="center"/>
    </xf>
    <xf numFmtId="0" fontId="3" fillId="7" borderId="18" xfId="7" applyFont="1" applyFill="1" applyBorder="1" applyAlignment="1">
      <alignment vertical="center"/>
    </xf>
    <xf numFmtId="0" fontId="13" fillId="5" borderId="15" xfId="0" applyNumberFormat="1" applyFont="1" applyFill="1" applyBorder="1" applyAlignment="1">
      <alignment horizontal="justify" vertical="center" wrapText="1"/>
    </xf>
    <xf numFmtId="0" fontId="3" fillId="7" borderId="18" xfId="0" applyNumberFormat="1" applyFont="1" applyFill="1" applyBorder="1" applyAlignment="1">
      <alignment horizontal="justify" vertical="center"/>
    </xf>
    <xf numFmtId="0" fontId="3" fillId="7" borderId="18" xfId="0" applyNumberFormat="1" applyFont="1" applyFill="1" applyBorder="1" applyAlignment="1">
      <alignment horizontal="left" vertical="center"/>
    </xf>
    <xf numFmtId="0" fontId="2" fillId="0" borderId="17" xfId="0" applyNumberFormat="1" applyFont="1" applyFill="1" applyBorder="1" applyAlignment="1">
      <alignment horizontal="justify" vertical="center" wrapText="1"/>
    </xf>
    <xf numFmtId="0" fontId="2" fillId="0" borderId="17" xfId="7" applyFont="1" applyFill="1" applyBorder="1" applyAlignment="1">
      <alignment horizontal="justify" vertical="center" wrapText="1"/>
    </xf>
    <xf numFmtId="0" fontId="2" fillId="0" borderId="17" xfId="7" applyFont="1" applyFill="1" applyBorder="1" applyAlignment="1">
      <alignment horizontal="center" vertical="center"/>
    </xf>
    <xf numFmtId="0" fontId="3" fillId="7" borderId="15" xfId="0" applyNumberFormat="1" applyFont="1" applyFill="1" applyBorder="1" applyAlignment="1">
      <alignment horizontal="center" vertical="center" wrapText="1"/>
    </xf>
    <xf numFmtId="0" fontId="3" fillId="7" borderId="18" xfId="0" applyNumberFormat="1" applyFont="1" applyFill="1" applyBorder="1" applyAlignment="1">
      <alignment vertical="center" wrapText="1"/>
    </xf>
    <xf numFmtId="168" fontId="3" fillId="7" borderId="18" xfId="0" applyFont="1" applyFill="1" applyBorder="1" applyAlignment="1">
      <alignment vertical="center" wrapText="1"/>
    </xf>
    <xf numFmtId="168" fontId="3" fillId="7" borderId="16" xfId="0" applyFont="1" applyFill="1" applyBorder="1" applyAlignment="1">
      <alignment vertical="center" wrapText="1"/>
    </xf>
    <xf numFmtId="168" fontId="2" fillId="7" borderId="16" xfId="0" applyFont="1" applyFill="1" applyBorder="1" applyAlignment="1">
      <alignment horizontal="center" vertical="center" wrapText="1"/>
    </xf>
    <xf numFmtId="168" fontId="2" fillId="6" borderId="18" xfId="0" applyFont="1" applyFill="1" applyBorder="1" applyAlignment="1">
      <alignment horizontal="center" vertical="center"/>
    </xf>
    <xf numFmtId="168" fontId="13" fillId="5" borderId="17" xfId="0" applyFont="1" applyFill="1" applyBorder="1" applyAlignment="1">
      <alignment horizontal="center" vertical="center"/>
    </xf>
    <xf numFmtId="0" fontId="13" fillId="5" borderId="17" xfId="0" applyNumberFormat="1" applyFont="1" applyFill="1" applyBorder="1" applyAlignment="1">
      <alignment horizontal="justify" vertical="center" wrapText="1"/>
    </xf>
    <xf numFmtId="0" fontId="30" fillId="5" borderId="17" xfId="0" applyNumberFormat="1" applyFont="1" applyFill="1" applyBorder="1" applyAlignment="1">
      <alignment horizontal="center" vertical="center"/>
    </xf>
    <xf numFmtId="168" fontId="13" fillId="5" borderId="17" xfId="0" applyFont="1" applyFill="1" applyBorder="1" applyAlignment="1">
      <alignment horizontal="justify" vertical="center" wrapText="1"/>
    </xf>
    <xf numFmtId="0" fontId="13" fillId="5" borderId="17" xfId="0" applyNumberFormat="1" applyFont="1" applyFill="1" applyBorder="1" applyAlignment="1">
      <alignment horizontal="center" vertical="center" wrapText="1"/>
    </xf>
    <xf numFmtId="168" fontId="30" fillId="5" borderId="17" xfId="0" applyFont="1" applyFill="1" applyBorder="1" applyAlignment="1">
      <alignment horizontal="center" vertical="center"/>
    </xf>
    <xf numFmtId="0" fontId="13" fillId="5" borderId="15" xfId="0" applyNumberFormat="1" applyFont="1" applyFill="1" applyBorder="1" applyAlignment="1">
      <alignment horizontal="center" vertical="center"/>
    </xf>
    <xf numFmtId="168" fontId="13" fillId="5" borderId="16" xfId="0" applyFont="1" applyFill="1" applyBorder="1" applyAlignment="1">
      <alignment horizontal="justify" vertical="center" wrapText="1"/>
    </xf>
    <xf numFmtId="168" fontId="13" fillId="5" borderId="7" xfId="0" applyFont="1" applyFill="1" applyBorder="1" applyAlignment="1">
      <alignment horizontal="center" vertical="center"/>
    </xf>
    <xf numFmtId="0" fontId="13" fillId="5" borderId="8" xfId="0" applyNumberFormat="1" applyFont="1" applyFill="1" applyBorder="1" applyAlignment="1">
      <alignment horizontal="justify" vertical="center" wrapText="1"/>
    </xf>
    <xf numFmtId="0" fontId="30" fillId="5" borderId="8" xfId="0" applyNumberFormat="1" applyFont="1" applyFill="1" applyBorder="1" applyAlignment="1">
      <alignment horizontal="center" vertical="center"/>
    </xf>
    <xf numFmtId="168" fontId="13" fillId="5" borderId="8" xfId="0" applyFont="1" applyFill="1" applyBorder="1" applyAlignment="1">
      <alignment horizontal="justify" vertical="center" wrapText="1"/>
    </xf>
    <xf numFmtId="0" fontId="13" fillId="5" borderId="8" xfId="0" applyNumberFormat="1" applyFont="1" applyFill="1" applyBorder="1" applyAlignment="1">
      <alignment horizontal="center" vertical="center" wrapText="1"/>
    </xf>
    <xf numFmtId="168" fontId="30" fillId="5" borderId="8" xfId="0" applyFont="1" applyFill="1" applyBorder="1" applyAlignment="1">
      <alignment horizontal="center" vertical="center"/>
    </xf>
    <xf numFmtId="168" fontId="13" fillId="5" borderId="9" xfId="0" applyFont="1" applyFill="1" applyBorder="1" applyAlignment="1">
      <alignment horizontal="center" vertical="center"/>
    </xf>
    <xf numFmtId="0" fontId="3" fillId="6" borderId="7" xfId="0" applyNumberFormat="1" applyFont="1" applyFill="1" applyBorder="1" applyAlignment="1">
      <alignment vertical="center"/>
    </xf>
    <xf numFmtId="0" fontId="3" fillId="6" borderId="8" xfId="0" applyNumberFormat="1" applyFont="1" applyFill="1" applyBorder="1" applyAlignment="1">
      <alignment vertical="center"/>
    </xf>
    <xf numFmtId="0" fontId="3" fillId="6" borderId="8" xfId="0" applyNumberFormat="1" applyFont="1" applyFill="1" applyBorder="1" applyAlignment="1">
      <alignment horizontal="justify" vertical="center" wrapText="1"/>
    </xf>
    <xf numFmtId="0" fontId="2" fillId="6" borderId="8" xfId="0" applyNumberFormat="1" applyFont="1" applyFill="1" applyBorder="1" applyAlignment="1">
      <alignment horizontal="center" vertical="center"/>
    </xf>
    <xf numFmtId="168" fontId="3" fillId="6" borderId="8" xfId="0" applyFont="1" applyFill="1" applyBorder="1" applyAlignment="1">
      <alignment horizontal="justify" vertical="center" wrapText="1"/>
    </xf>
    <xf numFmtId="0" fontId="3" fillId="6" borderId="8" xfId="0" applyNumberFormat="1" applyFont="1" applyFill="1" applyBorder="1" applyAlignment="1">
      <alignment horizontal="center" vertical="center" wrapText="1"/>
    </xf>
    <xf numFmtId="168" fontId="2" fillId="6" borderId="8" xfId="0" applyFont="1" applyFill="1" applyBorder="1" applyAlignment="1">
      <alignment horizontal="center" vertical="center"/>
    </xf>
    <xf numFmtId="168" fontId="3" fillId="6" borderId="9" xfId="0" applyFont="1" applyFill="1" applyBorder="1" applyAlignment="1">
      <alignment horizontal="center" vertical="center"/>
    </xf>
    <xf numFmtId="0" fontId="3" fillId="16" borderId="7" xfId="0" applyNumberFormat="1" applyFont="1" applyFill="1" applyBorder="1" applyAlignment="1">
      <alignment horizontal="left" vertical="center"/>
    </xf>
    <xf numFmtId="0" fontId="3" fillId="16" borderId="8" xfId="0" applyNumberFormat="1" applyFont="1" applyFill="1" applyBorder="1" applyAlignment="1">
      <alignment horizontal="left" vertical="center"/>
    </xf>
    <xf numFmtId="0" fontId="3" fillId="16" borderId="8" xfId="0" applyNumberFormat="1" applyFont="1" applyFill="1" applyBorder="1" applyAlignment="1">
      <alignment horizontal="justify" vertical="center" wrapText="1"/>
    </xf>
    <xf numFmtId="0" fontId="2" fillId="16" borderId="8" xfId="0" applyNumberFormat="1" applyFont="1" applyFill="1" applyBorder="1" applyAlignment="1">
      <alignment horizontal="center" vertical="center"/>
    </xf>
    <xf numFmtId="168" fontId="3" fillId="16" borderId="8" xfId="0" applyFont="1" applyFill="1" applyBorder="1" applyAlignment="1">
      <alignment horizontal="justify" vertical="center" wrapText="1"/>
    </xf>
    <xf numFmtId="0" fontId="3" fillId="16" borderId="8" xfId="0" applyNumberFormat="1" applyFont="1" applyFill="1" applyBorder="1" applyAlignment="1">
      <alignment horizontal="center" vertical="center" wrapText="1"/>
    </xf>
    <xf numFmtId="168" fontId="2" fillId="16" borderId="8" xfId="0" applyFont="1" applyFill="1" applyBorder="1" applyAlignment="1">
      <alignment vertical="center"/>
    </xf>
    <xf numFmtId="168" fontId="3" fillId="16" borderId="9" xfId="0" applyFont="1" applyFill="1" applyBorder="1" applyAlignment="1">
      <alignment horizontal="center" vertical="center"/>
    </xf>
    <xf numFmtId="168" fontId="3" fillId="7" borderId="7" xfId="0" applyFont="1" applyFill="1" applyBorder="1" applyAlignment="1">
      <alignment vertical="center"/>
    </xf>
    <xf numFmtId="168" fontId="3" fillId="7" borderId="8" xfId="0" applyFont="1" applyFill="1" applyBorder="1" applyAlignment="1">
      <alignment vertical="center"/>
    </xf>
    <xf numFmtId="0" fontId="3" fillId="7" borderId="8" xfId="0" applyNumberFormat="1" applyFont="1" applyFill="1" applyBorder="1" applyAlignment="1">
      <alignment horizontal="justify" vertical="center" wrapText="1"/>
    </xf>
    <xf numFmtId="0" fontId="2" fillId="7" borderId="8" xfId="0" applyNumberFormat="1" applyFont="1" applyFill="1" applyBorder="1" applyAlignment="1">
      <alignment horizontal="center" vertical="center"/>
    </xf>
    <xf numFmtId="168" fontId="3" fillId="7" borderId="8" xfId="0" applyFont="1" applyFill="1" applyBorder="1" applyAlignment="1">
      <alignment horizontal="justify" vertical="center" wrapText="1"/>
    </xf>
    <xf numFmtId="0" fontId="3" fillId="7" borderId="8" xfId="0" applyNumberFormat="1" applyFont="1" applyFill="1" applyBorder="1" applyAlignment="1">
      <alignment horizontal="center" vertical="center" wrapText="1"/>
    </xf>
    <xf numFmtId="168" fontId="2" fillId="7" borderId="8" xfId="0" applyFont="1" applyFill="1" applyBorder="1" applyAlignment="1">
      <alignment horizontal="center" vertical="center"/>
    </xf>
    <xf numFmtId="168" fontId="3" fillId="7" borderId="9" xfId="0" applyFont="1" applyFill="1" applyBorder="1" applyAlignment="1">
      <alignment horizontal="center" vertical="center"/>
    </xf>
    <xf numFmtId="0" fontId="2" fillId="0" borderId="19" xfId="6" applyNumberFormat="1" applyFont="1" applyFill="1" applyBorder="1" applyAlignment="1">
      <alignment horizontal="justify" vertical="center" wrapText="1"/>
    </xf>
    <xf numFmtId="168" fontId="2" fillId="7" borderId="8" xfId="0" applyFont="1" applyFill="1" applyBorder="1" applyAlignment="1">
      <alignment vertical="center"/>
    </xf>
    <xf numFmtId="168" fontId="2" fillId="0" borderId="17" xfId="0" applyFont="1" applyBorder="1" applyAlignment="1">
      <alignment vertical="center" wrapText="1"/>
    </xf>
    <xf numFmtId="0" fontId="2" fillId="0" borderId="17" xfId="6" applyNumberFormat="1" applyFont="1" applyFill="1" applyBorder="1" applyAlignment="1">
      <alignment horizontal="justify" vertical="center" wrapText="1"/>
    </xf>
    <xf numFmtId="0" fontId="2" fillId="0" borderId="17" xfId="6" applyNumberFormat="1" applyFont="1" applyFill="1" applyBorder="1" applyAlignment="1">
      <alignment horizontal="center" vertical="center" wrapText="1"/>
    </xf>
    <xf numFmtId="0" fontId="2" fillId="0" borderId="17" xfId="9" applyNumberFormat="1" applyFont="1" applyFill="1" applyBorder="1" applyAlignment="1">
      <alignment horizontal="center" vertical="center" wrapText="1"/>
    </xf>
    <xf numFmtId="0" fontId="2" fillId="2" borderId="17" xfId="9" applyFont="1" applyFill="1" applyBorder="1" applyAlignment="1">
      <alignment horizontal="justify" vertical="center" wrapText="1"/>
    </xf>
    <xf numFmtId="0" fontId="2" fillId="2" borderId="17" xfId="9" applyFont="1" applyFill="1" applyBorder="1">
      <alignment horizontal="center" vertical="center" wrapText="1"/>
    </xf>
    <xf numFmtId="168" fontId="2" fillId="2" borderId="23" xfId="0" applyFont="1" applyFill="1" applyBorder="1" applyAlignment="1">
      <alignment horizontal="center" vertical="center" wrapText="1"/>
    </xf>
    <xf numFmtId="0" fontId="2" fillId="0" borderId="23" xfId="0" applyNumberFormat="1" applyFont="1" applyFill="1" applyBorder="1" applyAlignment="1">
      <alignment horizontal="center" vertical="center" wrapText="1"/>
    </xf>
    <xf numFmtId="0" fontId="2" fillId="2" borderId="23" xfId="6" applyNumberFormat="1" applyFont="1" applyFill="1" applyBorder="1" applyAlignment="1">
      <alignment horizontal="center" vertical="center" wrapText="1"/>
    </xf>
    <xf numFmtId="168" fontId="2" fillId="0" borderId="23" xfId="0" applyFont="1" applyBorder="1" applyAlignment="1">
      <alignment horizontal="justify" vertical="center" wrapText="1"/>
    </xf>
    <xf numFmtId="0" fontId="2" fillId="2" borderId="23" xfId="7" applyFont="1" applyFill="1" applyBorder="1" applyAlignment="1">
      <alignment horizontal="center" vertical="center" wrapText="1"/>
    </xf>
    <xf numFmtId="168" fontId="2" fillId="0" borderId="23" xfId="0" applyFont="1" applyFill="1" applyBorder="1" applyAlignment="1">
      <alignment horizontal="center" vertical="center" wrapText="1"/>
    </xf>
    <xf numFmtId="168" fontId="2" fillId="6" borderId="8" xfId="0" applyFont="1" applyFill="1" applyBorder="1" applyAlignment="1">
      <alignment vertical="center"/>
    </xf>
    <xf numFmtId="168" fontId="3" fillId="16" borderId="8" xfId="0" applyFont="1" applyFill="1" applyBorder="1" applyAlignment="1">
      <alignment horizontal="center" vertical="center"/>
    </xf>
    <xf numFmtId="168" fontId="3" fillId="16" borderId="9" xfId="0" applyFont="1" applyFill="1" applyBorder="1" applyAlignment="1">
      <alignment horizontal="justify" vertical="center" wrapText="1"/>
    </xf>
    <xf numFmtId="0" fontId="2" fillId="7" borderId="8" xfId="0" applyNumberFormat="1" applyFont="1" applyFill="1" applyBorder="1" applyAlignment="1">
      <alignment horizontal="justify" vertical="justify"/>
    </xf>
    <xf numFmtId="0" fontId="2" fillId="2" borderId="19" xfId="0" applyNumberFormat="1" applyFont="1" applyFill="1" applyBorder="1" applyAlignment="1">
      <alignment horizontal="center" vertical="center" wrapText="1"/>
    </xf>
    <xf numFmtId="168" fontId="2" fillId="2" borderId="19" xfId="0" applyFont="1" applyFill="1" applyBorder="1" applyAlignment="1">
      <alignment horizontal="justify" vertical="center" wrapText="1"/>
    </xf>
    <xf numFmtId="168" fontId="2" fillId="2" borderId="19" xfId="0" applyFont="1" applyFill="1" applyBorder="1" applyAlignment="1">
      <alignment horizontal="center" vertical="center" wrapText="1"/>
    </xf>
    <xf numFmtId="0" fontId="2" fillId="2" borderId="19" xfId="9" applyFont="1" applyFill="1" applyBorder="1" applyAlignment="1">
      <alignment horizontal="center" vertical="center" wrapText="1"/>
    </xf>
    <xf numFmtId="0" fontId="2" fillId="0" borderId="17" xfId="7" applyFont="1" applyBorder="1" applyAlignment="1">
      <alignment horizontal="center" vertical="center" wrapText="1"/>
    </xf>
    <xf numFmtId="0" fontId="2" fillId="0" borderId="23" xfId="8" applyNumberFormat="1" applyFont="1" applyFill="1" applyBorder="1" applyAlignment="1">
      <alignment horizontal="center" vertical="center" wrapText="1"/>
    </xf>
    <xf numFmtId="0" fontId="2" fillId="0" borderId="23" xfId="7" applyNumberFormat="1" applyFont="1" applyBorder="1" applyAlignment="1">
      <alignment horizontal="center" vertical="center" wrapText="1"/>
    </xf>
    <xf numFmtId="0" fontId="2" fillId="0" borderId="23" xfId="7" applyFont="1" applyBorder="1" applyAlignment="1">
      <alignment horizontal="justify" vertical="center" wrapText="1"/>
    </xf>
    <xf numFmtId="0" fontId="2" fillId="16" borderId="7" xfId="0" applyNumberFormat="1" applyFont="1" applyFill="1" applyBorder="1" applyAlignment="1">
      <alignment horizontal="center" vertical="center"/>
    </xf>
    <xf numFmtId="0" fontId="2" fillId="2" borderId="19" xfId="6" applyNumberFormat="1" applyFont="1" applyFill="1" applyBorder="1" applyAlignment="1">
      <alignment horizontal="justify" vertical="center" wrapText="1"/>
    </xf>
    <xf numFmtId="0" fontId="2" fillId="2" borderId="23" xfId="6" applyNumberFormat="1" applyFont="1" applyFill="1" applyBorder="1" applyAlignment="1">
      <alignment horizontal="justify" vertical="center" wrapText="1"/>
    </xf>
    <xf numFmtId="0" fontId="2" fillId="2" borderId="23" xfId="0" applyNumberFormat="1" applyFont="1" applyFill="1" applyBorder="1" applyAlignment="1">
      <alignment horizontal="center" vertical="center" wrapText="1"/>
    </xf>
    <xf numFmtId="168" fontId="2" fillId="0" borderId="19" xfId="0" applyFont="1" applyBorder="1" applyAlignment="1">
      <alignment horizontal="justify" vertical="center"/>
    </xf>
    <xf numFmtId="0" fontId="2" fillId="0" borderId="23" xfId="0" applyNumberFormat="1" applyFont="1" applyBorder="1" applyAlignment="1">
      <alignment horizontal="center" vertical="center" wrapText="1"/>
    </xf>
    <xf numFmtId="0" fontId="2" fillId="0" borderId="23" xfId="6" applyNumberFormat="1" applyFont="1" applyFill="1" applyBorder="1" applyAlignment="1">
      <alignment horizontal="center" vertical="center" wrapText="1"/>
    </xf>
    <xf numFmtId="0" fontId="2" fillId="0" borderId="23" xfId="6" applyNumberFormat="1" applyFont="1" applyFill="1" applyBorder="1" applyAlignment="1">
      <alignment horizontal="justify" vertical="center" wrapText="1"/>
    </xf>
    <xf numFmtId="168" fontId="3" fillId="7" borderId="8" xfId="0" applyFont="1" applyFill="1" applyBorder="1" applyAlignment="1">
      <alignment vertical="justify"/>
    </xf>
    <xf numFmtId="0" fontId="2" fillId="0" borderId="23" xfId="0" applyNumberFormat="1" applyFont="1" applyFill="1" applyBorder="1" applyAlignment="1">
      <alignment horizontal="justify" vertical="center" wrapText="1"/>
    </xf>
    <xf numFmtId="0" fontId="2" fillId="0" borderId="23" xfId="9" applyFont="1" applyFill="1" applyBorder="1" applyAlignment="1">
      <alignment horizontal="justify" vertical="center" wrapText="1"/>
    </xf>
    <xf numFmtId="0" fontId="2" fillId="0" borderId="23" xfId="9" applyNumberFormat="1" applyFont="1" applyFill="1" applyBorder="1" applyAlignment="1">
      <alignment horizontal="center" vertical="center" wrapText="1"/>
    </xf>
    <xf numFmtId="0" fontId="2" fillId="0" borderId="23" xfId="6" applyNumberFormat="1" applyFont="1" applyFill="1" applyBorder="1">
      <alignment horizontal="center" vertical="center" wrapText="1"/>
    </xf>
    <xf numFmtId="0" fontId="2" fillId="0" borderId="23" xfId="7" applyFont="1" applyFill="1" applyBorder="1" applyAlignment="1">
      <alignment horizontal="center" vertical="center" wrapText="1"/>
    </xf>
    <xf numFmtId="168" fontId="2" fillId="0" borderId="13" xfId="0" applyFont="1" applyBorder="1" applyAlignment="1">
      <alignment horizontal="justify" vertical="center" wrapText="1"/>
    </xf>
    <xf numFmtId="43" fontId="2" fillId="0" borderId="13" xfId="1" applyFont="1" applyFill="1" applyBorder="1" applyAlignment="1">
      <alignment vertical="center"/>
    </xf>
    <xf numFmtId="43" fontId="2" fillId="0" borderId="13" xfId="1" applyFont="1" applyFill="1" applyBorder="1" applyAlignment="1">
      <alignment horizontal="right" vertical="center"/>
    </xf>
    <xf numFmtId="168" fontId="2" fillId="0" borderId="13" xfId="0" applyFont="1" applyFill="1" applyBorder="1" applyAlignment="1">
      <alignment horizontal="center" vertical="center" wrapText="1"/>
    </xf>
    <xf numFmtId="0" fontId="2" fillId="0" borderId="13" xfId="0" applyNumberFormat="1" applyFont="1" applyFill="1" applyBorder="1" applyAlignment="1">
      <alignment horizontal="justify" vertical="center" wrapText="1"/>
    </xf>
    <xf numFmtId="4" fontId="2" fillId="0" borderId="13" xfId="0" applyNumberFormat="1" applyFont="1" applyFill="1" applyBorder="1" applyAlignment="1">
      <alignment vertical="center" wrapText="1"/>
    </xf>
    <xf numFmtId="43" fontId="57" fillId="0" borderId="16" xfId="1" applyFont="1" applyFill="1" applyBorder="1" applyAlignment="1">
      <alignment horizontal="center" vertical="center" wrapText="1"/>
    </xf>
    <xf numFmtId="0" fontId="2" fillId="0" borderId="13" xfId="0" applyNumberFormat="1" applyFont="1" applyFill="1" applyBorder="1" applyAlignment="1">
      <alignment horizontal="justify" vertical="center" wrapText="1"/>
    </xf>
    <xf numFmtId="168" fontId="2" fillId="0" borderId="13" xfId="0" applyFont="1" applyFill="1" applyBorder="1" applyAlignment="1">
      <alignment horizontal="justify" vertical="center" wrapText="1"/>
    </xf>
    <xf numFmtId="0" fontId="2" fillId="0" borderId="13" xfId="7" applyNumberFormat="1" applyFont="1" applyFill="1" applyBorder="1" applyAlignment="1">
      <alignment horizontal="justify" vertical="center" wrapText="1"/>
    </xf>
    <xf numFmtId="0" fontId="2" fillId="0" borderId="13" xfId="6" applyNumberFormat="1" applyFont="1" applyFill="1" applyBorder="1" applyAlignment="1">
      <alignment horizontal="justify" vertical="center" wrapText="1"/>
    </xf>
    <xf numFmtId="165" fontId="2" fillId="0" borderId="13" xfId="0" applyNumberFormat="1" applyFont="1" applyBorder="1" applyAlignment="1">
      <alignment horizontal="left" vertical="center" wrapText="1"/>
    </xf>
    <xf numFmtId="165" fontId="3" fillId="16" borderId="13" xfId="0" applyNumberFormat="1" applyFont="1" applyFill="1" applyBorder="1" applyAlignment="1">
      <alignment horizontal="left" vertical="center" wrapText="1"/>
    </xf>
    <xf numFmtId="165" fontId="3" fillId="7" borderId="13" xfId="0" applyNumberFormat="1" applyFont="1" applyFill="1" applyBorder="1" applyAlignment="1">
      <alignment horizontal="left" vertical="center" wrapText="1"/>
    </xf>
    <xf numFmtId="165" fontId="2" fillId="0" borderId="15" xfId="0" applyNumberFormat="1" applyFont="1" applyBorder="1" applyAlignment="1">
      <alignment horizontal="left" vertical="center" wrapText="1"/>
    </xf>
    <xf numFmtId="165" fontId="3" fillId="7" borderId="17" xfId="0" applyNumberFormat="1" applyFont="1" applyFill="1" applyBorder="1" applyAlignment="1">
      <alignment horizontal="center" vertical="center"/>
    </xf>
    <xf numFmtId="43" fontId="59" fillId="0" borderId="0" xfId="1" applyFont="1" applyAlignment="1">
      <alignment vertical="center"/>
    </xf>
    <xf numFmtId="0" fontId="2" fillId="0" borderId="13" xfId="0" applyNumberFormat="1" applyFont="1" applyBorder="1" applyAlignment="1">
      <alignment horizontal="justify" vertical="center" wrapText="1"/>
    </xf>
    <xf numFmtId="168" fontId="58" fillId="0" borderId="3" xfId="0" applyFont="1" applyBorder="1" applyAlignment="1">
      <alignment horizontal="center" vertical="center"/>
    </xf>
    <xf numFmtId="168" fontId="55" fillId="0" borderId="0" xfId="0" applyFont="1"/>
    <xf numFmtId="168" fontId="0" fillId="0" borderId="0" xfId="0" applyFill="1" applyBorder="1"/>
    <xf numFmtId="43" fontId="3" fillId="16" borderId="13" xfId="0" applyNumberFormat="1" applyFont="1" applyFill="1" applyBorder="1" applyAlignment="1">
      <alignment vertical="center"/>
    </xf>
    <xf numFmtId="43" fontId="13" fillId="5" borderId="13" xfId="1" applyFont="1" applyFill="1" applyBorder="1" applyAlignment="1">
      <alignment horizontal="center" vertical="center"/>
    </xf>
    <xf numFmtId="43" fontId="13" fillId="5" borderId="19" xfId="1" applyFont="1" applyFill="1" applyBorder="1" applyAlignment="1">
      <alignment horizontal="center" vertical="center"/>
    </xf>
    <xf numFmtId="43" fontId="2" fillId="0" borderId="0" xfId="1" applyFont="1" applyBorder="1" applyAlignment="1">
      <alignment horizontal="center"/>
    </xf>
    <xf numFmtId="43" fontId="3" fillId="16" borderId="17" xfId="1" applyFont="1" applyFill="1" applyBorder="1" applyAlignment="1">
      <alignment vertical="center"/>
    </xf>
    <xf numFmtId="43" fontId="3" fillId="9" borderId="13" xfId="1" applyFont="1" applyFill="1" applyBorder="1" applyAlignment="1">
      <alignment horizontal="left" vertical="center" wrapText="1"/>
    </xf>
    <xf numFmtId="43" fontId="2" fillId="0" borderId="0" xfId="1" applyFont="1" applyAlignment="1">
      <alignment horizontal="center"/>
    </xf>
    <xf numFmtId="43" fontId="3" fillId="9" borderId="13" xfId="1" applyFont="1" applyFill="1" applyBorder="1" applyAlignment="1">
      <alignment horizontal="left" vertical="center"/>
    </xf>
    <xf numFmtId="43" fontId="3" fillId="0" borderId="0" xfId="1" applyFont="1" applyFill="1" applyAlignment="1">
      <alignment horizontal="center"/>
    </xf>
    <xf numFmtId="43" fontId="3" fillId="4" borderId="65" xfId="1" applyFont="1" applyFill="1" applyBorder="1" applyAlignment="1">
      <alignment horizontal="center" vertical="center"/>
    </xf>
    <xf numFmtId="0" fontId="3" fillId="6" borderId="19" xfId="0" applyNumberFormat="1" applyFont="1" applyFill="1" applyBorder="1" applyAlignment="1">
      <alignment horizontal="center" vertical="center" wrapText="1"/>
    </xf>
    <xf numFmtId="0" fontId="3" fillId="0" borderId="0" xfId="0" applyNumberFormat="1" applyFont="1" applyBorder="1" applyAlignment="1">
      <alignment horizontal="center" vertical="center" wrapText="1"/>
    </xf>
    <xf numFmtId="0" fontId="3" fillId="0" borderId="61" xfId="0" applyNumberFormat="1" applyFont="1" applyFill="1" applyBorder="1" applyAlignment="1">
      <alignment horizontal="center" vertical="center" wrapText="1"/>
    </xf>
    <xf numFmtId="0" fontId="3" fillId="0" borderId="64" xfId="0" applyNumberFormat="1" applyFont="1" applyFill="1" applyBorder="1" applyAlignment="1">
      <alignment horizontal="center" vertical="center" wrapText="1"/>
    </xf>
    <xf numFmtId="0" fontId="3" fillId="6" borderId="22" xfId="0" applyNumberFormat="1" applyFont="1" applyFill="1" applyBorder="1" applyAlignment="1">
      <alignment horizontal="center" vertical="center" wrapText="1"/>
    </xf>
    <xf numFmtId="0" fontId="3" fillId="0" borderId="75" xfId="0" applyNumberFormat="1" applyFont="1" applyFill="1" applyBorder="1" applyAlignment="1">
      <alignment horizontal="center" vertical="center" wrapText="1"/>
    </xf>
    <xf numFmtId="0" fontId="3" fillId="0" borderId="74" xfId="0" applyNumberFormat="1" applyFont="1" applyFill="1" applyBorder="1" applyAlignment="1">
      <alignment horizontal="center" vertical="center" wrapText="1"/>
    </xf>
    <xf numFmtId="0" fontId="13" fillId="5" borderId="17" xfId="0" applyNumberFormat="1" applyFont="1" applyFill="1" applyBorder="1" applyAlignment="1">
      <alignment horizontal="left" vertical="center"/>
    </xf>
    <xf numFmtId="0" fontId="3" fillId="16" borderId="22" xfId="0" applyNumberFormat="1" applyFont="1" applyFill="1" applyBorder="1" applyAlignment="1">
      <alignment horizontal="center" vertical="center" wrapText="1"/>
    </xf>
    <xf numFmtId="0" fontId="3" fillId="16" borderId="27" xfId="0" applyNumberFormat="1" applyFont="1" applyFill="1" applyBorder="1" applyAlignment="1">
      <alignment horizontal="center" vertical="center" wrapText="1"/>
    </xf>
    <xf numFmtId="168" fontId="2" fillId="0" borderId="0" xfId="0" applyFont="1" applyBorder="1" applyAlignment="1">
      <alignment horizontal="justify" vertical="center" wrapText="1"/>
    </xf>
    <xf numFmtId="0" fontId="3" fillId="6" borderId="23"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3" fillId="6" borderId="17" xfId="0" applyNumberFormat="1" applyFont="1" applyFill="1" applyBorder="1" applyAlignment="1">
      <alignment horizontal="center" vertical="center"/>
    </xf>
    <xf numFmtId="0" fontId="3" fillId="6" borderId="19" xfId="0" applyNumberFormat="1" applyFont="1" applyFill="1" applyBorder="1" applyAlignment="1">
      <alignment vertical="center"/>
    </xf>
    <xf numFmtId="0" fontId="3" fillId="16" borderId="79" xfId="0" applyNumberFormat="1" applyFont="1" applyFill="1" applyBorder="1" applyAlignment="1">
      <alignment horizontal="center" vertical="center" wrapText="1"/>
    </xf>
    <xf numFmtId="168" fontId="3" fillId="0" borderId="0" xfId="0" applyFont="1" applyBorder="1" applyAlignment="1">
      <alignment vertical="center" wrapText="1"/>
    </xf>
    <xf numFmtId="170" fontId="4" fillId="4" borderId="3" xfId="5" applyNumberFormat="1" applyFont="1" applyFill="1" applyBorder="1" applyAlignment="1">
      <alignment horizontal="center" vertical="center" wrapText="1"/>
    </xf>
    <xf numFmtId="165" fontId="3" fillId="15" borderId="6" xfId="0" applyNumberFormat="1" applyFont="1" applyFill="1" applyBorder="1" applyAlignment="1">
      <alignment vertical="center"/>
    </xf>
    <xf numFmtId="43" fontId="59" fillId="0" borderId="0" xfId="1" applyFont="1" applyFill="1" applyAlignment="1">
      <alignment vertical="center"/>
    </xf>
    <xf numFmtId="170" fontId="4" fillId="4" borderId="9" xfId="5" applyNumberFormat="1" applyFont="1" applyFill="1" applyBorder="1" applyAlignment="1">
      <alignment horizontal="center" vertical="center" wrapText="1"/>
    </xf>
    <xf numFmtId="0" fontId="2" fillId="0" borderId="13" xfId="0" applyNumberFormat="1" applyFont="1" applyBorder="1" applyAlignment="1">
      <alignment horizontal="center" vertical="center" wrapText="1"/>
    </xf>
    <xf numFmtId="0" fontId="2" fillId="0" borderId="13" xfId="0" applyNumberFormat="1" applyFont="1" applyFill="1" applyBorder="1" applyAlignment="1">
      <alignment horizontal="justify" vertical="center" wrapText="1"/>
    </xf>
    <xf numFmtId="168" fontId="2" fillId="0" borderId="13" xfId="0" applyFont="1" applyFill="1" applyBorder="1" applyAlignment="1">
      <alignment horizontal="justify" vertical="center" wrapText="1"/>
    </xf>
    <xf numFmtId="170" fontId="4" fillId="4" borderId="3" xfId="5" applyNumberFormat="1" applyFont="1" applyFill="1" applyBorder="1" applyAlignment="1">
      <alignment horizontal="center" vertical="center" wrapText="1"/>
    </xf>
    <xf numFmtId="168" fontId="2" fillId="0" borderId="13" xfId="0" applyFont="1" applyFill="1" applyBorder="1" applyAlignment="1">
      <alignment horizontal="left" vertical="center"/>
    </xf>
    <xf numFmtId="0" fontId="2" fillId="0" borderId="4" xfId="0" applyNumberFormat="1" applyFont="1" applyBorder="1" applyAlignment="1">
      <alignment horizontal="center" vertical="center" wrapText="1"/>
    </xf>
    <xf numFmtId="0" fontId="2" fillId="0" borderId="61" xfId="0" applyNumberFormat="1" applyFont="1" applyBorder="1" applyAlignment="1">
      <alignment horizontal="center" vertical="center" wrapText="1"/>
    </xf>
    <xf numFmtId="0" fontId="2" fillId="0" borderId="16" xfId="0" applyNumberFormat="1" applyFont="1" applyFill="1" applyBorder="1" applyAlignment="1">
      <alignment horizontal="center" vertical="center"/>
    </xf>
    <xf numFmtId="43" fontId="2" fillId="0" borderId="13" xfId="1" applyFont="1" applyFill="1" applyBorder="1" applyAlignment="1">
      <alignment horizontal="left" vertical="center"/>
    </xf>
    <xf numFmtId="0" fontId="2" fillId="0" borderId="5"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30" xfId="0" applyNumberFormat="1" applyFont="1" applyFill="1" applyBorder="1" applyAlignment="1">
      <alignment horizontal="center" vertical="center"/>
    </xf>
    <xf numFmtId="168" fontId="2" fillId="0" borderId="31" xfId="0" applyFont="1" applyFill="1" applyBorder="1" applyAlignment="1">
      <alignment horizontal="justify" vertical="center" wrapText="1"/>
    </xf>
    <xf numFmtId="43" fontId="2" fillId="0" borderId="31" xfId="1" applyFont="1" applyFill="1" applyBorder="1" applyAlignment="1">
      <alignment vertical="center"/>
    </xf>
    <xf numFmtId="0" fontId="2" fillId="0" borderId="64" xfId="0" applyNumberFormat="1" applyFont="1" applyFill="1" applyBorder="1" applyAlignment="1">
      <alignment horizontal="center" vertical="center" wrapText="1"/>
    </xf>
    <xf numFmtId="0" fontId="2" fillId="0" borderId="75"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0" borderId="16" xfId="0" applyNumberFormat="1" applyFont="1" applyBorder="1" applyAlignment="1">
      <alignment horizontal="center" vertical="center" wrapText="1"/>
    </xf>
    <xf numFmtId="0" fontId="2" fillId="0" borderId="64" xfId="0" applyNumberFormat="1" applyFont="1" applyBorder="1" applyAlignment="1">
      <alignment horizontal="center" vertical="center" wrapText="1"/>
    </xf>
    <xf numFmtId="0" fontId="2" fillId="0" borderId="0" xfId="0" applyNumberFormat="1" applyFont="1" applyBorder="1" applyAlignment="1">
      <alignment horizontal="center" vertical="center" wrapText="1"/>
    </xf>
    <xf numFmtId="0" fontId="2" fillId="0" borderId="74" xfId="0" applyNumberFormat="1" applyFont="1" applyBorder="1" applyAlignment="1">
      <alignment horizontal="center" vertical="center" wrapText="1"/>
    </xf>
    <xf numFmtId="0" fontId="2" fillId="0" borderId="74" xfId="0" applyNumberFormat="1" applyFont="1" applyFill="1" applyBorder="1" applyAlignment="1">
      <alignment horizontal="center" vertical="center" wrapText="1"/>
    </xf>
    <xf numFmtId="0" fontId="2" fillId="16" borderId="22" xfId="0" applyNumberFormat="1" applyFont="1" applyFill="1" applyBorder="1" applyAlignment="1">
      <alignment horizontal="center" vertical="center" wrapText="1"/>
    </xf>
    <xf numFmtId="0" fontId="2" fillId="16" borderId="13" xfId="0" applyNumberFormat="1" applyFont="1" applyFill="1" applyBorder="1" applyAlignment="1">
      <alignment horizontal="left" vertical="center"/>
    </xf>
    <xf numFmtId="0" fontId="2" fillId="16" borderId="13" xfId="0" applyNumberFormat="1" applyFont="1" applyFill="1" applyBorder="1" applyAlignment="1">
      <alignment vertical="center"/>
    </xf>
    <xf numFmtId="43" fontId="2" fillId="16" borderId="13" xfId="1" applyFont="1" applyFill="1" applyBorder="1" applyAlignment="1">
      <alignment vertical="center"/>
    </xf>
    <xf numFmtId="0" fontId="2" fillId="0" borderId="11" xfId="0" applyNumberFormat="1" applyFont="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61"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75" xfId="0" applyNumberFormat="1" applyFont="1" applyBorder="1" applyAlignment="1">
      <alignment horizontal="center" vertical="center" wrapText="1"/>
    </xf>
    <xf numFmtId="168" fontId="2" fillId="0" borderId="0" xfId="0" applyFont="1" applyFill="1" applyAlignment="1">
      <alignment vertical="center"/>
    </xf>
    <xf numFmtId="0" fontId="2" fillId="2" borderId="9"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168" fontId="2" fillId="0" borderId="3" xfId="0" applyFont="1" applyFill="1" applyBorder="1" applyAlignment="1">
      <alignment horizontal="justify" vertical="center" wrapText="1"/>
    </xf>
    <xf numFmtId="43" fontId="2" fillId="0" borderId="3" xfId="1" applyFont="1" applyFill="1" applyBorder="1" applyAlignment="1">
      <alignment horizontal="left" vertical="center"/>
    </xf>
    <xf numFmtId="0" fontId="2" fillId="0" borderId="3" xfId="0" applyNumberFormat="1" applyFont="1" applyFill="1" applyBorder="1" applyAlignment="1">
      <alignment horizontal="justify" vertical="center" wrapText="1"/>
    </xf>
    <xf numFmtId="0" fontId="2" fillId="0" borderId="3" xfId="0" applyNumberFormat="1" applyFont="1" applyFill="1" applyBorder="1" applyAlignment="1">
      <alignment horizontal="center" vertical="center"/>
    </xf>
    <xf numFmtId="168" fontId="2" fillId="0" borderId="16" xfId="0" applyFont="1" applyFill="1" applyBorder="1" applyAlignment="1">
      <alignment horizontal="justify" vertical="center" wrapText="1"/>
    </xf>
    <xf numFmtId="168" fontId="2" fillId="0" borderId="13" xfId="0" applyFont="1" applyFill="1" applyBorder="1" applyAlignment="1">
      <alignment horizontal="justify" vertical="center"/>
    </xf>
    <xf numFmtId="0" fontId="2" fillId="0" borderId="64"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0" fontId="2" fillId="0" borderId="64" xfId="0" applyNumberFormat="1" applyFont="1" applyBorder="1" applyAlignment="1">
      <alignment horizontal="center" vertical="center"/>
    </xf>
    <xf numFmtId="0" fontId="2" fillId="0" borderId="16" xfId="0" applyNumberFormat="1" applyFont="1" applyBorder="1" applyAlignment="1">
      <alignment horizontal="center" vertical="center"/>
    </xf>
    <xf numFmtId="43" fontId="2" fillId="0" borderId="13" xfId="1" applyFont="1" applyBorder="1" applyAlignment="1">
      <alignment horizontal="left" vertical="center"/>
    </xf>
    <xf numFmtId="0" fontId="2" fillId="0" borderId="12" xfId="0" applyNumberFormat="1" applyFont="1" applyBorder="1" applyAlignment="1">
      <alignment horizontal="center" vertical="center"/>
    </xf>
    <xf numFmtId="0" fontId="2" fillId="0" borderId="13" xfId="0" applyNumberFormat="1" applyFont="1" applyFill="1" applyBorder="1" applyAlignment="1">
      <alignment horizontal="justify" vertical="center"/>
    </xf>
    <xf numFmtId="168" fontId="3" fillId="0" borderId="0" xfId="0" applyFont="1" applyFill="1" applyBorder="1" applyAlignment="1">
      <alignment horizontal="left" vertical="center"/>
    </xf>
    <xf numFmtId="168" fontId="2" fillId="0" borderId="15" xfId="0" applyFont="1" applyFill="1" applyBorder="1" applyAlignment="1">
      <alignment vertical="center"/>
    </xf>
    <xf numFmtId="168" fontId="3" fillId="0" borderId="13" xfId="0" applyFont="1" applyBorder="1"/>
    <xf numFmtId="168" fontId="2" fillId="0" borderId="13" xfId="0" applyFont="1" applyFill="1" applyBorder="1" applyAlignment="1">
      <alignment vertical="center"/>
    </xf>
    <xf numFmtId="168" fontId="3" fillId="0" borderId="0" xfId="0" applyFont="1" applyBorder="1"/>
    <xf numFmtId="168" fontId="2" fillId="0" borderId="0" xfId="0" applyFont="1" applyFill="1" applyBorder="1" applyAlignment="1">
      <alignment horizontal="left" vertical="center"/>
    </xf>
    <xf numFmtId="168" fontId="2" fillId="0" borderId="0" xfId="0" applyFont="1" applyFill="1" applyBorder="1" applyAlignment="1">
      <alignment vertical="center"/>
    </xf>
    <xf numFmtId="168" fontId="2" fillId="0" borderId="13" xfId="0" applyFont="1" applyBorder="1" applyAlignment="1">
      <alignment horizontal="left" vertical="center"/>
    </xf>
    <xf numFmtId="0" fontId="2" fillId="2" borderId="80" xfId="0" applyNumberFormat="1" applyFont="1" applyFill="1" applyBorder="1" applyAlignment="1">
      <alignment horizontal="justify" vertical="center" wrapText="1"/>
    </xf>
    <xf numFmtId="168" fontId="2" fillId="0" borderId="13" xfId="0" applyFont="1" applyFill="1" applyBorder="1" applyAlignment="1">
      <alignment horizontal="center" vertical="center" wrapText="1"/>
    </xf>
    <xf numFmtId="168" fontId="2" fillId="0" borderId="13" xfId="0" applyFont="1" applyFill="1" applyBorder="1" applyAlignment="1">
      <alignment horizontal="center" vertical="center"/>
    </xf>
    <xf numFmtId="168" fontId="2" fillId="0" borderId="13" xfId="0" applyFont="1" applyFill="1" applyBorder="1" applyAlignment="1">
      <alignment horizontal="justify" vertical="center" wrapText="1"/>
    </xf>
    <xf numFmtId="0" fontId="2" fillId="0" borderId="13" xfId="0" applyNumberFormat="1" applyFont="1" applyFill="1" applyBorder="1" applyAlignment="1">
      <alignment horizontal="justify" vertical="center" wrapText="1"/>
    </xf>
    <xf numFmtId="170" fontId="4" fillId="4" borderId="9" xfId="5" applyNumberFormat="1" applyFont="1" applyFill="1" applyBorder="1" applyAlignment="1">
      <alignment horizontal="center" vertical="center" wrapText="1"/>
    </xf>
    <xf numFmtId="165" fontId="2" fillId="0" borderId="15" xfId="0" applyNumberFormat="1" applyFont="1" applyFill="1" applyBorder="1" applyAlignment="1">
      <alignment horizontal="center" vertical="center"/>
    </xf>
    <xf numFmtId="165" fontId="2" fillId="0" borderId="3" xfId="0" applyNumberFormat="1" applyFont="1" applyFill="1" applyBorder="1" applyAlignment="1">
      <alignment horizontal="center" vertical="center"/>
    </xf>
    <xf numFmtId="168" fontId="3" fillId="0" borderId="0" xfId="0" applyFont="1" applyFill="1" applyAlignment="1">
      <alignment vertical="center"/>
    </xf>
    <xf numFmtId="1" fontId="2" fillId="0" borderId="13" xfId="0" applyNumberFormat="1" applyFont="1" applyFill="1" applyBorder="1" applyAlignment="1">
      <alignment horizontal="center" vertical="center"/>
    </xf>
    <xf numFmtId="3" fontId="2" fillId="0" borderId="13" xfId="0" applyNumberFormat="1" applyFont="1" applyFill="1" applyBorder="1" applyAlignment="1">
      <alignment horizontal="justify" vertical="center" wrapText="1"/>
    </xf>
    <xf numFmtId="168" fontId="2" fillId="0" borderId="17" xfId="0" applyFont="1" applyBorder="1" applyAlignment="1">
      <alignment horizontal="justify" vertical="center" wrapText="1"/>
    </xf>
    <xf numFmtId="168" fontId="2" fillId="0" borderId="19" xfId="0" applyFont="1" applyBorder="1" applyAlignment="1">
      <alignment horizontal="justify" vertical="center" wrapText="1"/>
    </xf>
    <xf numFmtId="0" fontId="2" fillId="0" borderId="17" xfId="0" applyNumberFormat="1" applyFont="1" applyBorder="1" applyAlignment="1">
      <alignment horizontal="justify" vertical="center" wrapText="1"/>
    </xf>
    <xf numFmtId="0" fontId="2" fillId="0" borderId="19" xfId="0" applyNumberFormat="1" applyFont="1" applyBorder="1" applyAlignment="1">
      <alignment horizontal="justify" vertical="center" wrapText="1"/>
    </xf>
    <xf numFmtId="0" fontId="2" fillId="0" borderId="17" xfId="0" applyNumberFormat="1" applyFont="1" applyBorder="1" applyAlignment="1">
      <alignment horizontal="center" vertical="center" wrapText="1"/>
    </xf>
    <xf numFmtId="168" fontId="2" fillId="12" borderId="17" xfId="0" applyFont="1" applyFill="1" applyBorder="1" applyAlignment="1">
      <alignment horizontal="center" vertical="center"/>
    </xf>
    <xf numFmtId="165" fontId="2" fillId="0" borderId="17" xfId="0" applyNumberFormat="1" applyFont="1" applyBorder="1" applyAlignment="1">
      <alignment vertical="center"/>
    </xf>
    <xf numFmtId="165" fontId="2" fillId="0" borderId="29" xfId="0" applyNumberFormat="1" applyFont="1" applyBorder="1" applyAlignment="1">
      <alignment vertical="center"/>
    </xf>
    <xf numFmtId="165" fontId="2" fillId="0" borderId="22" xfId="0" applyNumberFormat="1" applyFont="1" applyBorder="1" applyAlignment="1">
      <alignment vertical="center"/>
    </xf>
    <xf numFmtId="0" fontId="2" fillId="0" borderId="19" xfId="9" applyNumberFormat="1" applyFont="1" applyFill="1" applyBorder="1" applyAlignment="1">
      <alignment horizontal="center" vertical="center" wrapText="1"/>
    </xf>
    <xf numFmtId="165" fontId="2" fillId="0" borderId="25" xfId="0" applyNumberFormat="1" applyFont="1" applyBorder="1" applyAlignment="1">
      <alignment vertical="center"/>
    </xf>
    <xf numFmtId="165" fontId="2" fillId="0" borderId="27" xfId="0" applyNumberFormat="1" applyFont="1" applyBorder="1" applyAlignment="1">
      <alignment vertical="center"/>
    </xf>
    <xf numFmtId="0" fontId="2" fillId="6" borderId="3" xfId="0" applyNumberFormat="1" applyFont="1" applyFill="1" applyBorder="1" applyAlignment="1">
      <alignment horizontal="center" vertical="center"/>
    </xf>
    <xf numFmtId="0" fontId="3" fillId="6" borderId="3" xfId="0" applyNumberFormat="1" applyFont="1" applyFill="1" applyBorder="1" applyAlignment="1">
      <alignment horizontal="justify" vertical="center" wrapText="1"/>
    </xf>
    <xf numFmtId="168" fontId="3" fillId="6" borderId="3" xfId="0" applyFont="1" applyFill="1" applyBorder="1" applyAlignment="1">
      <alignment horizontal="justify" vertical="center" wrapText="1"/>
    </xf>
    <xf numFmtId="0" fontId="3" fillId="6" borderId="3" xfId="0" applyNumberFormat="1" applyFont="1" applyFill="1" applyBorder="1" applyAlignment="1">
      <alignment horizontal="center" vertical="center" wrapText="1"/>
    </xf>
    <xf numFmtId="168" fontId="2" fillId="6" borderId="3" xfId="0" applyFont="1" applyFill="1" applyBorder="1" applyAlignment="1">
      <alignment vertical="center"/>
    </xf>
    <xf numFmtId="168" fontId="3" fillId="6" borderId="3" xfId="0" applyFont="1" applyFill="1" applyBorder="1" applyAlignment="1">
      <alignment horizontal="center" vertical="center"/>
    </xf>
    <xf numFmtId="0" fontId="2" fillId="16" borderId="3" xfId="0" applyNumberFormat="1" applyFont="1" applyFill="1" applyBorder="1" applyAlignment="1">
      <alignment horizontal="center" vertical="center"/>
    </xf>
    <xf numFmtId="0" fontId="3" fillId="16" borderId="3" xfId="0" applyNumberFormat="1" applyFont="1" applyFill="1" applyBorder="1" applyAlignment="1">
      <alignment horizontal="justify" vertical="center" wrapText="1"/>
    </xf>
    <xf numFmtId="168" fontId="3" fillId="16" borderId="3" xfId="0" applyFont="1" applyFill="1" applyBorder="1" applyAlignment="1">
      <alignment horizontal="justify" vertical="center" wrapText="1"/>
    </xf>
    <xf numFmtId="0" fontId="3" fillId="16" borderId="3" xfId="0" applyNumberFormat="1" applyFont="1" applyFill="1" applyBorder="1" applyAlignment="1">
      <alignment horizontal="center" vertical="center" wrapText="1"/>
    </xf>
    <xf numFmtId="168" fontId="2" fillId="16" borderId="3" xfId="0" applyFont="1" applyFill="1" applyBorder="1" applyAlignment="1">
      <alignment vertical="center"/>
    </xf>
    <xf numFmtId="168" fontId="3" fillId="16" borderId="3" xfId="0" applyFont="1" applyFill="1" applyBorder="1" applyAlignment="1">
      <alignment horizontal="center" vertical="center"/>
    </xf>
    <xf numFmtId="168" fontId="3" fillId="7" borderId="3" xfId="0" applyFont="1" applyFill="1" applyBorder="1" applyAlignment="1">
      <alignment vertical="center"/>
    </xf>
    <xf numFmtId="168" fontId="3" fillId="7" borderId="3" xfId="0" applyFont="1" applyFill="1" applyBorder="1" applyAlignment="1">
      <alignment horizontal="justify" vertical="center" wrapText="1"/>
    </xf>
    <xf numFmtId="0" fontId="3" fillId="7" borderId="3" xfId="0" applyNumberFormat="1" applyFont="1" applyFill="1" applyBorder="1" applyAlignment="1">
      <alignment horizontal="center" vertical="center" wrapText="1"/>
    </xf>
    <xf numFmtId="168" fontId="2" fillId="7" borderId="3" xfId="0" applyFont="1" applyFill="1" applyBorder="1" applyAlignment="1">
      <alignment vertical="center"/>
    </xf>
    <xf numFmtId="168" fontId="3" fillId="7" borderId="3" xfId="0" applyFont="1" applyFill="1" applyBorder="1" applyAlignment="1">
      <alignment horizontal="center" vertical="center"/>
    </xf>
    <xf numFmtId="165" fontId="13" fillId="5" borderId="16" xfId="0" applyNumberFormat="1" applyFont="1" applyFill="1" applyBorder="1" applyAlignment="1">
      <alignment horizontal="left" vertical="center"/>
    </xf>
    <xf numFmtId="43" fontId="3" fillId="6" borderId="16" xfId="0" applyNumberFormat="1" applyFont="1" applyFill="1" applyBorder="1" applyAlignment="1">
      <alignment vertical="center"/>
    </xf>
    <xf numFmtId="165" fontId="3" fillId="7" borderId="22" xfId="0" applyNumberFormat="1" applyFont="1" applyFill="1" applyBorder="1" applyAlignment="1">
      <alignment vertical="center"/>
    </xf>
    <xf numFmtId="165" fontId="2" fillId="0" borderId="9" xfId="0" applyNumberFormat="1" applyFont="1" applyBorder="1" applyAlignment="1">
      <alignment vertical="center"/>
    </xf>
    <xf numFmtId="165" fontId="3" fillId="7" borderId="9" xfId="0" applyNumberFormat="1" applyFont="1" applyFill="1" applyBorder="1" applyAlignment="1">
      <alignment vertical="center"/>
    </xf>
    <xf numFmtId="165" fontId="2" fillId="2" borderId="9" xfId="0" applyNumberFormat="1" applyFont="1" applyFill="1" applyBorder="1" applyAlignment="1">
      <alignment vertical="center"/>
    </xf>
    <xf numFmtId="43" fontId="3" fillId="6" borderId="9" xfId="0" applyNumberFormat="1" applyFont="1" applyFill="1" applyBorder="1" applyAlignment="1">
      <alignment vertical="center"/>
    </xf>
    <xf numFmtId="165" fontId="3" fillId="16" borderId="9" xfId="0" applyNumberFormat="1" applyFont="1" applyFill="1" applyBorder="1" applyAlignment="1">
      <alignment vertical="center"/>
    </xf>
    <xf numFmtId="165" fontId="3" fillId="6" borderId="9" xfId="0" applyNumberFormat="1" applyFont="1" applyFill="1" applyBorder="1" applyAlignment="1">
      <alignment vertical="center"/>
    </xf>
    <xf numFmtId="165" fontId="13" fillId="5" borderId="3" xfId="0" applyNumberFormat="1" applyFont="1" applyFill="1" applyBorder="1" applyAlignment="1">
      <alignment horizontal="left" vertical="center"/>
    </xf>
    <xf numFmtId="0" fontId="4" fillId="4" borderId="7" xfId="0" applyNumberFormat="1" applyFont="1" applyFill="1" applyBorder="1" applyAlignment="1">
      <alignment horizontal="center" vertical="center" wrapText="1"/>
    </xf>
    <xf numFmtId="170" fontId="4" fillId="4" borderId="7" xfId="5" applyNumberFormat="1" applyFont="1" applyFill="1" applyBorder="1" applyAlignment="1">
      <alignment horizontal="center" vertical="center" wrapText="1"/>
    </xf>
    <xf numFmtId="170" fontId="4" fillId="4" borderId="9" xfId="5" applyNumberFormat="1" applyFont="1" applyFill="1" applyBorder="1" applyAlignment="1">
      <alignment horizontal="center" vertical="center" wrapText="1"/>
    </xf>
    <xf numFmtId="170" fontId="4" fillId="4" borderId="5" xfId="5" applyNumberFormat="1" applyFont="1" applyFill="1" applyBorder="1" applyAlignment="1">
      <alignment horizontal="center" vertical="center" wrapText="1"/>
    </xf>
    <xf numFmtId="168" fontId="4" fillId="4" borderId="3" xfId="0" applyFont="1" applyFill="1" applyBorder="1" applyAlignment="1">
      <alignment horizontal="center" vertical="center" wrapText="1"/>
    </xf>
    <xf numFmtId="170" fontId="4" fillId="4" borderId="3" xfId="5" applyNumberFormat="1" applyFont="1" applyFill="1" applyBorder="1" applyAlignment="1">
      <alignment horizontal="center" vertical="center" wrapText="1"/>
    </xf>
    <xf numFmtId="170" fontId="4" fillId="4" borderId="18" xfId="5" applyNumberFormat="1" applyFont="1" applyFill="1" applyBorder="1" applyAlignment="1">
      <alignment horizontal="center" vertical="center" wrapText="1"/>
    </xf>
    <xf numFmtId="170" fontId="4" fillId="4" borderId="20" xfId="5" applyNumberFormat="1" applyFont="1" applyFill="1" applyBorder="1" applyAlignment="1">
      <alignment horizontal="center" vertical="center" wrapText="1"/>
    </xf>
    <xf numFmtId="170" fontId="4" fillId="4" borderId="21" xfId="5" applyNumberFormat="1" applyFont="1" applyFill="1" applyBorder="1" applyAlignment="1">
      <alignment horizontal="center" vertical="center" wrapText="1"/>
    </xf>
    <xf numFmtId="170" fontId="4" fillId="4" borderId="15" xfId="5" applyNumberFormat="1" applyFont="1" applyFill="1" applyBorder="1" applyAlignment="1">
      <alignment horizontal="center" vertical="center" wrapText="1"/>
    </xf>
    <xf numFmtId="170" fontId="4" fillId="4" borderId="28" xfId="5" applyNumberFormat="1" applyFont="1" applyFill="1" applyBorder="1" applyAlignment="1">
      <alignment horizontal="center" vertical="center" wrapText="1"/>
    </xf>
    <xf numFmtId="9" fontId="3" fillId="50" borderId="13" xfId="282" applyFont="1" applyFill="1" applyBorder="1" applyAlignment="1">
      <alignment horizontal="center" vertical="center"/>
    </xf>
    <xf numFmtId="9" fontId="13" fillId="5" borderId="13" xfId="282" applyFont="1" applyFill="1" applyBorder="1" applyAlignment="1">
      <alignment horizontal="center" vertical="center"/>
    </xf>
    <xf numFmtId="168" fontId="13" fillId="5" borderId="25" xfId="0" applyFont="1" applyFill="1" applyBorder="1" applyAlignment="1">
      <alignment horizontal="justify" vertical="center"/>
    </xf>
    <xf numFmtId="0" fontId="3" fillId="6" borderId="15" xfId="0" applyNumberFormat="1" applyFont="1" applyFill="1" applyBorder="1" applyAlignment="1">
      <alignment horizontal="justify" vertical="center"/>
    </xf>
    <xf numFmtId="168" fontId="2" fillId="0" borderId="15" xfId="0" applyFont="1" applyFill="1" applyBorder="1" applyAlignment="1">
      <alignment horizontal="justify" vertical="center" wrapText="1"/>
    </xf>
    <xf numFmtId="168" fontId="13" fillId="5" borderId="3" xfId="0" applyFont="1" applyFill="1" applyBorder="1" applyAlignment="1">
      <alignment horizontal="center" vertical="center"/>
    </xf>
    <xf numFmtId="168" fontId="3" fillId="6" borderId="3" xfId="0" applyNumberFormat="1" applyFont="1" applyFill="1" applyBorder="1" applyAlignment="1">
      <alignment vertical="center"/>
    </xf>
    <xf numFmtId="168" fontId="3" fillId="16" borderId="3" xfId="0" applyNumberFormat="1" applyFont="1" applyFill="1" applyBorder="1" applyAlignment="1">
      <alignment vertical="center"/>
    </xf>
    <xf numFmtId="168" fontId="2" fillId="0" borderId="3" xfId="0" applyFont="1" applyFill="1" applyBorder="1" applyAlignment="1">
      <alignment horizontal="left" vertical="center"/>
    </xf>
    <xf numFmtId="168" fontId="2" fillId="0" borderId="3" xfId="0" applyFont="1" applyFill="1" applyBorder="1" applyAlignment="1">
      <alignment vertical="center"/>
    </xf>
    <xf numFmtId="170" fontId="4" fillId="0" borderId="0" xfId="5" applyNumberFormat="1" applyFont="1" applyFill="1" applyBorder="1" applyAlignment="1">
      <alignment horizontal="left" vertical="center" wrapText="1"/>
    </xf>
    <xf numFmtId="4" fontId="6" fillId="0" borderId="0" xfId="0" applyNumberFormat="1" applyFont="1" applyFill="1" applyBorder="1" applyAlignment="1">
      <alignment horizontal="center"/>
    </xf>
    <xf numFmtId="170" fontId="4" fillId="4" borderId="81" xfId="5" applyNumberFormat="1" applyFont="1" applyFill="1" applyBorder="1" applyAlignment="1">
      <alignment horizontal="center" vertical="center" wrapText="1"/>
    </xf>
    <xf numFmtId="168" fontId="3" fillId="6" borderId="15" xfId="0" applyNumberFormat="1" applyFont="1" applyFill="1" applyBorder="1" applyAlignment="1">
      <alignment vertical="center"/>
    </xf>
    <xf numFmtId="168" fontId="3" fillId="16" borderId="15" xfId="0" applyNumberFormat="1" applyFont="1" applyFill="1" applyBorder="1" applyAlignment="1">
      <alignment vertical="center"/>
    </xf>
    <xf numFmtId="168" fontId="2" fillId="0" borderId="15" xfId="0" applyFont="1" applyFill="1" applyBorder="1" applyAlignment="1">
      <alignment horizontal="left" vertical="center"/>
    </xf>
    <xf numFmtId="0" fontId="3" fillId="16" borderId="18" xfId="0" applyNumberFormat="1" applyFont="1" applyFill="1" applyBorder="1" applyAlignment="1">
      <alignment vertical="center"/>
    </xf>
    <xf numFmtId="168" fontId="2" fillId="0" borderId="15" xfId="0" applyFont="1" applyFill="1" applyBorder="1" applyAlignment="1">
      <alignment horizontal="justify" vertical="center"/>
    </xf>
    <xf numFmtId="169" fontId="29" fillId="0" borderId="3" xfId="0" applyNumberFormat="1" applyFont="1" applyBorder="1" applyAlignment="1">
      <alignment horizontal="left" vertical="center"/>
    </xf>
    <xf numFmtId="14" fontId="29" fillId="0" borderId="3" xfId="394" applyNumberFormat="1" applyFont="1" applyFill="1" applyBorder="1" applyAlignment="1">
      <alignment horizontal="left" vertical="center"/>
    </xf>
    <xf numFmtId="168" fontId="60" fillId="0" borderId="3" xfId="0" applyFont="1" applyBorder="1" applyAlignment="1">
      <alignment horizontal="center" vertical="center"/>
    </xf>
    <xf numFmtId="3" fontId="61" fillId="3" borderId="3" xfId="0" applyNumberFormat="1" applyFont="1" applyFill="1" applyBorder="1" applyAlignment="1">
      <alignment horizontal="center" vertical="center" wrapText="1"/>
    </xf>
    <xf numFmtId="168" fontId="3" fillId="0" borderId="0" xfId="0" applyFont="1" applyBorder="1" applyAlignment="1">
      <alignment vertical="top" wrapText="1"/>
    </xf>
    <xf numFmtId="168" fontId="3" fillId="0" borderId="0" xfId="0" applyFont="1" applyBorder="1" applyAlignment="1">
      <alignment vertical="top"/>
    </xf>
    <xf numFmtId="168" fontId="4" fillId="4" borderId="3" xfId="0" applyFont="1" applyFill="1" applyBorder="1" applyAlignment="1">
      <alignment horizontal="center" vertical="center" wrapText="1"/>
    </xf>
    <xf numFmtId="170" fontId="4" fillId="4" borderId="61" xfId="5" applyNumberFormat="1" applyFont="1" applyFill="1" applyBorder="1" applyAlignment="1">
      <alignment horizontal="center" vertical="center" wrapText="1"/>
    </xf>
    <xf numFmtId="170" fontId="4" fillId="4" borderId="64" xfId="5" applyNumberFormat="1" applyFont="1" applyFill="1" applyBorder="1" applyAlignment="1">
      <alignment horizontal="center" vertical="center" wrapText="1"/>
    </xf>
    <xf numFmtId="170" fontId="4" fillId="4" borderId="12" xfId="5" applyNumberFormat="1" applyFont="1" applyFill="1" applyBorder="1" applyAlignment="1">
      <alignment horizontal="center" vertical="center" wrapText="1"/>
    </xf>
    <xf numFmtId="170" fontId="52" fillId="5" borderId="1" xfId="5" applyNumberFormat="1" applyFont="1" applyFill="1" applyBorder="1" applyAlignment="1">
      <alignment horizontal="center" vertical="center" wrapText="1"/>
    </xf>
    <xf numFmtId="170" fontId="52" fillId="5" borderId="2" xfId="5" applyNumberFormat="1" applyFont="1" applyFill="1" applyBorder="1" applyAlignment="1">
      <alignment horizontal="center" vertical="center" wrapText="1"/>
    </xf>
    <xf numFmtId="170" fontId="52" fillId="5" borderId="75" xfId="5" applyNumberFormat="1" applyFont="1" applyFill="1" applyBorder="1" applyAlignment="1">
      <alignment horizontal="center" vertical="center" wrapText="1"/>
    </xf>
    <xf numFmtId="168" fontId="3" fillId="0" borderId="0" xfId="0" applyFont="1" applyAlignment="1">
      <alignment horizontal="center" vertical="center" wrapText="1"/>
    </xf>
    <xf numFmtId="168" fontId="3" fillId="0" borderId="0" xfId="0" applyFont="1" applyBorder="1" applyAlignment="1">
      <alignment horizontal="center" vertical="center" wrapText="1"/>
    </xf>
    <xf numFmtId="0" fontId="4" fillId="4" borderId="3" xfId="0" applyNumberFormat="1" applyFont="1" applyFill="1" applyBorder="1" applyAlignment="1">
      <alignment horizontal="center" vertical="center" wrapText="1"/>
    </xf>
    <xf numFmtId="168" fontId="4" fillId="4" borderId="61" xfId="0" applyFont="1" applyFill="1" applyBorder="1" applyAlignment="1">
      <alignment horizontal="center" vertical="center" wrapText="1"/>
    </xf>
    <xf numFmtId="168" fontId="4" fillId="4" borderId="64" xfId="0" applyFont="1" applyFill="1" applyBorder="1" applyAlignment="1">
      <alignment horizontal="center" vertical="center" wrapText="1"/>
    </xf>
    <xf numFmtId="168" fontId="4" fillId="4" borderId="12" xfId="0" applyFont="1" applyFill="1" applyBorder="1" applyAlignment="1">
      <alignment horizontal="center" vertical="center" wrapText="1"/>
    </xf>
    <xf numFmtId="170" fontId="4" fillId="4" borderId="1" xfId="5" applyNumberFormat="1" applyFont="1" applyFill="1" applyBorder="1" applyAlignment="1">
      <alignment horizontal="center" vertical="center" wrapText="1"/>
    </xf>
    <xf numFmtId="170" fontId="4" fillId="4" borderId="5" xfId="5" applyNumberFormat="1" applyFont="1" applyFill="1" applyBorder="1" applyAlignment="1">
      <alignment horizontal="center" vertical="center" wrapText="1"/>
    </xf>
    <xf numFmtId="165" fontId="2" fillId="0" borderId="17" xfId="0" applyNumberFormat="1" applyFont="1" applyFill="1" applyBorder="1" applyAlignment="1">
      <alignment horizontal="center" vertical="center"/>
    </xf>
    <xf numFmtId="165" fontId="2" fillId="0" borderId="23" xfId="0" applyNumberFormat="1" applyFont="1" applyFill="1" applyBorder="1" applyAlignment="1">
      <alignment horizontal="center" vertical="center"/>
    </xf>
    <xf numFmtId="165" fontId="2" fillId="0" borderId="19" xfId="0" applyNumberFormat="1" applyFont="1" applyFill="1" applyBorder="1" applyAlignment="1">
      <alignment horizontal="center" vertical="center"/>
    </xf>
    <xf numFmtId="165" fontId="2" fillId="0" borderId="17" xfId="0" applyNumberFormat="1" applyFont="1" applyFill="1" applyBorder="1" applyAlignment="1">
      <alignment horizontal="center" vertical="center" wrapText="1"/>
    </xf>
    <xf numFmtId="165" fontId="2" fillId="0" borderId="23" xfId="0" applyNumberFormat="1" applyFont="1" applyFill="1" applyBorder="1" applyAlignment="1">
      <alignment horizontal="center" vertical="center" wrapText="1"/>
    </xf>
    <xf numFmtId="165" fontId="2" fillId="0" borderId="19" xfId="0" applyNumberFormat="1" applyFont="1" applyFill="1" applyBorder="1" applyAlignment="1">
      <alignment horizontal="center" vertical="center" wrapText="1"/>
    </xf>
    <xf numFmtId="165" fontId="2" fillId="0" borderId="17" xfId="0" applyNumberFormat="1" applyFont="1" applyBorder="1" applyAlignment="1">
      <alignment horizontal="center" vertical="center"/>
    </xf>
    <xf numFmtId="165" fontId="2" fillId="0" borderId="23" xfId="0" applyNumberFormat="1" applyFont="1" applyBorder="1" applyAlignment="1">
      <alignment horizontal="center" vertical="center"/>
    </xf>
    <xf numFmtId="165" fontId="2" fillId="0" borderId="19" xfId="0" applyNumberFormat="1" applyFont="1" applyBorder="1" applyAlignment="1">
      <alignment horizontal="center" vertical="center"/>
    </xf>
    <xf numFmtId="168" fontId="52" fillId="5" borderId="3" xfId="0" applyFont="1" applyFill="1" applyBorder="1" applyAlignment="1">
      <alignment horizontal="center" vertical="center" wrapText="1"/>
    </xf>
    <xf numFmtId="0" fontId="52" fillId="5" borderId="7" xfId="0" applyNumberFormat="1" applyFont="1" applyFill="1" applyBorder="1" applyAlignment="1">
      <alignment horizontal="center" vertical="center" wrapText="1"/>
    </xf>
    <xf numFmtId="0" fontId="52" fillId="5" borderId="8" xfId="0" applyNumberFormat="1" applyFont="1" applyFill="1" applyBorder="1" applyAlignment="1">
      <alignment horizontal="center" vertical="center" wrapText="1"/>
    </xf>
    <xf numFmtId="0" fontId="52" fillId="5" borderId="9" xfId="0" applyNumberFormat="1" applyFont="1" applyFill="1" applyBorder="1" applyAlignment="1">
      <alignment horizontal="center" vertical="center" wrapText="1"/>
    </xf>
    <xf numFmtId="168" fontId="2" fillId="0" borderId="13" xfId="0" applyFont="1" applyBorder="1" applyAlignment="1">
      <alignment horizontal="justify" vertical="center" wrapText="1"/>
    </xf>
    <xf numFmtId="0" fontId="2" fillId="2" borderId="13" xfId="0" applyNumberFormat="1" applyFont="1" applyFill="1" applyBorder="1" applyAlignment="1">
      <alignment horizontal="justify" vertical="center" wrapText="1"/>
    </xf>
    <xf numFmtId="168" fontId="2" fillId="12" borderId="13" xfId="0" applyFont="1" applyFill="1" applyBorder="1" applyAlignment="1">
      <alignment horizontal="justify" vertical="center" wrapText="1"/>
    </xf>
    <xf numFmtId="0" fontId="2" fillId="0" borderId="17" xfId="0" applyNumberFormat="1" applyFont="1" applyBorder="1" applyAlignment="1">
      <alignment horizontal="justify" vertical="center" wrapText="1"/>
    </xf>
    <xf numFmtId="0" fontId="2" fillId="0" borderId="19" xfId="0" applyNumberFormat="1" applyFont="1" applyBorder="1" applyAlignment="1">
      <alignment horizontal="justify" vertical="center" wrapText="1"/>
    </xf>
    <xf numFmtId="0" fontId="2" fillId="0" borderId="13" xfId="7" applyNumberFormat="1" applyFont="1" applyBorder="1" applyAlignment="1">
      <alignment horizontal="justify" vertical="center" wrapText="1"/>
    </xf>
    <xf numFmtId="0" fontId="2" fillId="0" borderId="13" xfId="0" applyNumberFormat="1" applyFont="1" applyBorder="1" applyAlignment="1">
      <alignment horizontal="justify" vertical="center" wrapText="1"/>
    </xf>
    <xf numFmtId="168" fontId="3" fillId="7" borderId="15" xfId="0" applyFont="1" applyFill="1" applyBorder="1" applyAlignment="1">
      <alignment horizontal="left" vertical="center"/>
    </xf>
    <xf numFmtId="168" fontId="3" fillId="7" borderId="18" xfId="0" applyFont="1" applyFill="1" applyBorder="1" applyAlignment="1">
      <alignment horizontal="left" vertical="center"/>
    </xf>
    <xf numFmtId="0" fontId="2" fillId="0" borderId="13" xfId="0" applyNumberFormat="1" applyFont="1" applyBorder="1" applyAlignment="1">
      <alignment horizontal="center" vertical="center" wrapText="1"/>
    </xf>
    <xf numFmtId="0" fontId="2" fillId="0" borderId="23" xfId="0" applyNumberFormat="1" applyFont="1" applyBorder="1" applyAlignment="1">
      <alignment horizontal="justify" vertical="center" wrapText="1"/>
    </xf>
    <xf numFmtId="0" fontId="3" fillId="9" borderId="20" xfId="0" applyNumberFormat="1" applyFont="1" applyFill="1" applyBorder="1" applyAlignment="1">
      <alignment horizontal="left" vertical="center" wrapText="1"/>
    </xf>
    <xf numFmtId="0" fontId="3" fillId="9" borderId="39" xfId="0" applyNumberFormat="1" applyFont="1" applyFill="1" applyBorder="1" applyAlignment="1">
      <alignment horizontal="left" vertical="center" wrapText="1"/>
    </xf>
    <xf numFmtId="0" fontId="3" fillId="9" borderId="30" xfId="0" applyNumberFormat="1" applyFont="1" applyFill="1" applyBorder="1" applyAlignment="1">
      <alignment horizontal="left" vertical="center" wrapText="1"/>
    </xf>
    <xf numFmtId="0" fontId="2" fillId="0" borderId="13" xfId="0" applyNumberFormat="1" applyFont="1" applyFill="1" applyBorder="1" applyAlignment="1">
      <alignment horizontal="justify" vertical="center" wrapText="1"/>
    </xf>
    <xf numFmtId="170" fontId="2" fillId="0" borderId="13" xfId="0" applyNumberFormat="1" applyFont="1" applyFill="1" applyBorder="1" applyAlignment="1">
      <alignment horizontal="justify" vertical="center" wrapText="1"/>
    </xf>
    <xf numFmtId="0" fontId="2" fillId="0" borderId="13" xfId="7" applyFont="1" applyBorder="1" applyAlignment="1">
      <alignment horizontal="justify" vertical="center" wrapText="1"/>
    </xf>
    <xf numFmtId="168" fontId="2" fillId="2" borderId="13" xfId="0" applyFont="1" applyFill="1" applyBorder="1" applyAlignment="1">
      <alignment horizontal="justify" vertical="center" wrapText="1"/>
    </xf>
    <xf numFmtId="49" fontId="2" fillId="2" borderId="13" xfId="0" applyNumberFormat="1" applyFont="1" applyFill="1" applyBorder="1" applyAlignment="1">
      <alignment horizontal="justify" vertical="center" wrapText="1"/>
    </xf>
    <xf numFmtId="168" fontId="2" fillId="0" borderId="13" xfId="0" applyFont="1" applyFill="1" applyBorder="1" applyAlignment="1">
      <alignment horizontal="justify" vertical="center" wrapText="1"/>
    </xf>
    <xf numFmtId="0" fontId="2" fillId="12" borderId="13" xfId="0" applyNumberFormat="1" applyFont="1" applyFill="1" applyBorder="1" applyAlignment="1">
      <alignment horizontal="justify" vertical="center" wrapText="1"/>
    </xf>
    <xf numFmtId="168" fontId="2" fillId="0" borderId="13" xfId="0" applyFont="1" applyFill="1" applyBorder="1" applyAlignment="1">
      <alignment horizontal="center" vertical="center" wrapText="1"/>
    </xf>
    <xf numFmtId="49" fontId="2" fillId="0" borderId="13" xfId="0" applyNumberFormat="1" applyFont="1" applyBorder="1" applyAlignment="1">
      <alignment horizontal="justify" vertical="center" wrapText="1"/>
    </xf>
    <xf numFmtId="0" fontId="2" fillId="2" borderId="17" xfId="0" applyNumberFormat="1" applyFont="1" applyFill="1" applyBorder="1" applyAlignment="1">
      <alignment horizontal="justify" vertical="center" wrapText="1"/>
    </xf>
    <xf numFmtId="0" fontId="2" fillId="2" borderId="23" xfId="0" applyNumberFormat="1" applyFont="1" applyFill="1" applyBorder="1" applyAlignment="1">
      <alignment horizontal="justify" vertical="center" wrapText="1"/>
    </xf>
    <xf numFmtId="0" fontId="2" fillId="2" borderId="19" xfId="0" applyNumberFormat="1" applyFont="1" applyFill="1" applyBorder="1" applyAlignment="1">
      <alignment horizontal="justify" vertical="center" wrapText="1"/>
    </xf>
    <xf numFmtId="168" fontId="2" fillId="12" borderId="19" xfId="0" applyFont="1" applyFill="1" applyBorder="1" applyAlignment="1">
      <alignment horizontal="center" vertical="center" wrapText="1"/>
    </xf>
    <xf numFmtId="168" fontId="2" fillId="12" borderId="13" xfId="0" applyFont="1" applyFill="1" applyBorder="1" applyAlignment="1">
      <alignment horizontal="center" vertical="center" wrapText="1"/>
    </xf>
    <xf numFmtId="168" fontId="2" fillId="12" borderId="17" xfId="0" applyFont="1" applyFill="1" applyBorder="1" applyAlignment="1">
      <alignment horizontal="center" vertical="center" wrapText="1"/>
    </xf>
    <xf numFmtId="168" fontId="2" fillId="0" borderId="19" xfId="0" applyFont="1" applyFill="1" applyBorder="1" applyAlignment="1">
      <alignment horizontal="center" vertical="center" wrapText="1"/>
    </xf>
    <xf numFmtId="168" fontId="2" fillId="12" borderId="13" xfId="0" applyFont="1" applyFill="1" applyBorder="1" applyAlignment="1">
      <alignment horizontal="center" vertical="center"/>
    </xf>
    <xf numFmtId="168" fontId="2" fillId="0" borderId="19" xfId="0" applyFont="1" applyBorder="1" applyAlignment="1">
      <alignment horizontal="justify" vertical="center" wrapText="1"/>
    </xf>
    <xf numFmtId="168" fontId="2" fillId="0" borderId="17" xfId="0" applyFont="1" applyFill="1" applyBorder="1" applyAlignment="1">
      <alignment horizontal="justify" vertical="center" wrapText="1"/>
    </xf>
    <xf numFmtId="168" fontId="2" fillId="0" borderId="19" xfId="0" applyFont="1" applyFill="1" applyBorder="1" applyAlignment="1">
      <alignment horizontal="justify" vertical="center" wrapText="1"/>
    </xf>
    <xf numFmtId="168" fontId="2" fillId="0" borderId="13" xfId="0" applyFont="1" applyFill="1" applyBorder="1" applyAlignment="1">
      <alignment horizontal="center" vertical="center"/>
    </xf>
    <xf numFmtId="0" fontId="2" fillId="0" borderId="13" xfId="6" applyNumberFormat="1" applyFont="1" applyFill="1" applyBorder="1" applyAlignment="1">
      <alignment horizontal="justify" vertical="center" wrapText="1"/>
    </xf>
    <xf numFmtId="168" fontId="2" fillId="12" borderId="19" xfId="0" applyFont="1" applyFill="1" applyBorder="1" applyAlignment="1">
      <alignment horizontal="center" vertical="center"/>
    </xf>
    <xf numFmtId="168" fontId="2" fillId="0" borderId="13" xfId="0" applyFont="1" applyBorder="1" applyAlignment="1">
      <alignment horizontal="center" vertical="center" wrapText="1"/>
    </xf>
    <xf numFmtId="168" fontId="2" fillId="14" borderId="13" xfId="0" applyFont="1" applyFill="1" applyBorder="1" applyAlignment="1">
      <alignment horizontal="center" vertical="center" wrapText="1"/>
    </xf>
    <xf numFmtId="1" fontId="2" fillId="0" borderId="13" xfId="0" applyNumberFormat="1" applyFont="1" applyBorder="1" applyAlignment="1">
      <alignment horizontal="center" vertical="center"/>
    </xf>
    <xf numFmtId="0" fontId="3" fillId="0" borderId="6" xfId="0" applyNumberFormat="1" applyFont="1" applyBorder="1" applyAlignment="1">
      <alignment horizontal="center" vertical="center" wrapText="1"/>
    </xf>
    <xf numFmtId="0" fontId="3" fillId="0" borderId="11" xfId="0" applyNumberFormat="1" applyFont="1" applyBorder="1" applyAlignment="1">
      <alignment horizontal="center" vertical="center" wrapText="1"/>
    </xf>
    <xf numFmtId="168" fontId="2" fillId="0" borderId="17" xfId="0" applyFont="1" applyFill="1" applyBorder="1" applyAlignment="1">
      <alignment horizontal="center" vertical="center" wrapText="1"/>
    </xf>
    <xf numFmtId="168" fontId="2" fillId="0" borderId="17" xfId="0" applyFont="1" applyBorder="1" applyAlignment="1">
      <alignment horizontal="justify" vertical="center" wrapText="1"/>
    </xf>
    <xf numFmtId="168" fontId="4" fillId="4" borderId="7" xfId="0" applyFont="1" applyFill="1" applyBorder="1" applyAlignment="1">
      <alignment horizontal="center" vertical="center" wrapText="1"/>
    </xf>
    <xf numFmtId="168" fontId="4" fillId="4" borderId="9" xfId="0" applyFont="1" applyFill="1" applyBorder="1" applyAlignment="1">
      <alignment horizontal="center" vertical="center" wrapText="1"/>
    </xf>
    <xf numFmtId="168" fontId="3" fillId="0" borderId="3" xfId="0" applyFont="1" applyBorder="1" applyAlignment="1">
      <alignment horizontal="center" vertical="center" wrapText="1"/>
    </xf>
    <xf numFmtId="0" fontId="4" fillId="4" borderId="75" xfId="0" applyNumberFormat="1" applyFont="1" applyFill="1" applyBorder="1" applyAlignment="1">
      <alignment horizontal="center" vertical="center" wrapText="1"/>
    </xf>
    <xf numFmtId="0" fontId="4" fillId="4" borderId="76" xfId="0" applyNumberFormat="1" applyFont="1" applyFill="1" applyBorder="1" applyAlignment="1">
      <alignment horizontal="center" vertical="center" wrapText="1"/>
    </xf>
    <xf numFmtId="0" fontId="4" fillId="4" borderId="29" xfId="0" applyNumberFormat="1" applyFont="1" applyFill="1" applyBorder="1" applyAlignment="1">
      <alignment horizontal="center" vertical="center" wrapText="1"/>
    </xf>
    <xf numFmtId="0" fontId="4" fillId="4" borderId="25" xfId="0" applyNumberFormat="1" applyFont="1" applyFill="1" applyBorder="1" applyAlignment="1">
      <alignment horizontal="center" vertical="center" wrapText="1"/>
    </xf>
    <xf numFmtId="168" fontId="3" fillId="0" borderId="0" xfId="0" applyFont="1" applyBorder="1" applyAlignment="1">
      <alignment horizontal="center" vertical="top" wrapText="1"/>
    </xf>
    <xf numFmtId="0" fontId="3" fillId="4" borderId="15" xfId="0" applyNumberFormat="1" applyFont="1" applyFill="1" applyBorder="1" applyAlignment="1">
      <alignment horizontal="center" vertical="center"/>
    </xf>
    <xf numFmtId="0" fontId="3" fillId="4" borderId="16" xfId="0" applyNumberFormat="1" applyFont="1" applyFill="1" applyBorder="1" applyAlignment="1">
      <alignment horizontal="center" vertical="center"/>
    </xf>
    <xf numFmtId="168" fontId="25" fillId="4" borderId="4" xfId="0" applyFont="1" applyFill="1" applyBorder="1" applyAlignment="1">
      <alignment horizontal="center" vertical="center" wrapText="1"/>
    </xf>
    <xf numFmtId="168" fontId="25" fillId="4" borderId="0" xfId="0" applyFont="1" applyFill="1" applyBorder="1" applyAlignment="1">
      <alignment horizontal="center" vertical="center" wrapText="1"/>
    </xf>
    <xf numFmtId="168" fontId="25" fillId="4" borderId="3" xfId="0" applyFont="1" applyFill="1" applyBorder="1" applyAlignment="1">
      <alignment horizontal="center" vertical="center" wrapText="1"/>
    </xf>
    <xf numFmtId="168" fontId="55" fillId="0" borderId="35" xfId="0" applyFont="1" applyBorder="1" applyAlignment="1">
      <alignment horizontal="center" vertical="center" wrapText="1"/>
    </xf>
    <xf numFmtId="168" fontId="55" fillId="0" borderId="36" xfId="0" applyFont="1" applyBorder="1" applyAlignment="1">
      <alignment horizontal="center" vertical="center" wrapText="1"/>
    </xf>
    <xf numFmtId="168" fontId="55" fillId="0" borderId="37" xfId="0" applyFont="1" applyBorder="1" applyAlignment="1">
      <alignment horizontal="center" vertical="center" wrapText="1"/>
    </xf>
    <xf numFmtId="168" fontId="3" fillId="17" borderId="35" xfId="0" applyFont="1" applyFill="1" applyBorder="1" applyAlignment="1">
      <alignment horizontal="left" vertical="center"/>
    </xf>
    <xf numFmtId="168" fontId="3" fillId="17" borderId="36" xfId="0" applyFont="1" applyFill="1" applyBorder="1" applyAlignment="1">
      <alignment horizontal="left" vertical="center"/>
    </xf>
    <xf numFmtId="168" fontId="3" fillId="4" borderId="35" xfId="0" applyFont="1" applyFill="1" applyBorder="1" applyAlignment="1">
      <alignment horizontal="left" vertical="center"/>
    </xf>
    <xf numFmtId="168" fontId="3" fillId="4" borderId="36" xfId="0" applyFont="1" applyFill="1" applyBorder="1" applyAlignment="1">
      <alignment horizontal="left" vertical="center"/>
    </xf>
    <xf numFmtId="168" fontId="53" fillId="5" borderId="70" xfId="0" applyFont="1" applyFill="1" applyBorder="1" applyAlignment="1">
      <alignment horizontal="left" vertical="center"/>
    </xf>
    <xf numFmtId="168" fontId="53" fillId="5" borderId="71" xfId="0" applyFont="1" applyFill="1" applyBorder="1" applyAlignment="1">
      <alignment horizontal="left" vertical="center"/>
    </xf>
    <xf numFmtId="168" fontId="53" fillId="5" borderId="70" xfId="0" applyFont="1" applyFill="1" applyBorder="1" applyAlignment="1">
      <alignment horizontal="justify" vertical="center"/>
    </xf>
    <xf numFmtId="168" fontId="53" fillId="5" borderId="71" xfId="0" applyFont="1" applyFill="1" applyBorder="1" applyAlignment="1">
      <alignment horizontal="justify" vertical="center"/>
    </xf>
    <xf numFmtId="168" fontId="53" fillId="5" borderId="68" xfId="0" applyFont="1" applyFill="1" applyBorder="1" applyAlignment="1">
      <alignment horizontal="left" vertical="center"/>
    </xf>
    <xf numFmtId="168" fontId="53" fillId="5" borderId="69" xfId="0" applyFont="1" applyFill="1" applyBorder="1" applyAlignment="1">
      <alignment horizontal="left" vertical="center"/>
    </xf>
    <xf numFmtId="168" fontId="56" fillId="4" borderId="73" xfId="0" applyFont="1" applyFill="1" applyBorder="1" applyAlignment="1">
      <alignment horizontal="center" vertical="center" wrapText="1"/>
    </xf>
    <xf numFmtId="168" fontId="56" fillId="4" borderId="78" xfId="0" applyFont="1" applyFill="1" applyBorder="1" applyAlignment="1">
      <alignment horizontal="center" vertical="center" wrapText="1"/>
    </xf>
    <xf numFmtId="168" fontId="55" fillId="4" borderId="0" xfId="0" applyFont="1" applyFill="1" applyBorder="1" applyAlignment="1">
      <alignment horizontal="center" vertical="center" wrapText="1"/>
    </xf>
    <xf numFmtId="168" fontId="55" fillId="4" borderId="77" xfId="0" applyFont="1" applyFill="1" applyBorder="1" applyAlignment="1">
      <alignment horizontal="center" vertical="center" wrapText="1"/>
    </xf>
    <xf numFmtId="168" fontId="56" fillId="4" borderId="0" xfId="0" applyFont="1" applyFill="1" applyBorder="1" applyAlignment="1">
      <alignment horizontal="center" vertical="center" wrapText="1"/>
    </xf>
    <xf numFmtId="168" fontId="56" fillId="4" borderId="77" xfId="0" applyFont="1" applyFill="1" applyBorder="1" applyAlignment="1">
      <alignment horizontal="center" vertical="center" wrapText="1"/>
    </xf>
  </cellXfs>
  <cellStyles count="398">
    <cellStyle name="20% - Énfasis1" xfId="36" builtinId="30" customBuiltin="1"/>
    <cellStyle name="20% - Énfasis1 2" xfId="233"/>
    <cellStyle name="20% - Énfasis1 2 2" xfId="286"/>
    <cellStyle name="20% - Énfasis1 2 3" xfId="287"/>
    <cellStyle name="20% - Énfasis1 2 4" xfId="285"/>
    <cellStyle name="20% - Énfasis2" xfId="40" builtinId="34" customBuiltin="1"/>
    <cellStyle name="20% - Énfasis2 2" xfId="253"/>
    <cellStyle name="20% - Énfasis2 2 2" xfId="289"/>
    <cellStyle name="20% - Énfasis2 2 3" xfId="290"/>
    <cellStyle name="20% - Énfasis2 2 4" xfId="288"/>
    <cellStyle name="20% - Énfasis3" xfId="44" builtinId="38" customBuiltin="1"/>
    <cellStyle name="20% - Énfasis3 2" xfId="61"/>
    <cellStyle name="20% - Énfasis3 2 2" xfId="292"/>
    <cellStyle name="20% - Énfasis3 2 3" xfId="293"/>
    <cellStyle name="20% - Énfasis3 2 4" xfId="291"/>
    <cellStyle name="20% - Énfasis4" xfId="48" builtinId="42" customBuiltin="1"/>
    <cellStyle name="20% - Énfasis4 2" xfId="257"/>
    <cellStyle name="20% - Énfasis4 2 2" xfId="295"/>
    <cellStyle name="20% - Énfasis4 2 3" xfId="296"/>
    <cellStyle name="20% - Énfasis4 2 4" xfId="294"/>
    <cellStyle name="20% - Énfasis5" xfId="52" builtinId="46" customBuiltin="1"/>
    <cellStyle name="20% - Énfasis5 2" xfId="223"/>
    <cellStyle name="20% - Énfasis5 2 2" xfId="298"/>
    <cellStyle name="20% - Énfasis5 2 3" xfId="299"/>
    <cellStyle name="20% - Énfasis5 2 4" xfId="297"/>
    <cellStyle name="20% - Énfasis6" xfId="56" builtinId="50" customBuiltin="1"/>
    <cellStyle name="20% - Énfasis6 2" xfId="215"/>
    <cellStyle name="20% - Énfasis6 2 2" xfId="301"/>
    <cellStyle name="20% - Énfasis6 2 3" xfId="302"/>
    <cellStyle name="20% - Énfasis6 2 4" xfId="300"/>
    <cellStyle name="40% - Énfasis1" xfId="37" builtinId="31" customBuiltin="1"/>
    <cellStyle name="40% - Énfasis1 2" xfId="196"/>
    <cellStyle name="40% - Énfasis1 2 2" xfId="304"/>
    <cellStyle name="40% - Énfasis1 2 3" xfId="305"/>
    <cellStyle name="40% - Énfasis1 2 4" xfId="303"/>
    <cellStyle name="40% - Énfasis2" xfId="41" builtinId="35" customBuiltin="1"/>
    <cellStyle name="40% - Énfasis2 2" xfId="251"/>
    <cellStyle name="40% - Énfasis2 2 2" xfId="307"/>
    <cellStyle name="40% - Énfasis2 2 3" xfId="308"/>
    <cellStyle name="40% - Énfasis2 2 4" xfId="306"/>
    <cellStyle name="40% - Énfasis3" xfId="45" builtinId="39" customBuiltin="1"/>
    <cellStyle name="40% - Énfasis3 2" xfId="260"/>
    <cellStyle name="40% - Énfasis3 2 2" xfId="310"/>
    <cellStyle name="40% - Énfasis3 2 3" xfId="311"/>
    <cellStyle name="40% - Énfasis3 2 4" xfId="309"/>
    <cellStyle name="40% - Énfasis4" xfId="49" builtinId="43" customBuiltin="1"/>
    <cellStyle name="40% - Énfasis4 2" xfId="218"/>
    <cellStyle name="40% - Énfasis4 2 2" xfId="313"/>
    <cellStyle name="40% - Énfasis4 2 3" xfId="314"/>
    <cellStyle name="40% - Énfasis4 2 4" xfId="312"/>
    <cellStyle name="40% - Énfasis5" xfId="53" builtinId="47" customBuiltin="1"/>
    <cellStyle name="40% - Énfasis5 2" xfId="250"/>
    <cellStyle name="40% - Énfasis5 2 2" xfId="316"/>
    <cellStyle name="40% - Énfasis5 2 3" xfId="317"/>
    <cellStyle name="40% - Énfasis5 2 4" xfId="315"/>
    <cellStyle name="40% - Énfasis6" xfId="57" builtinId="51" customBuiltin="1"/>
    <cellStyle name="40% - Énfasis6 2" xfId="67"/>
    <cellStyle name="40% - Énfasis6 2 2" xfId="319"/>
    <cellStyle name="40% - Énfasis6 2 3" xfId="320"/>
    <cellStyle name="40% - Énfasis6 2 4" xfId="318"/>
    <cellStyle name="60% - Énfasis1" xfId="38" builtinId="32" customBuiltin="1"/>
    <cellStyle name="60% - Énfasis1 2" xfId="213"/>
    <cellStyle name="60% - Énfasis1 2 2" xfId="321"/>
    <cellStyle name="60% - Énfasis2" xfId="42" builtinId="36" customBuiltin="1"/>
    <cellStyle name="60% - Énfasis2 2" xfId="242"/>
    <cellStyle name="60% - Énfasis2 2 2" xfId="322"/>
    <cellStyle name="60% - Énfasis3" xfId="46" builtinId="40" customBuiltin="1"/>
    <cellStyle name="60% - Énfasis3 2" xfId="72"/>
    <cellStyle name="60% - Énfasis3 2 2" xfId="323"/>
    <cellStyle name="60% - Énfasis4" xfId="50" builtinId="44" customBuiltin="1"/>
    <cellStyle name="60% - Énfasis4 2" xfId="237"/>
    <cellStyle name="60% - Énfasis4 2 2" xfId="324"/>
    <cellStyle name="60% - Énfasis5" xfId="54" builtinId="48" customBuiltin="1"/>
    <cellStyle name="60% - Énfasis5 2" xfId="235"/>
    <cellStyle name="60% - Énfasis5 2 2" xfId="325"/>
    <cellStyle name="60% - Énfasis6" xfId="58" builtinId="52" customBuiltin="1"/>
    <cellStyle name="60% - Énfasis6 2" xfId="80"/>
    <cellStyle name="60% - Énfasis6 2 2" xfId="326"/>
    <cellStyle name="Buena 2" xfId="327"/>
    <cellStyle name="Cálculo" xfId="28" builtinId="22" customBuiltin="1"/>
    <cellStyle name="Cálculo 2" xfId="69"/>
    <cellStyle name="Cálculo 2 2" xfId="328"/>
    <cellStyle name="Celda de comprobación" xfId="30" builtinId="23" customBuiltin="1"/>
    <cellStyle name="Celda de comprobación 2" xfId="68"/>
    <cellStyle name="Celda de comprobación 2 2" xfId="329"/>
    <cellStyle name="Celda vinculada" xfId="29" builtinId="24" customBuiltin="1"/>
    <cellStyle name="Celda vinculada 2" xfId="171"/>
    <cellStyle name="Celda vinculada 2 2" xfId="330"/>
    <cellStyle name="Encabezado 1" xfId="20" builtinId="16" customBuiltin="1"/>
    <cellStyle name="Encabezado 4" xfId="23" builtinId="19" customBuiltin="1"/>
    <cellStyle name="Encabezado 4 2" xfId="201"/>
    <cellStyle name="Encabezado 4 2 2" xfId="331"/>
    <cellStyle name="Énfasis1" xfId="35" builtinId="29" customBuiltin="1"/>
    <cellStyle name="Énfasis1 2" xfId="224"/>
    <cellStyle name="Énfasis1 2 2" xfId="332"/>
    <cellStyle name="Énfasis2" xfId="39" builtinId="33" customBuiltin="1"/>
    <cellStyle name="Énfasis2 2" xfId="184"/>
    <cellStyle name="Énfasis2 2 2" xfId="333"/>
    <cellStyle name="Énfasis3" xfId="43" builtinId="37" customBuiltin="1"/>
    <cellStyle name="Énfasis3 2" xfId="173"/>
    <cellStyle name="Énfasis3 2 2" xfId="334"/>
    <cellStyle name="Énfasis4" xfId="47" builtinId="41" customBuiltin="1"/>
    <cellStyle name="Énfasis4 2" xfId="188"/>
    <cellStyle name="Énfasis4 2 2" xfId="335"/>
    <cellStyle name="Énfasis5" xfId="51" builtinId="45" customBuiltin="1"/>
    <cellStyle name="Énfasis5 2" xfId="265"/>
    <cellStyle name="Énfasis5 2 2" xfId="336"/>
    <cellStyle name="Énfasis6" xfId="55" builtinId="49" customBuiltin="1"/>
    <cellStyle name="Énfasis6 2" xfId="248"/>
    <cellStyle name="Énfasis6 2 2" xfId="337"/>
    <cellStyle name="Entrada" xfId="26" builtinId="20" customBuiltin="1"/>
    <cellStyle name="Entrada 2" xfId="181"/>
    <cellStyle name="Entrada 2 2" xfId="338"/>
    <cellStyle name="Euro" xfId="339"/>
    <cellStyle name="Euro 2" xfId="340"/>
    <cellStyle name="Excel Built-in Normal 2" xfId="119"/>
    <cellStyle name="Excel Built-in Normal 2 2" xfId="244"/>
    <cellStyle name="F2" xfId="341"/>
    <cellStyle name="F3" xfId="342"/>
    <cellStyle name="F4" xfId="343"/>
    <cellStyle name="F5" xfId="344"/>
    <cellStyle name="F6" xfId="345"/>
    <cellStyle name="F7" xfId="346"/>
    <cellStyle name="F8" xfId="347"/>
    <cellStyle name="Hipervínculo 2" xfId="192"/>
    <cellStyle name="Incorrecto" xfId="24" builtinId="27" customBuiltin="1"/>
    <cellStyle name="Incorrecto 2" xfId="254"/>
    <cellStyle name="Incorrecto 2 2" xfId="348"/>
    <cellStyle name="KPT04" xfId="6"/>
    <cellStyle name="KPT04 2" xfId="9"/>
    <cellStyle name="KPT04 2 2" xfId="261"/>
    <cellStyle name="KPT04 3" xfId="263"/>
    <cellStyle name="KPT04_Main" xfId="14"/>
    <cellStyle name="Millares" xfId="1" builtinId="3"/>
    <cellStyle name="Millares [0]" xfId="2" builtinId="6"/>
    <cellStyle name="Millares [0] 2" xfId="97"/>
    <cellStyle name="Millares [0] 2 2" xfId="160"/>
    <cellStyle name="Millares [0] 2 3" xfId="397"/>
    <cellStyle name="Millares [0] 3" xfId="123"/>
    <cellStyle name="Millares [0] 4" xfId="164"/>
    <cellStyle name="Millares 2" xfId="5"/>
    <cellStyle name="Millares 2 2" xfId="8"/>
    <cellStyle name="Millares 2 2 2" xfId="12"/>
    <cellStyle name="Millares 2 2 2 2" xfId="95"/>
    <cellStyle name="Millares 2 2 2 2 2" xfId="159"/>
    <cellStyle name="Millares 2 3" xfId="349"/>
    <cellStyle name="Millares 2 4" xfId="103"/>
    <cellStyle name="Millares 2 4 2" xfId="166"/>
    <cellStyle name="Millares 3" xfId="115"/>
    <cellStyle name="Millares 3 2" xfId="124"/>
    <cellStyle name="Millares 3 3" xfId="121"/>
    <cellStyle name="Millares 3 4" xfId="390"/>
    <cellStyle name="Millares 4" xfId="120"/>
    <cellStyle name="Millares 6" xfId="122"/>
    <cellStyle name="Moneda" xfId="3" builtinId="4"/>
    <cellStyle name="Moneda [0]" xfId="4" builtinId="7"/>
    <cellStyle name="Moneda [0] 2" xfId="101"/>
    <cellStyle name="Moneda [0] 2 2" xfId="125"/>
    <cellStyle name="Moneda [0] 2 2 2" xfId="168"/>
    <cellStyle name="Moneda [0] 2 3" xfId="163"/>
    <cellStyle name="Moneda 10" xfId="139"/>
    <cellStyle name="Moneda 11" xfId="144"/>
    <cellStyle name="Moneda 12" xfId="145"/>
    <cellStyle name="Moneda 13" xfId="146"/>
    <cellStyle name="Moneda 14" xfId="147"/>
    <cellStyle name="Moneda 15" xfId="148"/>
    <cellStyle name="Moneda 16" xfId="149"/>
    <cellStyle name="Moneda 2" xfId="11"/>
    <cellStyle name="Moneda 2 2" xfId="102"/>
    <cellStyle name="Moneda 2 3" xfId="100"/>
    <cellStyle name="Moneda 2 4" xfId="131"/>
    <cellStyle name="Moneda 2 5" xfId="162"/>
    <cellStyle name="Moneda 2 6" xfId="395"/>
    <cellStyle name="Moneda 3" xfId="13"/>
    <cellStyle name="Moneda 3 2" xfId="118"/>
    <cellStyle name="Moneda 4" xfId="130"/>
    <cellStyle name="Moneda 4 2" xfId="392"/>
    <cellStyle name="Moneda 5" xfId="134"/>
    <cellStyle name="Moneda 6" xfId="135"/>
    <cellStyle name="Moneda 7" xfId="136"/>
    <cellStyle name="Moneda 8" xfId="138"/>
    <cellStyle name="Moneda 9" xfId="137"/>
    <cellStyle name="Neutral" xfId="25" builtinId="28" customBuiltin="1"/>
    <cellStyle name="Neutral 2" xfId="77"/>
    <cellStyle name="Neutral 2 2" xfId="350"/>
    <cellStyle name="Normal" xfId="0" builtinId="0"/>
    <cellStyle name="Normal 10" xfId="94"/>
    <cellStyle name="Normal 10 2" xfId="194"/>
    <cellStyle name="Normal 10 3" xfId="388"/>
    <cellStyle name="Normal 11" xfId="107"/>
    <cellStyle name="Normal 11 2" xfId="247"/>
    <cellStyle name="Normal 12" xfId="104"/>
    <cellStyle name="Normal 12 2" xfId="208"/>
    <cellStyle name="Normal 13" xfId="90"/>
    <cellStyle name="Normal 13 2" xfId="227"/>
    <cellStyle name="Normal 14" xfId="92"/>
    <cellStyle name="Normal 14 2" xfId="238"/>
    <cellStyle name="Normal 14 3" xfId="351"/>
    <cellStyle name="Normal 15" xfId="105"/>
    <cellStyle name="Normal 15 2" xfId="216"/>
    <cellStyle name="Normal 16" xfId="88"/>
    <cellStyle name="Normal 16 2" xfId="74"/>
    <cellStyle name="Normal 17" xfId="106"/>
    <cellStyle name="Normal 17 2" xfId="178"/>
    <cellStyle name="Normal 18" xfId="87"/>
    <cellStyle name="Normal 18 2" xfId="187"/>
    <cellStyle name="Normal 19" xfId="108"/>
    <cellStyle name="Normal 19 2" xfId="204"/>
    <cellStyle name="Normal 2" xfId="7"/>
    <cellStyle name="Normal 2 2" xfId="10"/>
    <cellStyle name="Normal 2 2 10" xfId="353"/>
    <cellStyle name="Normal 2 2 2" xfId="15"/>
    <cellStyle name="Normal 2 2 2 2" xfId="132"/>
    <cellStyle name="Normal 2 2 2 2 2" xfId="230"/>
    <cellStyle name="Normal 2 2 2 2 2 2" xfId="357"/>
    <cellStyle name="Normal 2 2 2 2 2 3" xfId="356"/>
    <cellStyle name="Normal 2 2 2 2 3" xfId="355"/>
    <cellStyle name="Normal 2 2 2 3" xfId="212"/>
    <cellStyle name="Normal 2 2 2 3 2" xfId="358"/>
    <cellStyle name="Normal 2 2 2 4" xfId="359"/>
    <cellStyle name="Normal 2 2 2 5" xfId="354"/>
    <cellStyle name="Normal 2 2 3" xfId="221"/>
    <cellStyle name="Normal 2 2 3 2" xfId="360"/>
    <cellStyle name="Normal 2 2 7" xfId="361"/>
    <cellStyle name="Normal 2 2 8" xfId="362"/>
    <cellStyle name="Normal 2 2 9" xfId="363"/>
    <cellStyle name="Normal 2 3" xfId="16"/>
    <cellStyle name="Normal 2 3 2" xfId="126"/>
    <cellStyle name="Normal 2 3 2 2" xfId="365"/>
    <cellStyle name="Normal 2 3 3" xfId="167"/>
    <cellStyle name="Normal 2 3 3 2" xfId="270"/>
    <cellStyle name="Normal 2 3 3 3" xfId="366"/>
    <cellStyle name="Normal 2 3 3 4" xfId="393"/>
    <cellStyle name="Normal 2 3 4" xfId="246"/>
    <cellStyle name="Normal 2 3 5" xfId="364"/>
    <cellStyle name="Normal 2 4" xfId="117"/>
    <cellStyle name="Normal 2 4 2" xfId="197"/>
    <cellStyle name="Normal 2 4 3" xfId="367"/>
    <cellStyle name="Normal 2 5" xfId="368"/>
    <cellStyle name="Normal 2 6" xfId="369"/>
    <cellStyle name="Normal 2 7" xfId="352"/>
    <cellStyle name="Normal 2_FUT INGRESOS 2010 Y FLS Y TESORERIA FLS AGOSTO 26" xfId="370"/>
    <cellStyle name="Normal 20" xfId="86"/>
    <cellStyle name="Normal 20 2" xfId="234"/>
    <cellStyle name="Normal 21" xfId="91"/>
    <cellStyle name="Normal 21 2" xfId="209"/>
    <cellStyle name="Normal 22" xfId="89"/>
    <cellStyle name="Normal 22 2" xfId="193"/>
    <cellStyle name="Normal 23" xfId="109"/>
    <cellStyle name="Normal 23 2" xfId="239"/>
    <cellStyle name="Normal 24" xfId="110"/>
    <cellStyle name="Normal 24 2" xfId="268"/>
    <cellStyle name="Normal 25" xfId="111"/>
    <cellStyle name="Normal 25 2" xfId="240"/>
    <cellStyle name="Normal 26" xfId="112"/>
    <cellStyle name="Normal 26 2" xfId="258"/>
    <cellStyle name="Normal 27" xfId="113"/>
    <cellStyle name="Normal 27 2" xfId="241"/>
    <cellStyle name="Normal 28" xfId="114"/>
    <cellStyle name="Normal 28 2" xfId="78"/>
    <cellStyle name="Normal 29" xfId="116"/>
    <cellStyle name="Normal 29 2" xfId="75"/>
    <cellStyle name="Normal 3" xfId="17"/>
    <cellStyle name="Normal 3 2" xfId="127"/>
    <cellStyle name="Normal 3 2 2" xfId="210"/>
    <cellStyle name="Normal 3 2 3" xfId="371"/>
    <cellStyle name="Normal 3 3" xfId="264"/>
    <cellStyle name="Normal 3 4" xfId="277"/>
    <cellStyle name="Normal 3 5" xfId="63"/>
    <cellStyle name="Normal 30" xfId="128"/>
    <cellStyle name="Normal 30 2" xfId="176"/>
    <cellStyle name="Normal 31" xfId="142"/>
    <cellStyle name="Normal 31 2" xfId="82"/>
    <cellStyle name="Normal 32" xfId="140"/>
    <cellStyle name="Normal 32 2" xfId="73"/>
    <cellStyle name="Normal 33" xfId="141"/>
    <cellStyle name="Normal 33 2" xfId="200"/>
    <cellStyle name="Normal 34" xfId="133"/>
    <cellStyle name="Normal 34 2" xfId="180"/>
    <cellStyle name="Normal 35" xfId="143"/>
    <cellStyle name="Normal 35 2" xfId="174"/>
    <cellStyle name="Normal 36" xfId="150"/>
    <cellStyle name="Normal 36 2" xfId="198"/>
    <cellStyle name="Normal 37" xfId="158"/>
    <cellStyle name="Normal 37 2" xfId="217"/>
    <cellStyle name="Normal 38" xfId="153"/>
    <cellStyle name="Normal 38 2" xfId="243"/>
    <cellStyle name="Normal 39" xfId="161"/>
    <cellStyle name="Normal 39 2" xfId="189"/>
    <cellStyle name="Normal 4" xfId="84"/>
    <cellStyle name="Normal 4 2" xfId="262"/>
    <cellStyle name="Normal 4 2 2" xfId="373"/>
    <cellStyle name="Normal 4 3" xfId="372"/>
    <cellStyle name="Normal 40" xfId="151"/>
    <cellStyle name="Normal 40 2" xfId="179"/>
    <cellStyle name="Normal 41" xfId="165"/>
    <cellStyle name="Normal 41 2" xfId="222"/>
    <cellStyle name="Normal 42" xfId="169"/>
    <cellStyle name="Normal 42 2" xfId="272"/>
    <cellStyle name="Normal 43" xfId="157"/>
    <cellStyle name="Normal 43 2" xfId="183"/>
    <cellStyle name="Normal 44" xfId="154"/>
    <cellStyle name="Normal 44 2" xfId="185"/>
    <cellStyle name="Normal 45" xfId="155"/>
    <cellStyle name="Normal 45 2" xfId="259"/>
    <cellStyle name="Normal 46" xfId="152"/>
    <cellStyle name="Normal 46 2" xfId="236"/>
    <cellStyle name="Normal 47" xfId="156"/>
    <cellStyle name="Normal 47 2" xfId="232"/>
    <cellStyle name="Normal 48" xfId="60"/>
    <cellStyle name="Normal 49" xfId="71"/>
    <cellStyle name="Normal 5" xfId="93"/>
    <cellStyle name="Normal 5 2" xfId="186"/>
    <cellStyle name="Normal 5 3" xfId="374"/>
    <cellStyle name="Normal 50" xfId="79"/>
    <cellStyle name="Normal 51" xfId="211"/>
    <cellStyle name="Normal 52" xfId="219"/>
    <cellStyle name="Normal 53" xfId="175"/>
    <cellStyle name="Normal 54" xfId="191"/>
    <cellStyle name="Normal 55" xfId="214"/>
    <cellStyle name="Normal 56" xfId="170"/>
    <cellStyle name="Normal 57" xfId="226"/>
    <cellStyle name="Normal 58" xfId="76"/>
    <cellStyle name="Normal 59" xfId="207"/>
    <cellStyle name="Normal 6" xfId="19"/>
    <cellStyle name="Normal 6 2" xfId="70"/>
    <cellStyle name="Normal 60" xfId="228"/>
    <cellStyle name="Normal 61" xfId="195"/>
    <cellStyle name="Normal 62" xfId="182"/>
    <cellStyle name="Normal 63" xfId="81"/>
    <cellStyle name="Normal 64" xfId="172"/>
    <cellStyle name="Normal 65" xfId="199"/>
    <cellStyle name="Normal 66" xfId="206"/>
    <cellStyle name="Normal 67" xfId="229"/>
    <cellStyle name="Normal 68" xfId="256"/>
    <cellStyle name="Normal 69" xfId="266"/>
    <cellStyle name="Normal 7" xfId="18"/>
    <cellStyle name="Normal 7 2" xfId="225"/>
    <cellStyle name="Normal 7 3" xfId="375"/>
    <cellStyle name="Normal 70" xfId="267"/>
    <cellStyle name="Normal 71" xfId="245"/>
    <cellStyle name="Normal 72" xfId="202"/>
    <cellStyle name="Normal 73" xfId="278"/>
    <cellStyle name="Normal 74" xfId="271"/>
    <cellStyle name="Normal 75" xfId="280"/>
    <cellStyle name="Normal 76" xfId="66"/>
    <cellStyle name="Normal 77" xfId="275"/>
    <cellStyle name="Normal 78" xfId="276"/>
    <cellStyle name="Normal 79" xfId="273"/>
    <cellStyle name="Normal 8" xfId="85"/>
    <cellStyle name="Normal 8 2" xfId="83"/>
    <cellStyle name="Normal 8 3" xfId="376"/>
    <cellStyle name="Normal 80" xfId="279"/>
    <cellStyle name="Normal 81" xfId="177"/>
    <cellStyle name="Normal 82" xfId="274"/>
    <cellStyle name="Normal 83" xfId="255"/>
    <cellStyle name="Normal 84" xfId="281"/>
    <cellStyle name="Normal 85" xfId="59"/>
    <cellStyle name="Normal 86" xfId="283"/>
    <cellStyle name="Normal 87" xfId="391"/>
    <cellStyle name="Normal 88" xfId="389"/>
    <cellStyle name="Normal 89" xfId="394"/>
    <cellStyle name="Normal 9" xfId="99"/>
    <cellStyle name="Normal 9 2" xfId="62"/>
    <cellStyle name="Normal 9 3" xfId="284"/>
    <cellStyle name="Notas" xfId="32" builtinId="10" customBuiltin="1"/>
    <cellStyle name="Notas 2" xfId="203"/>
    <cellStyle name="Notas 2 2" xfId="377"/>
    <cellStyle name="Notas 3" xfId="378"/>
    <cellStyle name="Porcentaje" xfId="282" builtinId="5"/>
    <cellStyle name="Porcentaje 2" xfId="396"/>
    <cellStyle name="Porcentaje 2 2" xfId="96"/>
    <cellStyle name="Porcentaje 2 2 2" xfId="98"/>
    <cellStyle name="Porcentaje 2 3" xfId="129"/>
    <cellStyle name="Salida" xfId="27" builtinId="21" customBuiltin="1"/>
    <cellStyle name="Salida 2" xfId="205"/>
    <cellStyle name="Salida 2 2" xfId="379"/>
    <cellStyle name="TableStyleLight1" xfId="380"/>
    <cellStyle name="Texto de advertencia" xfId="31" builtinId="11" customBuiltin="1"/>
    <cellStyle name="Texto de advertencia 2" xfId="249"/>
    <cellStyle name="Texto de advertencia 2 2" xfId="381"/>
    <cellStyle name="Texto explicativo" xfId="33" builtinId="53" customBuiltin="1"/>
    <cellStyle name="Texto explicativo 2" xfId="252"/>
    <cellStyle name="Texto explicativo 2 2" xfId="382"/>
    <cellStyle name="Título 1 2" xfId="269"/>
    <cellStyle name="Título 1 2 2" xfId="383"/>
    <cellStyle name="Título 2" xfId="21" builtinId="17" customBuiltin="1"/>
    <cellStyle name="Título 2 2" xfId="65"/>
    <cellStyle name="Título 2 2 2" xfId="384"/>
    <cellStyle name="Título 3" xfId="22" builtinId="18" customBuiltin="1"/>
    <cellStyle name="Título 3 2" xfId="190"/>
    <cellStyle name="Título 3 2 2" xfId="385"/>
    <cellStyle name="Título 4" xfId="64"/>
    <cellStyle name="Título 4 2" xfId="386"/>
    <cellStyle name="Título 5" xfId="231"/>
    <cellStyle name="Total" xfId="34" builtinId="25" customBuiltin="1"/>
    <cellStyle name="Total 2" xfId="220"/>
    <cellStyle name="Total 2 2" xfId="387"/>
  </cellStyles>
  <dxfs count="6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RECURSOS</a:t>
            </a:r>
            <a:r>
              <a:rPr lang="es-CO" baseline="0"/>
              <a:t> POR EJE ESTRATEGICO</a:t>
            </a:r>
            <a:r>
              <a:rPr lang="es-CO" sz="1400" b="1" i="0" u="none" strike="noStrike" baseline="0">
                <a:effectLst/>
              </a:rPr>
              <a:t> </a:t>
            </a:r>
          </a:p>
          <a:p>
            <a:pPr>
              <a:defRPr/>
            </a:pPr>
            <a:r>
              <a:rPr lang="es-CO" sz="1400" b="1" i="0" u="none" strike="noStrike" baseline="0">
                <a:effectLst/>
              </a:rPr>
              <a:t>SECTOR CENTRAL</a:t>
            </a:r>
            <a:endParaRPr lang="es-CO"/>
          </a:p>
          <a:p>
            <a:pPr>
              <a:defRPr/>
            </a:pPr>
            <a:r>
              <a:rPr lang="es-CO" baseline="0"/>
              <a:t>JUNIO 30 DE 2021</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'EJE ESTRATEGICO'!$C$3</c:f>
              <c:strCache>
                <c:ptCount val="1"/>
                <c:pt idx="0">
                  <c:v>INCLUSIÓN SOCIAL Y EQUIDAD </c:v>
                </c:pt>
              </c:strCache>
            </c:strRef>
          </c:tx>
          <c:spPr>
            <a:solidFill>
              <a:srgbClr val="002060"/>
            </a:solidFill>
            <a:ln>
              <a:noFill/>
            </a:ln>
            <a:effectLst/>
            <a:sp3d/>
          </c:spPr>
          <c:invertIfNegative val="0"/>
          <c:cat>
            <c:strRef>
              <c:f>'EJE ESTRATEGICO'!$D$2:$E$2</c:f>
              <c:strCache>
                <c:ptCount val="2"/>
                <c:pt idx="0">
                  <c:v>PRESUPUESTADO</c:v>
                </c:pt>
                <c:pt idx="1">
                  <c:v>Porcentaje</c:v>
                </c:pt>
              </c:strCache>
            </c:strRef>
          </c:cat>
          <c:val>
            <c:numRef>
              <c:f>'EJE ESTRATEGICO'!$D$3:$E$3</c:f>
              <c:numCache>
                <c:formatCode>0%</c:formatCode>
                <c:ptCount val="2"/>
                <c:pt idx="0" formatCode="_(* #,##0.00_);_(* \(#,##0.00\);_(* &quot;-&quot;??_);_(@_)">
                  <c:v>266176734111.85004</c:v>
                </c:pt>
                <c:pt idx="1">
                  <c:v>0.91338313726365705</c:v>
                </c:pt>
              </c:numCache>
            </c:numRef>
          </c:val>
          <c:extLst>
            <c:ext xmlns:c16="http://schemas.microsoft.com/office/drawing/2014/chart" uri="{C3380CC4-5D6E-409C-BE32-E72D297353CC}">
              <c16:uniqueId val="{00000000-193A-4AAF-822B-6C775BAB9851}"/>
            </c:ext>
          </c:extLst>
        </c:ser>
        <c:ser>
          <c:idx val="1"/>
          <c:order val="1"/>
          <c:tx>
            <c:strRef>
              <c:f>'EJE ESTRATEGICO'!$C$4</c:f>
              <c:strCache>
                <c:ptCount val="1"/>
                <c:pt idx="0">
                  <c:v>PRODUCTIVIDAD Y COMPETITIVIDAD</c:v>
                </c:pt>
              </c:strCache>
            </c:strRef>
          </c:tx>
          <c:spPr>
            <a:solidFill>
              <a:srgbClr val="C00000"/>
            </a:solidFill>
            <a:ln>
              <a:noFill/>
            </a:ln>
            <a:effectLst/>
            <a:sp3d/>
          </c:spPr>
          <c:invertIfNegative val="0"/>
          <c:cat>
            <c:strRef>
              <c:f>'EJE ESTRATEGICO'!$D$2:$E$2</c:f>
              <c:strCache>
                <c:ptCount val="2"/>
                <c:pt idx="0">
                  <c:v>PRESUPUESTADO</c:v>
                </c:pt>
                <c:pt idx="1">
                  <c:v>Porcentaje</c:v>
                </c:pt>
              </c:strCache>
            </c:strRef>
          </c:cat>
          <c:val>
            <c:numRef>
              <c:f>'EJE ESTRATEGICO'!$D$4:$E$4</c:f>
              <c:numCache>
                <c:formatCode>0%</c:formatCode>
                <c:ptCount val="2"/>
                <c:pt idx="0" formatCode="_(* #,##0.00_);_(* \(#,##0.00\);_(* &quot;-&quot;??_);_(@_)">
                  <c:v>5624941822.2399998</c:v>
                </c:pt>
                <c:pt idx="1">
                  <c:v>1.9301938712510465E-2</c:v>
                </c:pt>
              </c:numCache>
            </c:numRef>
          </c:val>
          <c:extLst>
            <c:ext xmlns:c16="http://schemas.microsoft.com/office/drawing/2014/chart" uri="{C3380CC4-5D6E-409C-BE32-E72D297353CC}">
              <c16:uniqueId val="{00000001-193A-4AAF-822B-6C775BAB9851}"/>
            </c:ext>
          </c:extLst>
        </c:ser>
        <c:ser>
          <c:idx val="2"/>
          <c:order val="2"/>
          <c:tx>
            <c:strRef>
              <c:f>'EJE ESTRATEGICO'!$C$5</c:f>
              <c:strCache>
                <c:ptCount val="1"/>
                <c:pt idx="0">
                  <c:v>TERRITORIO, AMBIENTE Y DESARROLLO SOSTENIBLE </c:v>
                </c:pt>
              </c:strCache>
            </c:strRef>
          </c:tx>
          <c:spPr>
            <a:solidFill>
              <a:schemeClr val="accent3"/>
            </a:solidFill>
            <a:ln>
              <a:noFill/>
            </a:ln>
            <a:effectLst/>
            <a:sp3d/>
          </c:spPr>
          <c:invertIfNegative val="0"/>
          <c:cat>
            <c:strRef>
              <c:f>'EJE ESTRATEGICO'!$D$2:$E$2</c:f>
              <c:strCache>
                <c:ptCount val="2"/>
                <c:pt idx="0">
                  <c:v>PRESUPUESTADO</c:v>
                </c:pt>
                <c:pt idx="1">
                  <c:v>Porcentaje</c:v>
                </c:pt>
              </c:strCache>
            </c:strRef>
          </c:cat>
          <c:val>
            <c:numRef>
              <c:f>'EJE ESTRATEGICO'!$D$5:$E$5</c:f>
              <c:numCache>
                <c:formatCode>0%</c:formatCode>
                <c:ptCount val="2"/>
                <c:pt idx="0" formatCode="_(* #,##0.00_);_(* \(#,##0.00\);_(* &quot;-&quot;??_);_(@_)">
                  <c:v>13095806049.780001</c:v>
                </c:pt>
                <c:pt idx="1">
                  <c:v>4.4938144029215206E-2</c:v>
                </c:pt>
              </c:numCache>
            </c:numRef>
          </c:val>
          <c:extLst>
            <c:ext xmlns:c16="http://schemas.microsoft.com/office/drawing/2014/chart" uri="{C3380CC4-5D6E-409C-BE32-E72D297353CC}">
              <c16:uniqueId val="{00000002-193A-4AAF-822B-6C775BAB9851}"/>
            </c:ext>
          </c:extLst>
        </c:ser>
        <c:ser>
          <c:idx val="3"/>
          <c:order val="3"/>
          <c:tx>
            <c:strRef>
              <c:f>'EJE ESTRATEGICO'!$C$6</c:f>
              <c:strCache>
                <c:ptCount val="1"/>
                <c:pt idx="0">
                  <c:v>LIDERAZGO, GOBERNABILIDAD Y TRANSPARENCIA </c:v>
                </c:pt>
              </c:strCache>
            </c:strRef>
          </c:tx>
          <c:spPr>
            <a:solidFill>
              <a:schemeClr val="accent4"/>
            </a:solidFill>
            <a:ln>
              <a:noFill/>
            </a:ln>
            <a:effectLst/>
            <a:sp3d/>
          </c:spPr>
          <c:invertIfNegative val="0"/>
          <c:cat>
            <c:strRef>
              <c:f>'EJE ESTRATEGICO'!$D$2:$E$2</c:f>
              <c:strCache>
                <c:ptCount val="2"/>
                <c:pt idx="0">
                  <c:v>PRESUPUESTADO</c:v>
                </c:pt>
                <c:pt idx="1">
                  <c:v>Porcentaje</c:v>
                </c:pt>
              </c:strCache>
            </c:strRef>
          </c:cat>
          <c:val>
            <c:numRef>
              <c:f>'EJE ESTRATEGICO'!$D$6:$E$6</c:f>
              <c:numCache>
                <c:formatCode>0%</c:formatCode>
                <c:ptCount val="2"/>
                <c:pt idx="0" formatCode="_(* #,##0.00_);_(* \(#,##0.00\);_(* &quot;-&quot;??_);_(@_)">
                  <c:v>6521007423.8400002</c:v>
                </c:pt>
                <c:pt idx="1">
                  <c:v>2.2376779994617162E-2</c:v>
                </c:pt>
              </c:numCache>
            </c:numRef>
          </c:val>
          <c:extLst>
            <c:ext xmlns:c16="http://schemas.microsoft.com/office/drawing/2014/chart" uri="{C3380CC4-5D6E-409C-BE32-E72D297353CC}">
              <c16:uniqueId val="{00000003-193A-4AAF-822B-6C775BAB9851}"/>
            </c:ext>
          </c:extLst>
        </c:ser>
        <c:ser>
          <c:idx val="4"/>
          <c:order val="4"/>
          <c:tx>
            <c:strRef>
              <c:f>'EJE ESTRATEGICO'!$C$7</c:f>
              <c:strCache>
                <c:ptCount val="1"/>
                <c:pt idx="0">
                  <c:v>TOTAL</c:v>
                </c:pt>
              </c:strCache>
            </c:strRef>
          </c:tx>
          <c:spPr>
            <a:solidFill>
              <a:srgbClr val="92D050"/>
            </a:solidFill>
            <a:ln>
              <a:noFill/>
            </a:ln>
            <a:effectLst/>
            <a:sp3d/>
          </c:spPr>
          <c:invertIfNegative val="0"/>
          <c:cat>
            <c:strRef>
              <c:f>'EJE ESTRATEGICO'!$D$2:$E$2</c:f>
              <c:strCache>
                <c:ptCount val="2"/>
                <c:pt idx="0">
                  <c:v>PRESUPUESTADO</c:v>
                </c:pt>
                <c:pt idx="1">
                  <c:v>Porcentaje</c:v>
                </c:pt>
              </c:strCache>
            </c:strRef>
          </c:cat>
          <c:val>
            <c:numRef>
              <c:f>'EJE ESTRATEGICO'!$D$7:$E$7</c:f>
              <c:numCache>
                <c:formatCode>0%</c:formatCode>
                <c:ptCount val="2"/>
                <c:pt idx="0" formatCode="_(* #,##0.00_);_(* \(#,##0.00\);_(* &quot;-&quot;??_);_(@_)">
                  <c:v>291418489407.71008</c:v>
                </c:pt>
                <c:pt idx="1">
                  <c:v>1</c:v>
                </c:pt>
              </c:numCache>
            </c:numRef>
          </c:val>
          <c:extLst>
            <c:ext xmlns:c16="http://schemas.microsoft.com/office/drawing/2014/chart" uri="{C3380CC4-5D6E-409C-BE32-E72D297353CC}">
              <c16:uniqueId val="{00000004-193A-4AAF-822B-6C775BAB9851}"/>
            </c:ext>
          </c:extLst>
        </c:ser>
        <c:dLbls>
          <c:showLegendKey val="0"/>
          <c:showVal val="0"/>
          <c:showCatName val="0"/>
          <c:showSerName val="0"/>
          <c:showPercent val="0"/>
          <c:showBubbleSize val="0"/>
        </c:dLbls>
        <c:gapWidth val="150"/>
        <c:shape val="box"/>
        <c:axId val="110313472"/>
        <c:axId val="48538368"/>
        <c:axId val="0"/>
      </c:bar3DChart>
      <c:catAx>
        <c:axId val="11031347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8538368"/>
        <c:crosses val="autoZero"/>
        <c:auto val="1"/>
        <c:lblAlgn val="ctr"/>
        <c:lblOffset val="100"/>
        <c:noMultiLvlLbl val="0"/>
      </c:catAx>
      <c:valAx>
        <c:axId val="48538368"/>
        <c:scaling>
          <c:orientation val="minMax"/>
        </c:scaling>
        <c:delete val="0"/>
        <c:axPos val="l"/>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03134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RECURSOS POR LÍNEA ESTRATÉGICA</a:t>
            </a:r>
          </a:p>
          <a:p>
            <a:pPr>
              <a:defRPr/>
            </a:pPr>
            <a:r>
              <a:rPr lang="es-CO"/>
              <a:t>DESCENTRALIZADOS</a:t>
            </a:r>
          </a:p>
          <a:p>
            <a:pPr>
              <a:defRPr/>
            </a:pPr>
            <a:r>
              <a:rPr lang="es-CO"/>
              <a:t>JUNIO 30 </a:t>
            </a:r>
            <a:r>
              <a:rPr lang="es-CO" baseline="0"/>
              <a:t>DE 2021</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'EJE ESTRATEGICO'!$C$16</c:f>
              <c:strCache>
                <c:ptCount val="1"/>
                <c:pt idx="0">
                  <c:v>INCLUSIÓN SOCIAL Y EQUIDAD </c:v>
                </c:pt>
              </c:strCache>
            </c:strRef>
          </c:tx>
          <c:spPr>
            <a:solidFill>
              <a:srgbClr val="002060"/>
            </a:solidFill>
            <a:ln>
              <a:noFill/>
            </a:ln>
            <a:effectLst/>
            <a:sp3d/>
          </c:spPr>
          <c:invertIfNegative val="0"/>
          <c:cat>
            <c:strRef>
              <c:f>'EJE ESTRATEGICO'!$D$15:$E$15</c:f>
              <c:strCache>
                <c:ptCount val="2"/>
                <c:pt idx="0">
                  <c:v>PRESUPUESTADO</c:v>
                </c:pt>
                <c:pt idx="1">
                  <c:v>Porcentaje</c:v>
                </c:pt>
              </c:strCache>
            </c:strRef>
          </c:cat>
          <c:val>
            <c:numRef>
              <c:f>'EJE ESTRATEGICO'!$D$16:$E$16</c:f>
              <c:numCache>
                <c:formatCode>0%</c:formatCode>
                <c:ptCount val="2"/>
                <c:pt idx="0" formatCode="_(* #,##0.00_);_(* \(#,##0.00\);_(* &quot;-&quot;??_);_(@_)">
                  <c:v>13627459159.989998</c:v>
                </c:pt>
                <c:pt idx="1">
                  <c:v>0.89973698736224594</c:v>
                </c:pt>
              </c:numCache>
            </c:numRef>
          </c:val>
          <c:extLst>
            <c:ext xmlns:c16="http://schemas.microsoft.com/office/drawing/2014/chart" uri="{C3380CC4-5D6E-409C-BE32-E72D297353CC}">
              <c16:uniqueId val="{00000000-206B-4998-B2DA-83EF624BACE3}"/>
            </c:ext>
          </c:extLst>
        </c:ser>
        <c:ser>
          <c:idx val="1"/>
          <c:order val="1"/>
          <c:tx>
            <c:strRef>
              <c:f>'EJE ESTRATEGICO'!$C$17</c:f>
              <c:strCache>
                <c:ptCount val="1"/>
                <c:pt idx="0">
                  <c:v>TERRITORIO, AMBIENTE Y DESARROLLO SOSTENIBLE </c:v>
                </c:pt>
              </c:strCache>
            </c:strRef>
          </c:tx>
          <c:spPr>
            <a:solidFill>
              <a:srgbClr val="C00000"/>
            </a:solidFill>
            <a:ln>
              <a:noFill/>
            </a:ln>
            <a:effectLst/>
            <a:sp3d/>
          </c:spPr>
          <c:invertIfNegative val="0"/>
          <c:cat>
            <c:strRef>
              <c:f>'EJE ESTRATEGICO'!$D$15:$E$15</c:f>
              <c:strCache>
                <c:ptCount val="2"/>
                <c:pt idx="0">
                  <c:v>PRESUPUESTADO</c:v>
                </c:pt>
                <c:pt idx="1">
                  <c:v>Porcentaje</c:v>
                </c:pt>
              </c:strCache>
            </c:strRef>
          </c:cat>
          <c:val>
            <c:numRef>
              <c:f>'EJE ESTRATEGICO'!$D$17:$E$17</c:f>
              <c:numCache>
                <c:formatCode>0%</c:formatCode>
                <c:ptCount val="2"/>
                <c:pt idx="0" formatCode="_(* #,##0.00_);_(* \(#,##0.00\);_(* &quot;-&quot;??_);_(@_)">
                  <c:v>1518588353.23</c:v>
                </c:pt>
                <c:pt idx="1">
                  <c:v>0.10026301263775406</c:v>
                </c:pt>
              </c:numCache>
            </c:numRef>
          </c:val>
          <c:extLst>
            <c:ext xmlns:c16="http://schemas.microsoft.com/office/drawing/2014/chart" uri="{C3380CC4-5D6E-409C-BE32-E72D297353CC}">
              <c16:uniqueId val="{00000001-206B-4998-B2DA-83EF624BACE3}"/>
            </c:ext>
          </c:extLst>
        </c:ser>
        <c:ser>
          <c:idx val="2"/>
          <c:order val="2"/>
          <c:tx>
            <c:strRef>
              <c:f>'EJE ESTRATEGICO'!$C$18</c:f>
              <c:strCache>
                <c:ptCount val="1"/>
                <c:pt idx="0">
                  <c:v>TOTAL</c:v>
                </c:pt>
              </c:strCache>
            </c:strRef>
          </c:tx>
          <c:spPr>
            <a:solidFill>
              <a:srgbClr val="92D050"/>
            </a:solidFill>
            <a:ln>
              <a:noFill/>
            </a:ln>
            <a:effectLst/>
            <a:sp3d/>
          </c:spPr>
          <c:invertIfNegative val="0"/>
          <c:cat>
            <c:strRef>
              <c:f>'EJE ESTRATEGICO'!$D$15:$E$15</c:f>
              <c:strCache>
                <c:ptCount val="2"/>
                <c:pt idx="0">
                  <c:v>PRESUPUESTADO</c:v>
                </c:pt>
                <c:pt idx="1">
                  <c:v>Porcentaje</c:v>
                </c:pt>
              </c:strCache>
            </c:strRef>
          </c:cat>
          <c:val>
            <c:numRef>
              <c:f>'EJE ESTRATEGICO'!$D$18:$E$18</c:f>
              <c:numCache>
                <c:formatCode>0%</c:formatCode>
                <c:ptCount val="2"/>
                <c:pt idx="0" formatCode="_(* #,##0.00_);_(* \(#,##0.00\);_(* &quot;-&quot;??_);_(@_)">
                  <c:v>15146047513.219997</c:v>
                </c:pt>
                <c:pt idx="1">
                  <c:v>1</c:v>
                </c:pt>
              </c:numCache>
            </c:numRef>
          </c:val>
          <c:extLst>
            <c:ext xmlns:c16="http://schemas.microsoft.com/office/drawing/2014/chart" uri="{C3380CC4-5D6E-409C-BE32-E72D297353CC}">
              <c16:uniqueId val="{00000002-206B-4998-B2DA-83EF624BACE3}"/>
            </c:ext>
          </c:extLst>
        </c:ser>
        <c:dLbls>
          <c:showLegendKey val="0"/>
          <c:showVal val="0"/>
          <c:showCatName val="0"/>
          <c:showSerName val="0"/>
          <c:showPercent val="0"/>
          <c:showBubbleSize val="0"/>
        </c:dLbls>
        <c:gapWidth val="150"/>
        <c:shape val="box"/>
        <c:axId val="49095808"/>
        <c:axId val="49097344"/>
        <c:axId val="0"/>
      </c:bar3DChart>
      <c:catAx>
        <c:axId val="4909580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097344"/>
        <c:crosses val="autoZero"/>
        <c:auto val="1"/>
        <c:lblAlgn val="ctr"/>
        <c:lblOffset val="100"/>
        <c:noMultiLvlLbl val="0"/>
      </c:catAx>
      <c:valAx>
        <c:axId val="49097344"/>
        <c:scaling>
          <c:orientation val="minMax"/>
        </c:scaling>
        <c:delete val="0"/>
        <c:axPos val="l"/>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0958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RECURSOS POR LÍNEA</a:t>
            </a:r>
            <a:r>
              <a:rPr lang="es-CO" baseline="0"/>
              <a:t> ESTRATÉGICA</a:t>
            </a:r>
            <a:endParaRPr lang="es-CO"/>
          </a:p>
          <a:p>
            <a:pPr>
              <a:defRPr/>
            </a:pPr>
            <a:r>
              <a:rPr lang="es-CO"/>
              <a:t>DEPARTAMENTO QUINDIO</a:t>
            </a:r>
          </a:p>
          <a:p>
            <a:pPr>
              <a:defRPr/>
            </a:pPr>
            <a:r>
              <a:rPr lang="es-CO"/>
              <a:t>JUNIO 30 DE 2021</a:t>
            </a:r>
          </a:p>
        </c:rich>
      </c:tx>
      <c:layout>
        <c:manualLayout>
          <c:xMode val="edge"/>
          <c:yMode val="edge"/>
          <c:x val="0.46791676913284214"/>
          <c:y val="4.270937753884689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'EJE ESTRATEGICO'!$C$32</c:f>
              <c:strCache>
                <c:ptCount val="1"/>
                <c:pt idx="0">
                  <c:v>INCLUSIÓN SOCIAL Y EQUIDAD </c:v>
                </c:pt>
              </c:strCache>
            </c:strRef>
          </c:tx>
          <c:spPr>
            <a:solidFill>
              <a:srgbClr val="002060"/>
            </a:solidFill>
            <a:ln>
              <a:noFill/>
            </a:ln>
            <a:effectLst/>
            <a:sp3d/>
          </c:spPr>
          <c:invertIfNegative val="0"/>
          <c:cat>
            <c:strRef>
              <c:f>'EJE ESTRATEGICO'!$D$31:$E$31</c:f>
              <c:strCache>
                <c:ptCount val="2"/>
                <c:pt idx="0">
                  <c:v>PRESUPUESTADO</c:v>
                </c:pt>
                <c:pt idx="1">
                  <c:v>Porcentaje</c:v>
                </c:pt>
              </c:strCache>
            </c:strRef>
          </c:cat>
          <c:val>
            <c:numRef>
              <c:f>'EJE ESTRATEGICO'!$D$32:$E$32</c:f>
              <c:numCache>
                <c:formatCode>0%</c:formatCode>
                <c:ptCount val="2"/>
                <c:pt idx="0" formatCode="_(* #,##0.00_);_(* \(#,##0.00\);_(* &quot;-&quot;??_);_(@_)">
                  <c:v>279804193271.84003</c:v>
                </c:pt>
                <c:pt idx="1">
                  <c:v>0.91270893914258544</c:v>
                </c:pt>
              </c:numCache>
            </c:numRef>
          </c:val>
          <c:extLst>
            <c:ext xmlns:c16="http://schemas.microsoft.com/office/drawing/2014/chart" uri="{C3380CC4-5D6E-409C-BE32-E72D297353CC}">
              <c16:uniqueId val="{00000000-7AD6-4CDD-B170-98AB75964132}"/>
            </c:ext>
          </c:extLst>
        </c:ser>
        <c:ser>
          <c:idx val="1"/>
          <c:order val="1"/>
          <c:tx>
            <c:strRef>
              <c:f>'EJE ESTRATEGICO'!$C$33</c:f>
              <c:strCache>
                <c:ptCount val="1"/>
                <c:pt idx="0">
                  <c:v>PRODUCTIVIDAD Y COMPETITIVIDAD</c:v>
                </c:pt>
              </c:strCache>
            </c:strRef>
          </c:tx>
          <c:spPr>
            <a:solidFill>
              <a:srgbClr val="C00000"/>
            </a:solidFill>
            <a:ln>
              <a:noFill/>
            </a:ln>
            <a:effectLst/>
            <a:sp3d/>
          </c:spPr>
          <c:invertIfNegative val="0"/>
          <c:cat>
            <c:strRef>
              <c:f>'EJE ESTRATEGICO'!$D$31:$E$31</c:f>
              <c:strCache>
                <c:ptCount val="2"/>
                <c:pt idx="0">
                  <c:v>PRESUPUESTADO</c:v>
                </c:pt>
                <c:pt idx="1">
                  <c:v>Porcentaje</c:v>
                </c:pt>
              </c:strCache>
            </c:strRef>
          </c:cat>
          <c:val>
            <c:numRef>
              <c:f>'EJE ESTRATEGICO'!$D$33:$E$33</c:f>
              <c:numCache>
                <c:formatCode>0%</c:formatCode>
                <c:ptCount val="2"/>
                <c:pt idx="0" formatCode="_(* #,##0.00_);_(* \(#,##0.00\);_(* &quot;-&quot;??_);_(@_)">
                  <c:v>5624941822.2399998</c:v>
                </c:pt>
                <c:pt idx="1">
                  <c:v>1.8348312165313498E-2</c:v>
                </c:pt>
              </c:numCache>
            </c:numRef>
          </c:val>
          <c:extLst>
            <c:ext xmlns:c16="http://schemas.microsoft.com/office/drawing/2014/chart" uri="{C3380CC4-5D6E-409C-BE32-E72D297353CC}">
              <c16:uniqueId val="{00000001-7AD6-4CDD-B170-98AB75964132}"/>
            </c:ext>
          </c:extLst>
        </c:ser>
        <c:ser>
          <c:idx val="2"/>
          <c:order val="2"/>
          <c:tx>
            <c:strRef>
              <c:f>'EJE ESTRATEGICO'!$C$34</c:f>
              <c:strCache>
                <c:ptCount val="1"/>
                <c:pt idx="0">
                  <c:v>TERRITORIO, AMBIENTE Y DESARROLLO SOSTENIBLE </c:v>
                </c:pt>
              </c:strCache>
            </c:strRef>
          </c:tx>
          <c:spPr>
            <a:solidFill>
              <a:schemeClr val="accent3"/>
            </a:solidFill>
            <a:ln>
              <a:noFill/>
            </a:ln>
            <a:effectLst/>
            <a:sp3d/>
          </c:spPr>
          <c:invertIfNegative val="0"/>
          <c:cat>
            <c:strRef>
              <c:f>'EJE ESTRATEGICO'!$D$31:$E$31</c:f>
              <c:strCache>
                <c:ptCount val="2"/>
                <c:pt idx="0">
                  <c:v>PRESUPUESTADO</c:v>
                </c:pt>
                <c:pt idx="1">
                  <c:v>Porcentaje</c:v>
                </c:pt>
              </c:strCache>
            </c:strRef>
          </c:cat>
          <c:val>
            <c:numRef>
              <c:f>'EJE ESTRATEGICO'!$D$34:$E$34</c:f>
              <c:numCache>
                <c:formatCode>0%</c:formatCode>
                <c:ptCount val="2"/>
                <c:pt idx="0" formatCode="_(* #,##0.00_);_(* \(#,##0.00\);_(* &quot;-&quot;??_);_(@_)">
                  <c:v>14614394403.01</c:v>
                </c:pt>
                <c:pt idx="1">
                  <c:v>4.7671510050685949E-2</c:v>
                </c:pt>
              </c:numCache>
            </c:numRef>
          </c:val>
          <c:extLst>
            <c:ext xmlns:c16="http://schemas.microsoft.com/office/drawing/2014/chart" uri="{C3380CC4-5D6E-409C-BE32-E72D297353CC}">
              <c16:uniqueId val="{00000002-7AD6-4CDD-B170-98AB75964132}"/>
            </c:ext>
          </c:extLst>
        </c:ser>
        <c:ser>
          <c:idx val="3"/>
          <c:order val="3"/>
          <c:tx>
            <c:strRef>
              <c:f>'EJE ESTRATEGICO'!$C$35</c:f>
              <c:strCache>
                <c:ptCount val="1"/>
                <c:pt idx="0">
                  <c:v>LIDERAZGO, GOBERNABILIDAD Y TRANSPARENCIA </c:v>
                </c:pt>
              </c:strCache>
            </c:strRef>
          </c:tx>
          <c:spPr>
            <a:solidFill>
              <a:schemeClr val="accent4"/>
            </a:solidFill>
            <a:ln>
              <a:noFill/>
            </a:ln>
            <a:effectLst/>
            <a:sp3d/>
          </c:spPr>
          <c:invertIfNegative val="0"/>
          <c:cat>
            <c:strRef>
              <c:f>'EJE ESTRATEGICO'!$D$31:$E$31</c:f>
              <c:strCache>
                <c:ptCount val="2"/>
                <c:pt idx="0">
                  <c:v>PRESUPUESTADO</c:v>
                </c:pt>
                <c:pt idx="1">
                  <c:v>Porcentaje</c:v>
                </c:pt>
              </c:strCache>
            </c:strRef>
          </c:cat>
          <c:val>
            <c:numRef>
              <c:f>'EJE ESTRATEGICO'!$D$35:$E$35</c:f>
              <c:numCache>
                <c:formatCode>0%</c:formatCode>
                <c:ptCount val="2"/>
                <c:pt idx="0" formatCode="_(* #,##0.00_);_(* \(#,##0.00\);_(* &quot;-&quot;??_);_(@_)">
                  <c:v>6521007423.8400002</c:v>
                </c:pt>
                <c:pt idx="1">
                  <c:v>2.1271238641415058E-2</c:v>
                </c:pt>
              </c:numCache>
            </c:numRef>
          </c:val>
          <c:extLst>
            <c:ext xmlns:c16="http://schemas.microsoft.com/office/drawing/2014/chart" uri="{C3380CC4-5D6E-409C-BE32-E72D297353CC}">
              <c16:uniqueId val="{00000003-7AD6-4CDD-B170-98AB75964132}"/>
            </c:ext>
          </c:extLst>
        </c:ser>
        <c:ser>
          <c:idx val="4"/>
          <c:order val="4"/>
          <c:tx>
            <c:strRef>
              <c:f>'EJE ESTRATEGICO'!$C$36</c:f>
              <c:strCache>
                <c:ptCount val="1"/>
                <c:pt idx="0">
                  <c:v>TOTAL</c:v>
                </c:pt>
              </c:strCache>
            </c:strRef>
          </c:tx>
          <c:spPr>
            <a:solidFill>
              <a:srgbClr val="92D050"/>
            </a:solidFill>
            <a:ln>
              <a:noFill/>
            </a:ln>
            <a:effectLst/>
            <a:sp3d/>
          </c:spPr>
          <c:invertIfNegative val="0"/>
          <c:cat>
            <c:strRef>
              <c:f>'EJE ESTRATEGICO'!$D$31:$E$31</c:f>
              <c:strCache>
                <c:ptCount val="2"/>
                <c:pt idx="0">
                  <c:v>PRESUPUESTADO</c:v>
                </c:pt>
                <c:pt idx="1">
                  <c:v>Porcentaje</c:v>
                </c:pt>
              </c:strCache>
            </c:strRef>
          </c:cat>
          <c:val>
            <c:numRef>
              <c:f>'EJE ESTRATEGICO'!$D$36:$E$36</c:f>
              <c:numCache>
                <c:formatCode>0%</c:formatCode>
                <c:ptCount val="2"/>
                <c:pt idx="0" formatCode="_(* #,##0.00_);_(* \(#,##0.00\);_(* &quot;-&quot;??_);_(@_)">
                  <c:v>306564536920.93005</c:v>
                </c:pt>
                <c:pt idx="1">
                  <c:v>1</c:v>
                </c:pt>
              </c:numCache>
            </c:numRef>
          </c:val>
          <c:extLst>
            <c:ext xmlns:c16="http://schemas.microsoft.com/office/drawing/2014/chart" uri="{C3380CC4-5D6E-409C-BE32-E72D297353CC}">
              <c16:uniqueId val="{00000004-7AD6-4CDD-B170-98AB75964132}"/>
            </c:ext>
          </c:extLst>
        </c:ser>
        <c:dLbls>
          <c:showLegendKey val="0"/>
          <c:showVal val="0"/>
          <c:showCatName val="0"/>
          <c:showSerName val="0"/>
          <c:showPercent val="0"/>
          <c:showBubbleSize val="0"/>
        </c:dLbls>
        <c:gapWidth val="150"/>
        <c:shape val="box"/>
        <c:axId val="49149440"/>
        <c:axId val="49150976"/>
        <c:axId val="0"/>
      </c:bar3DChart>
      <c:catAx>
        <c:axId val="4914944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150976"/>
        <c:crosses val="autoZero"/>
        <c:auto val="1"/>
        <c:lblAlgn val="ctr"/>
        <c:lblOffset val="100"/>
        <c:noMultiLvlLbl val="0"/>
      </c:catAx>
      <c:valAx>
        <c:axId val="49150976"/>
        <c:scaling>
          <c:orientation val="minMax"/>
        </c:scaling>
        <c:delete val="0"/>
        <c:axPos val="l"/>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14944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231322</xdr:colOff>
      <xdr:row>0</xdr:row>
      <xdr:rowOff>0</xdr:rowOff>
    </xdr:from>
    <xdr:ext cx="830037" cy="925286"/>
    <xdr:pic>
      <xdr:nvPicPr>
        <xdr:cNvPr id="2" name="Imagen 1" descr="C:\Users\AUXPLANEACION03\Desktop\Gobernacion_del_quindio.jpg">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322" y="0"/>
          <a:ext cx="830037" cy="925286"/>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830037" cy="925286"/>
    <xdr:pic>
      <xdr:nvPicPr>
        <xdr:cNvPr id="2" name="Imagen 1" descr="C:\Users\AUXPLANEACION03\Desktop\Gobernacion_del_quindio.jpg">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0037" cy="925286"/>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317500</xdr:colOff>
      <xdr:row>0</xdr:row>
      <xdr:rowOff>111125</xdr:rowOff>
    </xdr:from>
    <xdr:ext cx="830037" cy="925286"/>
    <xdr:pic>
      <xdr:nvPicPr>
        <xdr:cNvPr id="3" name="Imagen 2" descr="C:\Users\AUXPLANEACION03\Desktop\Gobernacion_del_quindio.jpg">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11125"/>
          <a:ext cx="830037" cy="925286"/>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27215</xdr:colOff>
      <xdr:row>0</xdr:row>
      <xdr:rowOff>0</xdr:rowOff>
    </xdr:from>
    <xdr:ext cx="830037" cy="925286"/>
    <xdr:pic>
      <xdr:nvPicPr>
        <xdr:cNvPr id="2" name="Imagen 1" descr="C:\Users\AUXPLANEACION03\Desktop\Gobernacion_del_quindio.jpg">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9215" y="0"/>
          <a:ext cx="830037" cy="925286"/>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twoCellAnchor>
    <xdr:from>
      <xdr:col>6</xdr:col>
      <xdr:colOff>440531</xdr:colOff>
      <xdr:row>0</xdr:row>
      <xdr:rowOff>265509</xdr:rowOff>
    </xdr:from>
    <xdr:to>
      <xdr:col>19</xdr:col>
      <xdr:colOff>714375</xdr:colOff>
      <xdr:row>18</xdr:row>
      <xdr:rowOff>59531</xdr:rowOff>
    </xdr:to>
    <xdr:graphicFrame macro="">
      <xdr:nvGraphicFramePr>
        <xdr:cNvPr id="5" name="Gráfico 4">
          <a:extLst>
            <a:ext uri="{FF2B5EF4-FFF2-40B4-BE49-F238E27FC236}">
              <a16:creationId xmlns:a16="http://schemas.microsoft.com/office/drawing/2014/main" id="{00000000-0008-0000-05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631031</xdr:colOff>
      <xdr:row>20</xdr:row>
      <xdr:rowOff>3570</xdr:rowOff>
    </xdr:from>
    <xdr:to>
      <xdr:col>19</xdr:col>
      <xdr:colOff>726281</xdr:colOff>
      <xdr:row>33</xdr:row>
      <xdr:rowOff>71436</xdr:rowOff>
    </xdr:to>
    <xdr:graphicFrame macro="">
      <xdr:nvGraphicFramePr>
        <xdr:cNvPr id="6" name="Gráfico 5">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750092</xdr:colOff>
      <xdr:row>37</xdr:row>
      <xdr:rowOff>27384</xdr:rowOff>
    </xdr:from>
    <xdr:to>
      <xdr:col>19</xdr:col>
      <xdr:colOff>761999</xdr:colOff>
      <xdr:row>57</xdr:row>
      <xdr:rowOff>122464</xdr:rowOff>
    </xdr:to>
    <xdr:graphicFrame macro="">
      <xdr:nvGraphicFramePr>
        <xdr:cNvPr id="7" name="Gráfico 6">
          <a:extLst>
            <a:ext uri="{FF2B5EF4-FFF2-40B4-BE49-F238E27FC236}">
              <a16:creationId xmlns:a16="http://schemas.microsoft.com/office/drawing/2014/main" id="{00000000-0008-0000-05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830037" cy="925286"/>
    <xdr:pic>
      <xdr:nvPicPr>
        <xdr:cNvPr id="2" name="Imagen 1" descr="C:\Users\AUXPLANEACION03\Desktop\Gobernacion_del_quindio.jpg">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0037" cy="925286"/>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BY487"/>
  <sheetViews>
    <sheetView showGridLines="0" tabSelected="1" zoomScale="70" zoomScaleNormal="70" workbookViewId="0">
      <selection activeCell="O6" sqref="O6:O7"/>
    </sheetView>
  </sheetViews>
  <sheetFormatPr baseColWidth="10" defaultColWidth="11.42578125" defaultRowHeight="15" x14ac:dyDescent="0.2"/>
  <cols>
    <col min="1" max="1" width="17" style="1" customWidth="1"/>
    <col min="2" max="2" width="10.7109375" style="11" customWidth="1"/>
    <col min="3" max="3" width="12.5703125" style="11" customWidth="1"/>
    <col min="4" max="4" width="10.85546875" style="11" customWidth="1"/>
    <col min="5" max="5" width="11.5703125" style="11" customWidth="1"/>
    <col min="6" max="6" width="11.5703125" style="12" customWidth="1"/>
    <col min="7" max="7" width="12" style="13" customWidth="1"/>
    <col min="8" max="8" width="23.28515625" style="14" customWidth="1"/>
    <col min="9" max="9" width="12.42578125" style="14" customWidth="1"/>
    <col min="10" max="10" width="23.28515625" style="14" customWidth="1"/>
    <col min="11" max="11" width="15.140625" style="12" customWidth="1"/>
    <col min="12" max="12" width="23.28515625" style="14" customWidth="1"/>
    <col min="13" max="13" width="20.28515625" style="14" customWidth="1"/>
    <col min="14" max="14" width="23.28515625" style="16" customWidth="1"/>
    <col min="15" max="15" width="16.7109375" style="15" customWidth="1"/>
    <col min="16" max="16" width="23.28515625" style="16" customWidth="1"/>
    <col min="17" max="17" width="9.140625" style="13" customWidth="1"/>
    <col min="18" max="18" width="15.7109375" style="15" customWidth="1"/>
    <col min="19" max="19" width="20.28515625" style="13" customWidth="1"/>
    <col min="20" max="20" width="31.42578125" style="16" customWidth="1"/>
    <col min="21" max="21" width="53.7109375" style="16" customWidth="1"/>
    <col min="22" max="22" width="31.7109375" style="1" customWidth="1"/>
    <col min="23" max="23" width="27.7109375" style="1" customWidth="1"/>
    <col min="24" max="24" width="24.42578125" style="1" customWidth="1"/>
    <col min="25" max="25" width="28.28515625" style="1" customWidth="1"/>
    <col min="26" max="26" width="29.140625" style="1" customWidth="1"/>
    <col min="27" max="27" width="30.7109375" style="1" customWidth="1"/>
    <col min="28" max="28" width="31.85546875" style="3" customWidth="1"/>
    <col min="29" max="29" width="30.28515625" style="3" customWidth="1"/>
    <col min="30" max="30" width="29.7109375" style="1" customWidth="1"/>
    <col min="31" max="31" width="27.7109375" style="1" customWidth="1"/>
    <col min="32" max="32" width="29.7109375" style="18" customWidth="1"/>
    <col min="33" max="33" width="28.7109375" style="1" customWidth="1"/>
    <col min="34" max="35" width="28.42578125" style="1" customWidth="1"/>
    <col min="36" max="36" width="24.85546875" style="3" customWidth="1"/>
    <col min="37" max="37" width="32" style="3" customWidth="1"/>
    <col min="38" max="38" width="43.42578125" style="59" customWidth="1"/>
    <col min="39" max="77" width="11.42578125" style="3"/>
    <col min="78" max="16384" width="11.42578125" style="1"/>
  </cols>
  <sheetData>
    <row r="1" spans="1:77" ht="15.75" customHeight="1" x14ac:dyDescent="0.2">
      <c r="A1" s="989" t="s">
        <v>1576</v>
      </c>
      <c r="B1" s="989"/>
      <c r="C1" s="989"/>
      <c r="D1" s="989"/>
      <c r="E1" s="989"/>
      <c r="F1" s="989"/>
      <c r="G1" s="989"/>
      <c r="H1" s="989"/>
      <c r="I1" s="989"/>
      <c r="J1" s="989"/>
      <c r="K1" s="989"/>
      <c r="L1" s="989"/>
      <c r="M1" s="989"/>
      <c r="N1" s="989"/>
      <c r="O1" s="989"/>
      <c r="P1" s="989"/>
      <c r="Q1" s="989"/>
      <c r="R1" s="989"/>
      <c r="S1" s="989"/>
      <c r="T1" s="989"/>
      <c r="U1" s="989"/>
      <c r="V1" s="989"/>
      <c r="W1" s="989"/>
      <c r="X1" s="989"/>
      <c r="Y1" s="989"/>
      <c r="Z1" s="989"/>
      <c r="AA1" s="989"/>
      <c r="AB1" s="989"/>
      <c r="AC1" s="989"/>
      <c r="AD1" s="989"/>
      <c r="AE1" s="989"/>
      <c r="AF1" s="989"/>
      <c r="AG1" s="989"/>
      <c r="AH1" s="989"/>
      <c r="AI1" s="989"/>
      <c r="AJ1" s="990"/>
      <c r="AK1" s="2" t="s">
        <v>1</v>
      </c>
      <c r="AL1" s="917" t="s">
        <v>1575</v>
      </c>
    </row>
    <row r="2" spans="1:77" ht="15.75" customHeight="1" x14ac:dyDescent="0.2">
      <c r="B2" s="26"/>
      <c r="C2" s="928" t="s">
        <v>1574</v>
      </c>
      <c r="D2" s="928"/>
      <c r="E2" s="928"/>
      <c r="F2" s="928"/>
      <c r="G2" s="928"/>
      <c r="H2" s="928"/>
      <c r="I2" s="928"/>
      <c r="J2" s="928"/>
      <c r="K2" s="928"/>
      <c r="L2" s="928"/>
      <c r="M2" s="928"/>
      <c r="N2" s="928"/>
      <c r="O2" s="928"/>
      <c r="P2" s="928"/>
      <c r="Q2" s="928"/>
      <c r="R2" s="928"/>
      <c r="S2" s="928"/>
      <c r="T2" s="928"/>
      <c r="U2" s="928"/>
      <c r="V2" s="928"/>
      <c r="W2" s="928"/>
      <c r="X2" s="928"/>
      <c r="Y2" s="928"/>
      <c r="Z2" s="928"/>
      <c r="AA2" s="928"/>
      <c r="AB2" s="928"/>
      <c r="AC2" s="928"/>
      <c r="AD2" s="928"/>
      <c r="AE2" s="928"/>
      <c r="AF2" s="928"/>
      <c r="AG2" s="928"/>
      <c r="AH2" s="928"/>
      <c r="AI2" s="928"/>
      <c r="AJ2" s="928"/>
      <c r="AK2" s="4" t="s">
        <v>2</v>
      </c>
      <c r="AL2" s="915">
        <v>4</v>
      </c>
    </row>
    <row r="3" spans="1:77" ht="24.75" customHeight="1" x14ac:dyDescent="0.2">
      <c r="B3" s="26"/>
      <c r="C3" s="929" t="s">
        <v>1558</v>
      </c>
      <c r="D3" s="929"/>
      <c r="E3" s="929"/>
      <c r="F3" s="929"/>
      <c r="G3" s="929"/>
      <c r="H3" s="929"/>
      <c r="I3" s="929"/>
      <c r="J3" s="929"/>
      <c r="K3" s="929"/>
      <c r="L3" s="929"/>
      <c r="M3" s="929"/>
      <c r="N3" s="929"/>
      <c r="O3" s="929"/>
      <c r="P3" s="929"/>
      <c r="Q3" s="929"/>
      <c r="R3" s="929"/>
      <c r="S3" s="929"/>
      <c r="T3" s="929"/>
      <c r="U3" s="929"/>
      <c r="V3" s="929"/>
      <c r="W3" s="929"/>
      <c r="X3" s="929"/>
      <c r="Y3" s="929"/>
      <c r="Z3" s="929"/>
      <c r="AA3" s="929"/>
      <c r="AB3" s="929"/>
      <c r="AC3" s="929"/>
      <c r="AD3" s="929"/>
      <c r="AE3" s="929"/>
      <c r="AF3" s="929"/>
      <c r="AG3" s="929"/>
      <c r="AH3" s="929"/>
      <c r="AI3" s="929"/>
      <c r="AJ3" s="929"/>
      <c r="AK3" s="2" t="s">
        <v>3</v>
      </c>
      <c r="AL3" s="916">
        <v>44266</v>
      </c>
    </row>
    <row r="4" spans="1:77" ht="17.25" customHeight="1" x14ac:dyDescent="0.2">
      <c r="B4" s="27"/>
      <c r="C4" s="28"/>
      <c r="D4" s="28"/>
      <c r="E4" s="28"/>
      <c r="F4" s="28"/>
      <c r="G4" s="28"/>
      <c r="H4" s="28"/>
      <c r="I4" s="28"/>
      <c r="J4" s="55"/>
      <c r="K4" s="9"/>
      <c r="L4" s="55"/>
      <c r="M4" s="55"/>
      <c r="N4" s="28"/>
      <c r="O4" s="9"/>
      <c r="P4" s="28"/>
      <c r="Q4" s="28"/>
      <c r="R4" s="28"/>
      <c r="S4" s="28"/>
      <c r="T4" s="54"/>
      <c r="U4" s="54"/>
      <c r="W4" s="28"/>
      <c r="X4" s="28"/>
      <c r="Y4" s="28"/>
      <c r="Z4" s="28"/>
      <c r="AA4" s="28"/>
      <c r="AB4" s="28"/>
      <c r="AC4" s="28"/>
      <c r="AD4" s="28"/>
      <c r="AE4" s="28"/>
      <c r="AF4" s="28"/>
      <c r="AG4" s="1" t="s">
        <v>0</v>
      </c>
      <c r="AK4" s="2" t="s">
        <v>4</v>
      </c>
      <c r="AL4" s="918" t="s">
        <v>1539</v>
      </c>
    </row>
    <row r="5" spans="1:77" s="6" customFormat="1" ht="62.25" customHeight="1" x14ac:dyDescent="0.25">
      <c r="A5" s="930" t="s">
        <v>5</v>
      </c>
      <c r="B5" s="945" t="s">
        <v>6</v>
      </c>
      <c r="C5" s="945"/>
      <c r="D5" s="945" t="s">
        <v>7</v>
      </c>
      <c r="E5" s="945"/>
      <c r="F5" s="945" t="s">
        <v>8</v>
      </c>
      <c r="G5" s="945"/>
      <c r="H5" s="921" t="s">
        <v>9</v>
      </c>
      <c r="I5" s="945" t="s">
        <v>10</v>
      </c>
      <c r="J5" s="945"/>
      <c r="K5" s="945"/>
      <c r="L5" s="945"/>
      <c r="M5" s="945" t="s">
        <v>11</v>
      </c>
      <c r="N5" s="945"/>
      <c r="O5" s="945"/>
      <c r="P5" s="945"/>
      <c r="Q5" s="931" t="s">
        <v>12</v>
      </c>
      <c r="R5" s="886" t="s">
        <v>1536</v>
      </c>
      <c r="S5" s="946" t="s">
        <v>13</v>
      </c>
      <c r="T5" s="947"/>
      <c r="U5" s="948"/>
      <c r="V5" s="925" t="s">
        <v>14</v>
      </c>
      <c r="W5" s="926"/>
      <c r="X5" s="926"/>
      <c r="Y5" s="926"/>
      <c r="Z5" s="926"/>
      <c r="AA5" s="926"/>
      <c r="AB5" s="926"/>
      <c r="AC5" s="926"/>
      <c r="AD5" s="926"/>
      <c r="AE5" s="926"/>
      <c r="AF5" s="926"/>
      <c r="AG5" s="926"/>
      <c r="AH5" s="926"/>
      <c r="AI5" s="927"/>
      <c r="AJ5" s="934" t="s">
        <v>15</v>
      </c>
      <c r="AK5" s="922" t="s">
        <v>16</v>
      </c>
      <c r="AL5" s="922" t="s">
        <v>17</v>
      </c>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row>
    <row r="6" spans="1:77" s="6" customFormat="1" ht="96.75" customHeight="1" x14ac:dyDescent="0.25">
      <c r="A6" s="930"/>
      <c r="B6" s="930" t="s">
        <v>18</v>
      </c>
      <c r="C6" s="930" t="s">
        <v>19</v>
      </c>
      <c r="D6" s="930" t="s">
        <v>18</v>
      </c>
      <c r="E6" s="930" t="s">
        <v>19</v>
      </c>
      <c r="F6" s="930" t="s">
        <v>18</v>
      </c>
      <c r="G6" s="930" t="s">
        <v>19</v>
      </c>
      <c r="H6" s="921"/>
      <c r="I6" s="930" t="s">
        <v>20</v>
      </c>
      <c r="J6" s="930" t="s">
        <v>21</v>
      </c>
      <c r="K6" s="930" t="s">
        <v>22</v>
      </c>
      <c r="L6" s="930" t="s">
        <v>23</v>
      </c>
      <c r="M6" s="930" t="s">
        <v>20</v>
      </c>
      <c r="N6" s="930" t="s">
        <v>24</v>
      </c>
      <c r="O6" s="930" t="s">
        <v>25</v>
      </c>
      <c r="P6" s="930" t="s">
        <v>26</v>
      </c>
      <c r="Q6" s="932"/>
      <c r="R6" s="930" t="s">
        <v>1537</v>
      </c>
      <c r="S6" s="921" t="s">
        <v>27</v>
      </c>
      <c r="T6" s="921" t="s">
        <v>28</v>
      </c>
      <c r="U6" s="921" t="s">
        <v>29</v>
      </c>
      <c r="V6" s="887" t="s">
        <v>30</v>
      </c>
      <c r="W6" s="887" t="s">
        <v>31</v>
      </c>
      <c r="X6" s="887" t="s">
        <v>32</v>
      </c>
      <c r="Y6" s="887" t="s">
        <v>33</v>
      </c>
      <c r="Z6" s="887" t="s">
        <v>34</v>
      </c>
      <c r="AA6" s="887" t="s">
        <v>1570</v>
      </c>
      <c r="AB6" s="887" t="s">
        <v>1548</v>
      </c>
      <c r="AC6" s="887" t="s">
        <v>35</v>
      </c>
      <c r="AD6" s="887" t="s">
        <v>36</v>
      </c>
      <c r="AE6" s="887" t="s">
        <v>37</v>
      </c>
      <c r="AF6" s="887" t="s">
        <v>38</v>
      </c>
      <c r="AG6" s="887" t="s">
        <v>39</v>
      </c>
      <c r="AH6" s="889" t="s">
        <v>40</v>
      </c>
      <c r="AI6" s="889" t="s">
        <v>1568</v>
      </c>
      <c r="AJ6" s="935"/>
      <c r="AK6" s="923"/>
      <c r="AL6" s="923"/>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row>
    <row r="7" spans="1:77" s="436" customFormat="1" ht="24" customHeight="1" x14ac:dyDescent="0.25">
      <c r="A7" s="930"/>
      <c r="B7" s="930"/>
      <c r="C7" s="930"/>
      <c r="D7" s="930"/>
      <c r="E7" s="930"/>
      <c r="F7" s="930"/>
      <c r="G7" s="930"/>
      <c r="H7" s="921"/>
      <c r="I7" s="930"/>
      <c r="J7" s="930"/>
      <c r="K7" s="930"/>
      <c r="L7" s="930"/>
      <c r="M7" s="930"/>
      <c r="N7" s="930"/>
      <c r="O7" s="930"/>
      <c r="P7" s="930"/>
      <c r="Q7" s="933"/>
      <c r="R7" s="930"/>
      <c r="S7" s="921"/>
      <c r="T7" s="921"/>
      <c r="U7" s="921"/>
      <c r="V7" s="114" t="s">
        <v>1538</v>
      </c>
      <c r="W7" s="114" t="s">
        <v>1538</v>
      </c>
      <c r="X7" s="114" t="s">
        <v>1538</v>
      </c>
      <c r="Y7" s="114" t="s">
        <v>1538</v>
      </c>
      <c r="Z7" s="114" t="s">
        <v>1538</v>
      </c>
      <c r="AA7" s="114" t="s">
        <v>1538</v>
      </c>
      <c r="AB7" s="114" t="s">
        <v>1538</v>
      </c>
      <c r="AC7" s="114" t="s">
        <v>1538</v>
      </c>
      <c r="AD7" s="114" t="s">
        <v>1538</v>
      </c>
      <c r="AE7" s="114" t="s">
        <v>1538</v>
      </c>
      <c r="AF7" s="114" t="s">
        <v>1538</v>
      </c>
      <c r="AG7" s="114" t="s">
        <v>1538</v>
      </c>
      <c r="AH7" s="114" t="s">
        <v>1538</v>
      </c>
      <c r="AI7" s="777" t="s">
        <v>1538</v>
      </c>
      <c r="AJ7" s="777" t="s">
        <v>1538</v>
      </c>
      <c r="AK7" s="924"/>
      <c r="AL7" s="924"/>
    </row>
    <row r="8" spans="1:77" s="436" customFormat="1" ht="16.5" customHeight="1" x14ac:dyDescent="0.25">
      <c r="A8" s="432"/>
      <c r="B8" s="432"/>
      <c r="C8" s="432"/>
      <c r="D8" s="432"/>
      <c r="E8" s="432"/>
      <c r="F8" s="432"/>
      <c r="G8" s="432"/>
      <c r="H8" s="433"/>
      <c r="I8" s="432"/>
      <c r="J8" s="432"/>
      <c r="K8" s="432"/>
      <c r="L8" s="432"/>
      <c r="M8" s="432"/>
      <c r="N8" s="432"/>
      <c r="O8" s="432"/>
      <c r="P8" s="432"/>
      <c r="Q8" s="434"/>
      <c r="R8" s="432"/>
      <c r="S8" s="434"/>
      <c r="T8" s="434"/>
      <c r="U8" s="434"/>
      <c r="V8" s="435"/>
      <c r="W8" s="435"/>
      <c r="X8" s="435"/>
      <c r="Y8" s="435"/>
      <c r="Z8" s="435"/>
      <c r="AA8" s="435"/>
      <c r="AB8" s="435"/>
      <c r="AC8" s="435"/>
      <c r="AD8" s="435"/>
      <c r="AE8" s="435"/>
      <c r="AF8" s="435"/>
      <c r="AG8" s="435"/>
      <c r="AH8" s="435"/>
      <c r="AI8" s="435"/>
      <c r="AJ8" s="435"/>
      <c r="AK8" s="532"/>
      <c r="AL8" s="435"/>
    </row>
    <row r="9" spans="1:77" s="377" customFormat="1" ht="24" customHeight="1" x14ac:dyDescent="0.25">
      <c r="A9" s="33" t="s">
        <v>41</v>
      </c>
      <c r="B9" s="34"/>
      <c r="C9" s="38"/>
      <c r="D9" s="34"/>
      <c r="E9" s="38"/>
      <c r="F9" s="35"/>
      <c r="G9" s="36"/>
      <c r="H9" s="357"/>
      <c r="I9" s="357"/>
      <c r="J9" s="357"/>
      <c r="K9" s="360"/>
      <c r="L9" s="357"/>
      <c r="M9" s="357"/>
      <c r="N9" s="362"/>
      <c r="O9" s="361"/>
      <c r="P9" s="361"/>
      <c r="Q9" s="419"/>
      <c r="R9" s="420"/>
      <c r="S9" s="36"/>
      <c r="T9" s="362"/>
      <c r="U9" s="362"/>
      <c r="V9" s="421">
        <f t="shared" ref="V9:AJ10" si="0">V10</f>
        <v>0</v>
      </c>
      <c r="W9" s="359">
        <f t="shared" si="0"/>
        <v>0</v>
      </c>
      <c r="X9" s="359">
        <f t="shared" si="0"/>
        <v>0</v>
      </c>
      <c r="Y9" s="359">
        <f t="shared" si="0"/>
        <v>0</v>
      </c>
      <c r="Z9" s="359">
        <f t="shared" si="0"/>
        <v>0</v>
      </c>
      <c r="AA9" s="359">
        <f t="shared" si="0"/>
        <v>0</v>
      </c>
      <c r="AB9" s="359">
        <f t="shared" si="0"/>
        <v>0</v>
      </c>
      <c r="AC9" s="359">
        <f t="shared" si="0"/>
        <v>0</v>
      </c>
      <c r="AD9" s="359">
        <f t="shared" si="0"/>
        <v>0</v>
      </c>
      <c r="AE9" s="359">
        <f t="shared" si="0"/>
        <v>0</v>
      </c>
      <c r="AF9" s="359">
        <f t="shared" si="0"/>
        <v>176000000</v>
      </c>
      <c r="AG9" s="359">
        <f t="shared" si="0"/>
        <v>0</v>
      </c>
      <c r="AH9" s="359">
        <f t="shared" si="0"/>
        <v>0</v>
      </c>
      <c r="AI9" s="421"/>
      <c r="AJ9" s="421">
        <f t="shared" si="0"/>
        <v>176000000</v>
      </c>
      <c r="AK9" s="359"/>
      <c r="AL9" s="421"/>
      <c r="AM9" s="376"/>
      <c r="AN9" s="376"/>
      <c r="AO9" s="376"/>
      <c r="AP9" s="376"/>
      <c r="AQ9" s="376"/>
      <c r="AR9" s="376"/>
      <c r="AS9" s="376"/>
      <c r="AT9" s="376"/>
      <c r="AU9" s="376"/>
      <c r="AV9" s="376"/>
      <c r="AW9" s="376"/>
      <c r="AX9" s="376"/>
      <c r="AY9" s="376"/>
      <c r="AZ9" s="376"/>
      <c r="BA9" s="376"/>
      <c r="BB9" s="376"/>
      <c r="BC9" s="376"/>
      <c r="BD9" s="376"/>
      <c r="BE9" s="376"/>
      <c r="BF9" s="376"/>
      <c r="BG9" s="376"/>
      <c r="BH9" s="376"/>
      <c r="BI9" s="376"/>
      <c r="BJ9" s="376"/>
      <c r="BK9" s="376"/>
      <c r="BL9" s="376"/>
      <c r="BM9" s="376"/>
      <c r="BN9" s="376"/>
      <c r="BO9" s="376"/>
      <c r="BP9" s="376"/>
      <c r="BQ9" s="376"/>
      <c r="BR9" s="376"/>
      <c r="BS9" s="376"/>
      <c r="BT9" s="376"/>
      <c r="BU9" s="376"/>
      <c r="BV9" s="376"/>
      <c r="BW9" s="376"/>
      <c r="BX9" s="376"/>
      <c r="BY9" s="376"/>
    </row>
    <row r="10" spans="1:77" s="8" customFormat="1" ht="24" customHeight="1" x14ac:dyDescent="0.25">
      <c r="A10" s="115"/>
      <c r="B10" s="116">
        <v>4</v>
      </c>
      <c r="C10" s="63" t="s">
        <v>42</v>
      </c>
      <c r="D10" s="417"/>
      <c r="E10" s="418"/>
      <c r="F10" s="418"/>
      <c r="G10" s="418"/>
      <c r="H10" s="418"/>
      <c r="I10" s="562"/>
      <c r="J10" s="165"/>
      <c r="K10" s="164"/>
      <c r="L10" s="165"/>
      <c r="M10" s="165"/>
      <c r="N10" s="167"/>
      <c r="O10" s="166"/>
      <c r="P10" s="166"/>
      <c r="Q10" s="168"/>
      <c r="R10" s="166"/>
      <c r="S10" s="626"/>
      <c r="T10" s="118"/>
      <c r="U10" s="118"/>
      <c r="V10" s="119">
        <f>V11</f>
        <v>0</v>
      </c>
      <c r="W10" s="119">
        <f t="shared" si="0"/>
        <v>0</v>
      </c>
      <c r="X10" s="119">
        <f t="shared" si="0"/>
        <v>0</v>
      </c>
      <c r="Y10" s="119">
        <f t="shared" si="0"/>
        <v>0</v>
      </c>
      <c r="Z10" s="119">
        <f t="shared" si="0"/>
        <v>0</v>
      </c>
      <c r="AA10" s="119">
        <f t="shared" si="0"/>
        <v>0</v>
      </c>
      <c r="AB10" s="119">
        <f t="shared" si="0"/>
        <v>0</v>
      </c>
      <c r="AC10" s="119">
        <f t="shared" si="0"/>
        <v>0</v>
      </c>
      <c r="AD10" s="119">
        <f t="shared" si="0"/>
        <v>0</v>
      </c>
      <c r="AE10" s="119">
        <f t="shared" si="0"/>
        <v>0</v>
      </c>
      <c r="AF10" s="119">
        <f t="shared" si="0"/>
        <v>176000000</v>
      </c>
      <c r="AG10" s="119">
        <f t="shared" si="0"/>
        <v>0</v>
      </c>
      <c r="AH10" s="119">
        <f t="shared" si="0"/>
        <v>0</v>
      </c>
      <c r="AI10" s="119"/>
      <c r="AJ10" s="119">
        <f>AJ11</f>
        <v>176000000</v>
      </c>
      <c r="AK10" s="119"/>
      <c r="AL10" s="119"/>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row>
    <row r="11" spans="1:77" s="8" customFormat="1" ht="24" customHeight="1" x14ac:dyDescent="0.25">
      <c r="A11" s="115"/>
      <c r="B11" s="70"/>
      <c r="C11" s="70"/>
      <c r="D11" s="64">
        <v>45</v>
      </c>
      <c r="E11" s="62" t="s">
        <v>43</v>
      </c>
      <c r="F11" s="120"/>
      <c r="G11" s="121"/>
      <c r="H11" s="122"/>
      <c r="I11" s="122"/>
      <c r="J11" s="124"/>
      <c r="K11" s="123"/>
      <c r="L11" s="124"/>
      <c r="M11" s="124"/>
      <c r="N11" s="126"/>
      <c r="O11" s="125"/>
      <c r="P11" s="125"/>
      <c r="Q11" s="124"/>
      <c r="R11" s="127"/>
      <c r="S11" s="589"/>
      <c r="T11" s="128"/>
      <c r="U11" s="129"/>
      <c r="V11" s="129">
        <f>V12+V16</f>
        <v>0</v>
      </c>
      <c r="W11" s="129">
        <f t="shared" ref="W11:AJ11" si="1">W12+W16</f>
        <v>0</v>
      </c>
      <c r="X11" s="129">
        <f t="shared" si="1"/>
        <v>0</v>
      </c>
      <c r="Y11" s="129">
        <f t="shared" si="1"/>
        <v>0</v>
      </c>
      <c r="Z11" s="129">
        <f t="shared" si="1"/>
        <v>0</v>
      </c>
      <c r="AA11" s="129">
        <f t="shared" si="1"/>
        <v>0</v>
      </c>
      <c r="AB11" s="129">
        <f t="shared" si="1"/>
        <v>0</v>
      </c>
      <c r="AC11" s="129">
        <f t="shared" si="1"/>
        <v>0</v>
      </c>
      <c r="AD11" s="129">
        <f t="shared" si="1"/>
        <v>0</v>
      </c>
      <c r="AE11" s="129">
        <f t="shared" si="1"/>
        <v>0</v>
      </c>
      <c r="AF11" s="129">
        <f t="shared" si="1"/>
        <v>176000000</v>
      </c>
      <c r="AG11" s="129">
        <f t="shared" si="1"/>
        <v>0</v>
      </c>
      <c r="AH11" s="129">
        <f t="shared" si="1"/>
        <v>0</v>
      </c>
      <c r="AI11" s="129"/>
      <c r="AJ11" s="129">
        <f t="shared" si="1"/>
        <v>176000000</v>
      </c>
      <c r="AK11" s="129"/>
      <c r="AL11" s="129"/>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row>
    <row r="12" spans="1:77" ht="24" customHeight="1" x14ac:dyDescent="0.2">
      <c r="A12" s="130"/>
      <c r="B12" s="78"/>
      <c r="C12" s="78"/>
      <c r="D12" s="78"/>
      <c r="E12" s="78"/>
      <c r="F12" s="131">
        <v>4599</v>
      </c>
      <c r="G12" s="68" t="s">
        <v>44</v>
      </c>
      <c r="H12" s="68"/>
      <c r="I12" s="177"/>
      <c r="J12" s="177"/>
      <c r="K12" s="177"/>
      <c r="L12" s="177"/>
      <c r="M12" s="177"/>
      <c r="N12" s="177"/>
      <c r="O12" s="177"/>
      <c r="P12" s="177"/>
      <c r="Q12" s="177"/>
      <c r="R12" s="177"/>
      <c r="S12" s="171"/>
      <c r="T12" s="132"/>
      <c r="U12" s="132"/>
      <c r="V12" s="133">
        <f>SUM(V13:V15)</f>
        <v>0</v>
      </c>
      <c r="W12" s="133">
        <f t="shared" ref="W12:AH12" si="2">SUM(W13:W15)</f>
        <v>0</v>
      </c>
      <c r="X12" s="133">
        <f t="shared" si="2"/>
        <v>0</v>
      </c>
      <c r="Y12" s="133">
        <f t="shared" si="2"/>
        <v>0</v>
      </c>
      <c r="Z12" s="133">
        <f t="shared" si="2"/>
        <v>0</v>
      </c>
      <c r="AA12" s="133">
        <f t="shared" si="2"/>
        <v>0</v>
      </c>
      <c r="AB12" s="133">
        <f t="shared" si="2"/>
        <v>0</v>
      </c>
      <c r="AC12" s="133">
        <f t="shared" si="2"/>
        <v>0</v>
      </c>
      <c r="AD12" s="133">
        <f t="shared" si="2"/>
        <v>0</v>
      </c>
      <c r="AE12" s="133">
        <f t="shared" si="2"/>
        <v>0</v>
      </c>
      <c r="AF12" s="133">
        <f t="shared" si="2"/>
        <v>136000000</v>
      </c>
      <c r="AG12" s="133">
        <f t="shared" si="2"/>
        <v>0</v>
      </c>
      <c r="AH12" s="133">
        <f t="shared" si="2"/>
        <v>0</v>
      </c>
      <c r="AI12" s="133"/>
      <c r="AJ12" s="133">
        <f>SUM(AJ13:AJ15)</f>
        <v>136000000</v>
      </c>
      <c r="AK12" s="133"/>
      <c r="AL12" s="133"/>
      <c r="AM12" s="7"/>
    </row>
    <row r="13" spans="1:77" ht="165.75" customHeight="1" x14ac:dyDescent="0.2">
      <c r="A13" s="130"/>
      <c r="B13" s="78"/>
      <c r="C13" s="78"/>
      <c r="D13" s="78"/>
      <c r="E13" s="78"/>
      <c r="F13" s="74"/>
      <c r="G13" s="516"/>
      <c r="H13" s="506" t="s">
        <v>45</v>
      </c>
      <c r="I13" s="69" t="s">
        <v>46</v>
      </c>
      <c r="J13" s="515" t="s">
        <v>47</v>
      </c>
      <c r="K13" s="71">
        <v>4599023</v>
      </c>
      <c r="L13" s="515" t="s">
        <v>48</v>
      </c>
      <c r="M13" s="69" t="s">
        <v>46</v>
      </c>
      <c r="N13" s="512" t="s">
        <v>49</v>
      </c>
      <c r="O13" s="71">
        <v>459902300</v>
      </c>
      <c r="P13" s="504" t="s">
        <v>50</v>
      </c>
      <c r="Q13" s="513" t="s">
        <v>51</v>
      </c>
      <c r="R13" s="134">
        <v>5</v>
      </c>
      <c r="S13" s="519" t="s">
        <v>52</v>
      </c>
      <c r="T13" s="505" t="s">
        <v>53</v>
      </c>
      <c r="U13" s="506" t="s">
        <v>54</v>
      </c>
      <c r="V13" s="135"/>
      <c r="W13" s="135"/>
      <c r="X13" s="135"/>
      <c r="Y13" s="135"/>
      <c r="Z13" s="135"/>
      <c r="AA13" s="135"/>
      <c r="AB13" s="135"/>
      <c r="AC13" s="135"/>
      <c r="AD13" s="135"/>
      <c r="AE13" s="135"/>
      <c r="AF13" s="533">
        <v>36000000</v>
      </c>
      <c r="AG13" s="135"/>
      <c r="AH13" s="135"/>
      <c r="AI13" s="135"/>
      <c r="AJ13" s="136">
        <f>+V13+W13+X13+Y13+Z13+AA13+AB13+AC13+AD13+AE13+AF13+AG13+AH13</f>
        <v>36000000</v>
      </c>
      <c r="AK13" s="136" t="s">
        <v>55</v>
      </c>
      <c r="AL13" s="58" t="s">
        <v>56</v>
      </c>
      <c r="AM13" s="7"/>
    </row>
    <row r="14" spans="1:77" ht="158.25" customHeight="1" x14ac:dyDescent="0.2">
      <c r="A14" s="130"/>
      <c r="B14" s="78"/>
      <c r="C14" s="78"/>
      <c r="D14" s="78"/>
      <c r="E14" s="78"/>
      <c r="F14" s="74"/>
      <c r="G14" s="513"/>
      <c r="H14" s="506" t="s">
        <v>45</v>
      </c>
      <c r="I14" s="69" t="s">
        <v>46</v>
      </c>
      <c r="J14" s="515" t="s">
        <v>57</v>
      </c>
      <c r="K14" s="71">
        <v>4599002</v>
      </c>
      <c r="L14" s="515" t="s">
        <v>58</v>
      </c>
      <c r="M14" s="69" t="s">
        <v>46</v>
      </c>
      <c r="N14" s="512" t="s">
        <v>59</v>
      </c>
      <c r="O14" s="71">
        <v>459900200</v>
      </c>
      <c r="P14" s="504" t="s">
        <v>1508</v>
      </c>
      <c r="Q14" s="513" t="s">
        <v>51</v>
      </c>
      <c r="R14" s="134">
        <v>4</v>
      </c>
      <c r="S14" s="519" t="s">
        <v>60</v>
      </c>
      <c r="T14" s="505" t="s">
        <v>61</v>
      </c>
      <c r="U14" s="506" t="s">
        <v>62</v>
      </c>
      <c r="V14" s="135"/>
      <c r="W14" s="135"/>
      <c r="X14" s="135"/>
      <c r="Y14" s="135"/>
      <c r="Z14" s="135"/>
      <c r="AA14" s="135"/>
      <c r="AB14" s="135"/>
      <c r="AC14" s="135"/>
      <c r="AD14" s="135"/>
      <c r="AE14" s="135"/>
      <c r="AF14" s="730">
        <v>50000000</v>
      </c>
      <c r="AG14" s="135"/>
      <c r="AH14" s="135"/>
      <c r="AI14" s="135"/>
      <c r="AJ14" s="136">
        <f>+V14+W14+X14+Y14+Z14+AA14+AB14+AC14+AD14+AE14+AF14+AG14+AH14</f>
        <v>50000000</v>
      </c>
      <c r="AK14" s="136" t="s">
        <v>55</v>
      </c>
      <c r="AL14" s="58" t="s">
        <v>63</v>
      </c>
      <c r="AM14" s="7"/>
    </row>
    <row r="15" spans="1:77" ht="196.5" customHeight="1" x14ac:dyDescent="0.2">
      <c r="A15" s="130"/>
      <c r="B15" s="78"/>
      <c r="C15" s="78"/>
      <c r="D15" s="78"/>
      <c r="E15" s="78"/>
      <c r="F15" s="74"/>
      <c r="G15" s="513"/>
      <c r="H15" s="506" t="s">
        <v>45</v>
      </c>
      <c r="I15" s="69" t="s">
        <v>46</v>
      </c>
      <c r="J15" s="515" t="s">
        <v>64</v>
      </c>
      <c r="K15" s="71">
        <v>4599023</v>
      </c>
      <c r="L15" s="515" t="s">
        <v>48</v>
      </c>
      <c r="M15" s="69" t="s">
        <v>46</v>
      </c>
      <c r="N15" s="512" t="s">
        <v>65</v>
      </c>
      <c r="O15" s="71">
        <v>459902301</v>
      </c>
      <c r="P15" s="504" t="s">
        <v>66</v>
      </c>
      <c r="Q15" s="513" t="s">
        <v>67</v>
      </c>
      <c r="R15" s="134">
        <v>1</v>
      </c>
      <c r="S15" s="514" t="s">
        <v>68</v>
      </c>
      <c r="T15" s="505" t="s">
        <v>69</v>
      </c>
      <c r="U15" s="746" t="s">
        <v>1566</v>
      </c>
      <c r="V15" s="135"/>
      <c r="W15" s="135"/>
      <c r="X15" s="135"/>
      <c r="Y15" s="135"/>
      <c r="Z15" s="135"/>
      <c r="AA15" s="135"/>
      <c r="AB15" s="135"/>
      <c r="AC15" s="135"/>
      <c r="AD15" s="135"/>
      <c r="AE15" s="135"/>
      <c r="AF15" s="730">
        <v>50000000</v>
      </c>
      <c r="AG15" s="135"/>
      <c r="AH15" s="135"/>
      <c r="AI15" s="135"/>
      <c r="AJ15" s="136">
        <f>+V15+W15+X15+Y15+Z15+AA15+AB15+AC15+AD15+AE15+AF15+AG15+AH15</f>
        <v>50000000</v>
      </c>
      <c r="AK15" s="136" t="s">
        <v>55</v>
      </c>
      <c r="AL15" s="58" t="s">
        <v>63</v>
      </c>
      <c r="AM15" s="7"/>
    </row>
    <row r="16" spans="1:77" ht="24" customHeight="1" x14ac:dyDescent="0.2">
      <c r="A16" s="130"/>
      <c r="B16" s="78"/>
      <c r="C16" s="78"/>
      <c r="D16" s="78"/>
      <c r="E16" s="78"/>
      <c r="F16" s="131">
        <v>4502</v>
      </c>
      <c r="G16" s="68" t="s">
        <v>70</v>
      </c>
      <c r="H16" s="68"/>
      <c r="I16" s="177"/>
      <c r="J16" s="595"/>
      <c r="K16" s="623"/>
      <c r="L16" s="595"/>
      <c r="M16" s="595"/>
      <c r="N16" s="590"/>
      <c r="O16" s="591"/>
      <c r="P16" s="590"/>
      <c r="Q16" s="624"/>
      <c r="R16" s="591"/>
      <c r="S16" s="625"/>
      <c r="T16" s="132"/>
      <c r="U16" s="132"/>
      <c r="V16" s="133">
        <f>SUM(V17)</f>
        <v>0</v>
      </c>
      <c r="W16" s="133">
        <f t="shared" ref="W16:AH16" si="3">SUM(W17)</f>
        <v>0</v>
      </c>
      <c r="X16" s="133">
        <f t="shared" si="3"/>
        <v>0</v>
      </c>
      <c r="Y16" s="133">
        <f t="shared" si="3"/>
        <v>0</v>
      </c>
      <c r="Z16" s="133">
        <f t="shared" si="3"/>
        <v>0</v>
      </c>
      <c r="AA16" s="133">
        <f t="shared" si="3"/>
        <v>0</v>
      </c>
      <c r="AB16" s="133">
        <f t="shared" si="3"/>
        <v>0</v>
      </c>
      <c r="AC16" s="133">
        <f t="shared" si="3"/>
        <v>0</v>
      </c>
      <c r="AD16" s="133">
        <f t="shared" si="3"/>
        <v>0</v>
      </c>
      <c r="AE16" s="133">
        <f t="shared" si="3"/>
        <v>0</v>
      </c>
      <c r="AF16" s="133">
        <f t="shared" si="3"/>
        <v>40000000</v>
      </c>
      <c r="AG16" s="133">
        <f t="shared" si="3"/>
        <v>0</v>
      </c>
      <c r="AH16" s="133">
        <f t="shared" si="3"/>
        <v>0</v>
      </c>
      <c r="AI16" s="133"/>
      <c r="AJ16" s="133">
        <f>SUM(AJ17)</f>
        <v>40000000</v>
      </c>
      <c r="AK16" s="133"/>
      <c r="AL16" s="140"/>
      <c r="AM16" s="7"/>
    </row>
    <row r="17" spans="1:77" ht="121.5" customHeight="1" x14ac:dyDescent="0.2">
      <c r="A17" s="130"/>
      <c r="B17" s="78"/>
      <c r="C17" s="78"/>
      <c r="D17" s="78"/>
      <c r="E17" s="78"/>
      <c r="F17" s="74"/>
      <c r="G17" s="513"/>
      <c r="H17" s="506" t="s">
        <v>71</v>
      </c>
      <c r="I17" s="69" t="s">
        <v>46</v>
      </c>
      <c r="J17" s="515" t="s">
        <v>72</v>
      </c>
      <c r="K17" s="71">
        <v>4502033</v>
      </c>
      <c r="L17" s="515" t="s">
        <v>73</v>
      </c>
      <c r="M17" s="69" t="s">
        <v>46</v>
      </c>
      <c r="N17" s="141" t="s">
        <v>74</v>
      </c>
      <c r="O17" s="100">
        <v>450203300</v>
      </c>
      <c r="P17" s="388" t="s">
        <v>75</v>
      </c>
      <c r="Q17" s="513" t="s">
        <v>51</v>
      </c>
      <c r="R17" s="134">
        <v>1</v>
      </c>
      <c r="S17" s="513" t="s">
        <v>76</v>
      </c>
      <c r="T17" s="505" t="s">
        <v>77</v>
      </c>
      <c r="U17" s="506" t="s">
        <v>78</v>
      </c>
      <c r="V17" s="135"/>
      <c r="W17" s="135"/>
      <c r="X17" s="135"/>
      <c r="Y17" s="135"/>
      <c r="Z17" s="135"/>
      <c r="AA17" s="135"/>
      <c r="AB17" s="135"/>
      <c r="AC17" s="135"/>
      <c r="AD17" s="135"/>
      <c r="AE17" s="135"/>
      <c r="AF17" s="731">
        <v>40000000</v>
      </c>
      <c r="AG17" s="135"/>
      <c r="AH17" s="135"/>
      <c r="AI17" s="135"/>
      <c r="AJ17" s="136">
        <f>+V17+W17+X17+Y17+Z17+AA17+AB17+AC17+AD17+AE17+AF17+AG17+AH17</f>
        <v>40000000</v>
      </c>
      <c r="AK17" s="136" t="s">
        <v>55</v>
      </c>
      <c r="AL17" s="58" t="s">
        <v>63</v>
      </c>
      <c r="AM17" s="7"/>
    </row>
    <row r="18" spans="1:77" s="436" customFormat="1" ht="16.5" customHeight="1" x14ac:dyDescent="0.25">
      <c r="A18" s="432"/>
      <c r="B18" s="432"/>
      <c r="C18" s="432"/>
      <c r="D18" s="432"/>
      <c r="E18" s="432"/>
      <c r="F18" s="432"/>
      <c r="G18" s="432"/>
      <c r="H18" s="433"/>
      <c r="I18" s="432"/>
      <c r="J18" s="432"/>
      <c r="K18" s="432"/>
      <c r="L18" s="432"/>
      <c r="M18" s="432"/>
      <c r="N18" s="432"/>
      <c r="O18" s="432"/>
      <c r="P18" s="432"/>
      <c r="Q18" s="434"/>
      <c r="R18" s="432"/>
      <c r="S18" s="434"/>
      <c r="T18" s="434"/>
      <c r="U18" s="434"/>
      <c r="V18" s="435"/>
      <c r="W18" s="435"/>
      <c r="X18" s="435"/>
      <c r="Y18" s="435"/>
      <c r="Z18" s="435"/>
      <c r="AA18" s="435"/>
      <c r="AB18" s="435"/>
      <c r="AC18" s="435"/>
      <c r="AD18" s="435"/>
      <c r="AE18" s="435"/>
      <c r="AF18" s="435"/>
      <c r="AG18" s="435"/>
      <c r="AH18" s="435"/>
      <c r="AI18" s="435"/>
      <c r="AJ18" s="435"/>
      <c r="AK18" s="435"/>
      <c r="AL18" s="435"/>
      <c r="AM18" s="7"/>
    </row>
    <row r="19" spans="1:77" s="377" customFormat="1" ht="24" customHeight="1" x14ac:dyDescent="0.25">
      <c r="A19" s="34" t="s">
        <v>79</v>
      </c>
      <c r="B19" s="34"/>
      <c r="C19" s="34"/>
      <c r="D19" s="34"/>
      <c r="E19" s="34"/>
      <c r="F19" s="35"/>
      <c r="G19" s="36"/>
      <c r="H19" s="357"/>
      <c r="I19" s="357"/>
      <c r="J19" s="357"/>
      <c r="K19" s="360"/>
      <c r="L19" s="357"/>
      <c r="M19" s="357"/>
      <c r="N19" s="362"/>
      <c r="O19" s="361"/>
      <c r="P19" s="361"/>
      <c r="Q19" s="363"/>
      <c r="R19" s="361"/>
      <c r="S19" s="36"/>
      <c r="T19" s="362"/>
      <c r="U19" s="362"/>
      <c r="V19" s="378">
        <f t="shared" ref="V19:AL20" si="4">V20</f>
        <v>0</v>
      </c>
      <c r="W19" s="378">
        <f t="shared" si="4"/>
        <v>0</v>
      </c>
      <c r="X19" s="378">
        <f t="shared" si="4"/>
        <v>0</v>
      </c>
      <c r="Y19" s="378">
        <f t="shared" si="4"/>
        <v>0</v>
      </c>
      <c r="Z19" s="378">
        <f t="shared" si="4"/>
        <v>0</v>
      </c>
      <c r="AA19" s="378">
        <f t="shared" si="4"/>
        <v>0</v>
      </c>
      <c r="AB19" s="378">
        <f t="shared" si="4"/>
        <v>0</v>
      </c>
      <c r="AC19" s="378">
        <f t="shared" si="4"/>
        <v>0</v>
      </c>
      <c r="AD19" s="378">
        <f t="shared" si="4"/>
        <v>0</v>
      </c>
      <c r="AE19" s="378">
        <f t="shared" si="4"/>
        <v>0</v>
      </c>
      <c r="AF19" s="378">
        <f t="shared" si="4"/>
        <v>986333529</v>
      </c>
      <c r="AG19" s="378">
        <f t="shared" si="4"/>
        <v>0</v>
      </c>
      <c r="AH19" s="378">
        <f t="shared" si="4"/>
        <v>0</v>
      </c>
      <c r="AI19" s="378"/>
      <c r="AJ19" s="378">
        <f t="shared" si="4"/>
        <v>986333529</v>
      </c>
      <c r="AK19" s="378">
        <f t="shared" si="4"/>
        <v>0</v>
      </c>
      <c r="AL19" s="378">
        <f t="shared" si="4"/>
        <v>0</v>
      </c>
      <c r="AM19" s="7"/>
      <c r="AN19" s="376"/>
      <c r="AO19" s="376"/>
      <c r="AP19" s="376"/>
      <c r="AQ19" s="376"/>
      <c r="AR19" s="376"/>
      <c r="AS19" s="376"/>
      <c r="AT19" s="376"/>
      <c r="AU19" s="376"/>
      <c r="AV19" s="376"/>
      <c r="AW19" s="376"/>
      <c r="AX19" s="376"/>
      <c r="AY19" s="376"/>
      <c r="AZ19" s="376"/>
      <c r="BA19" s="376"/>
      <c r="BB19" s="376"/>
      <c r="BC19" s="376"/>
      <c r="BD19" s="376"/>
      <c r="BE19" s="376"/>
      <c r="BF19" s="376"/>
      <c r="BG19" s="376"/>
      <c r="BH19" s="376"/>
      <c r="BI19" s="376"/>
      <c r="BJ19" s="376"/>
      <c r="BK19" s="376"/>
      <c r="BL19" s="376"/>
      <c r="BM19" s="376"/>
      <c r="BN19" s="376"/>
      <c r="BO19" s="376"/>
      <c r="BP19" s="376"/>
      <c r="BQ19" s="376"/>
      <c r="BR19" s="376"/>
      <c r="BS19" s="376"/>
      <c r="BT19" s="376"/>
      <c r="BU19" s="376"/>
      <c r="BV19" s="376"/>
      <c r="BW19" s="376"/>
      <c r="BX19" s="376"/>
      <c r="BY19" s="376"/>
    </row>
    <row r="20" spans="1:77" ht="24" customHeight="1" x14ac:dyDescent="0.2">
      <c r="A20" s="130"/>
      <c r="B20" s="116">
        <v>4</v>
      </c>
      <c r="C20" s="416"/>
      <c r="D20" s="63" t="s">
        <v>42</v>
      </c>
      <c r="E20" s="418"/>
      <c r="F20" s="418"/>
      <c r="G20" s="418"/>
      <c r="H20" s="418"/>
      <c r="I20" s="562"/>
      <c r="J20" s="165"/>
      <c r="K20" s="164"/>
      <c r="L20" s="165"/>
      <c r="M20" s="165"/>
      <c r="N20" s="167"/>
      <c r="O20" s="166"/>
      <c r="P20" s="166"/>
      <c r="Q20" s="168"/>
      <c r="R20" s="166"/>
      <c r="S20" s="626"/>
      <c r="T20" s="118"/>
      <c r="U20" s="118"/>
      <c r="V20" s="142">
        <f>V21</f>
        <v>0</v>
      </c>
      <c r="W20" s="142">
        <f t="shared" si="4"/>
        <v>0</v>
      </c>
      <c r="X20" s="142">
        <f t="shared" si="4"/>
        <v>0</v>
      </c>
      <c r="Y20" s="142">
        <f t="shared" si="4"/>
        <v>0</v>
      </c>
      <c r="Z20" s="142">
        <f t="shared" si="4"/>
        <v>0</v>
      </c>
      <c r="AA20" s="142">
        <f t="shared" si="4"/>
        <v>0</v>
      </c>
      <c r="AB20" s="142">
        <f t="shared" si="4"/>
        <v>0</v>
      </c>
      <c r="AC20" s="142">
        <f t="shared" si="4"/>
        <v>0</v>
      </c>
      <c r="AD20" s="142">
        <f t="shared" si="4"/>
        <v>0</v>
      </c>
      <c r="AE20" s="142">
        <f t="shared" si="4"/>
        <v>0</v>
      </c>
      <c r="AF20" s="142">
        <f t="shared" si="4"/>
        <v>986333529</v>
      </c>
      <c r="AG20" s="142">
        <f t="shared" si="4"/>
        <v>0</v>
      </c>
      <c r="AH20" s="142">
        <f t="shared" si="4"/>
        <v>0</v>
      </c>
      <c r="AI20" s="142"/>
      <c r="AJ20" s="142">
        <f t="shared" si="4"/>
        <v>986333529</v>
      </c>
      <c r="AK20" s="142">
        <f t="shared" si="4"/>
        <v>0</v>
      </c>
      <c r="AL20" s="142">
        <f>AL21</f>
        <v>0</v>
      </c>
      <c r="AM20" s="7"/>
    </row>
    <row r="21" spans="1:77" s="8" customFormat="1" ht="24" customHeight="1" x14ac:dyDescent="0.25">
      <c r="A21" s="115"/>
      <c r="B21" s="70"/>
      <c r="C21" s="70"/>
      <c r="D21" s="64">
        <v>45</v>
      </c>
      <c r="E21" s="62" t="s">
        <v>43</v>
      </c>
      <c r="F21" s="120"/>
      <c r="G21" s="121"/>
      <c r="H21" s="122"/>
      <c r="I21" s="122"/>
      <c r="J21" s="124"/>
      <c r="K21" s="123"/>
      <c r="L21" s="124"/>
      <c r="M21" s="124"/>
      <c r="N21" s="126"/>
      <c r="O21" s="125"/>
      <c r="P21" s="125"/>
      <c r="Q21" s="124"/>
      <c r="R21" s="127"/>
      <c r="S21" s="589"/>
      <c r="T21" s="128"/>
      <c r="U21" s="129"/>
      <c r="V21" s="129">
        <f>V22+V25</f>
        <v>0</v>
      </c>
      <c r="W21" s="129">
        <f t="shared" ref="W21:AL21" si="5">W22+W25</f>
        <v>0</v>
      </c>
      <c r="X21" s="129">
        <f t="shared" si="5"/>
        <v>0</v>
      </c>
      <c r="Y21" s="129">
        <f t="shared" si="5"/>
        <v>0</v>
      </c>
      <c r="Z21" s="129">
        <f t="shared" si="5"/>
        <v>0</v>
      </c>
      <c r="AA21" s="129">
        <f t="shared" si="5"/>
        <v>0</v>
      </c>
      <c r="AB21" s="129">
        <f t="shared" si="5"/>
        <v>0</v>
      </c>
      <c r="AC21" s="129">
        <f t="shared" si="5"/>
        <v>0</v>
      </c>
      <c r="AD21" s="129">
        <f t="shared" si="5"/>
        <v>0</v>
      </c>
      <c r="AE21" s="129">
        <f t="shared" si="5"/>
        <v>0</v>
      </c>
      <c r="AF21" s="129">
        <f t="shared" si="5"/>
        <v>986333529</v>
      </c>
      <c r="AG21" s="129">
        <f t="shared" si="5"/>
        <v>0</v>
      </c>
      <c r="AH21" s="129">
        <f t="shared" si="5"/>
        <v>0</v>
      </c>
      <c r="AI21" s="129"/>
      <c r="AJ21" s="129">
        <f t="shared" si="5"/>
        <v>986333529</v>
      </c>
      <c r="AK21" s="129">
        <f t="shared" si="5"/>
        <v>0</v>
      </c>
      <c r="AL21" s="129">
        <f t="shared" si="5"/>
        <v>0</v>
      </c>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row>
    <row r="22" spans="1:77" ht="24" customHeight="1" x14ac:dyDescent="0.2">
      <c r="A22" s="130"/>
      <c r="B22" s="78"/>
      <c r="C22" s="78"/>
      <c r="D22" s="78"/>
      <c r="E22" s="78"/>
      <c r="F22" s="131">
        <v>4502</v>
      </c>
      <c r="G22" s="68" t="s">
        <v>70</v>
      </c>
      <c r="H22" s="177"/>
      <c r="I22" s="177"/>
      <c r="J22" s="143"/>
      <c r="K22" s="143"/>
      <c r="L22" s="143"/>
      <c r="M22" s="143"/>
      <c r="N22" s="590"/>
      <c r="O22" s="591"/>
      <c r="P22" s="590"/>
      <c r="Q22" s="624"/>
      <c r="R22" s="591"/>
      <c r="S22" s="625"/>
      <c r="T22" s="132"/>
      <c r="U22" s="132"/>
      <c r="V22" s="144">
        <f>SUM(V23:V24)</f>
        <v>0</v>
      </c>
      <c r="W22" s="144">
        <f t="shared" ref="W22:AL22" si="6">SUM(W23:W24)</f>
        <v>0</v>
      </c>
      <c r="X22" s="144">
        <f t="shared" si="6"/>
        <v>0</v>
      </c>
      <c r="Y22" s="144">
        <f t="shared" si="6"/>
        <v>0</v>
      </c>
      <c r="Z22" s="144">
        <f t="shared" si="6"/>
        <v>0</v>
      </c>
      <c r="AA22" s="144">
        <f t="shared" si="6"/>
        <v>0</v>
      </c>
      <c r="AB22" s="144">
        <f t="shared" si="6"/>
        <v>0</v>
      </c>
      <c r="AC22" s="144">
        <f t="shared" si="6"/>
        <v>0</v>
      </c>
      <c r="AD22" s="144">
        <f t="shared" si="6"/>
        <v>0</v>
      </c>
      <c r="AE22" s="144">
        <f t="shared" si="6"/>
        <v>0</v>
      </c>
      <c r="AF22" s="144">
        <f t="shared" si="6"/>
        <v>178333529</v>
      </c>
      <c r="AG22" s="144">
        <f t="shared" si="6"/>
        <v>0</v>
      </c>
      <c r="AH22" s="144">
        <f t="shared" si="6"/>
        <v>0</v>
      </c>
      <c r="AI22" s="144"/>
      <c r="AJ22" s="144">
        <f t="shared" si="6"/>
        <v>178333529</v>
      </c>
      <c r="AK22" s="144">
        <f t="shared" si="6"/>
        <v>0</v>
      </c>
      <c r="AL22" s="144">
        <f t="shared" si="6"/>
        <v>0</v>
      </c>
      <c r="AM22" s="7"/>
    </row>
    <row r="23" spans="1:77" ht="165" customHeight="1" x14ac:dyDescent="0.2">
      <c r="A23" s="130"/>
      <c r="B23" s="78"/>
      <c r="C23" s="78"/>
      <c r="D23" s="78"/>
      <c r="E23" s="78"/>
      <c r="F23" s="511"/>
      <c r="G23" s="513"/>
      <c r="H23" s="506" t="s">
        <v>80</v>
      </c>
      <c r="I23" s="69" t="s">
        <v>46</v>
      </c>
      <c r="J23" s="515" t="s">
        <v>81</v>
      </c>
      <c r="K23" s="71">
        <v>4502001</v>
      </c>
      <c r="L23" s="515" t="s">
        <v>82</v>
      </c>
      <c r="M23" s="69" t="s">
        <v>46</v>
      </c>
      <c r="N23" s="141" t="s">
        <v>83</v>
      </c>
      <c r="O23" s="100">
        <v>450200100</v>
      </c>
      <c r="P23" s="388" t="s">
        <v>84</v>
      </c>
      <c r="Q23" s="513" t="s">
        <v>51</v>
      </c>
      <c r="R23" s="134">
        <v>1</v>
      </c>
      <c r="S23" s="514" t="s">
        <v>85</v>
      </c>
      <c r="T23" s="506" t="s">
        <v>86</v>
      </c>
      <c r="U23" s="506" t="s">
        <v>87</v>
      </c>
      <c r="V23" s="135"/>
      <c r="W23" s="135"/>
      <c r="X23" s="135"/>
      <c r="Y23" s="135"/>
      <c r="Z23" s="135"/>
      <c r="AA23" s="135"/>
      <c r="AB23" s="135"/>
      <c r="AC23" s="135"/>
      <c r="AD23" s="135"/>
      <c r="AE23" s="135"/>
      <c r="AF23" s="145">
        <f>140000000+3333529</f>
        <v>143333529</v>
      </c>
      <c r="AG23" s="135"/>
      <c r="AH23" s="135"/>
      <c r="AI23" s="135"/>
      <c r="AJ23" s="136">
        <f>+V23+W23+X23+Y23+Z23+AA23+AB23+AC23+AD23+AE23+AF23+AG23+AH23</f>
        <v>143333529</v>
      </c>
      <c r="AK23" s="136" t="s">
        <v>88</v>
      </c>
      <c r="AL23" s="60" t="s">
        <v>1509</v>
      </c>
      <c r="AM23" s="7"/>
    </row>
    <row r="24" spans="1:77" ht="107.25" customHeight="1" x14ac:dyDescent="0.2">
      <c r="A24" s="130"/>
      <c r="B24" s="78"/>
      <c r="C24" s="78"/>
      <c r="D24" s="78"/>
      <c r="E24" s="78"/>
      <c r="F24" s="511"/>
      <c r="G24" s="513"/>
      <c r="H24" s="506" t="s">
        <v>71</v>
      </c>
      <c r="I24" s="69" t="s">
        <v>46</v>
      </c>
      <c r="J24" s="146" t="s">
        <v>89</v>
      </c>
      <c r="K24" s="100">
        <v>4502001</v>
      </c>
      <c r="L24" s="146" t="s">
        <v>82</v>
      </c>
      <c r="M24" s="69" t="s">
        <v>46</v>
      </c>
      <c r="N24" s="141" t="s">
        <v>90</v>
      </c>
      <c r="O24" s="100">
        <v>450200101</v>
      </c>
      <c r="P24" s="388" t="s">
        <v>1510</v>
      </c>
      <c r="Q24" s="513" t="s">
        <v>51</v>
      </c>
      <c r="R24" s="134">
        <v>12</v>
      </c>
      <c r="S24" s="514" t="s">
        <v>91</v>
      </c>
      <c r="T24" s="506" t="s">
        <v>92</v>
      </c>
      <c r="U24" s="506" t="s">
        <v>93</v>
      </c>
      <c r="V24" s="135"/>
      <c r="W24" s="135"/>
      <c r="X24" s="135"/>
      <c r="Y24" s="135"/>
      <c r="Z24" s="135"/>
      <c r="AA24" s="135"/>
      <c r="AB24" s="135"/>
      <c r="AC24" s="135"/>
      <c r="AD24" s="135"/>
      <c r="AE24" s="135"/>
      <c r="AF24" s="145">
        <v>35000000</v>
      </c>
      <c r="AG24" s="135"/>
      <c r="AH24" s="135"/>
      <c r="AI24" s="135"/>
      <c r="AJ24" s="136">
        <f>+V24+W24+X24+Y24+Z24+AA24+AB24+AC24+AD24+AE24+AF24+AG24+AH24</f>
        <v>35000000</v>
      </c>
      <c r="AK24" s="136" t="s">
        <v>88</v>
      </c>
      <c r="AL24" s="60" t="s">
        <v>1509</v>
      </c>
      <c r="AM24" s="7"/>
    </row>
    <row r="25" spans="1:77" ht="24" customHeight="1" x14ac:dyDescent="0.2">
      <c r="A25" s="130"/>
      <c r="B25" s="78"/>
      <c r="C25" s="78"/>
      <c r="D25" s="78"/>
      <c r="E25" s="78"/>
      <c r="F25" s="131">
        <v>4599</v>
      </c>
      <c r="G25" s="68" t="s">
        <v>44</v>
      </c>
      <c r="H25" s="177"/>
      <c r="I25" s="177"/>
      <c r="J25" s="143"/>
      <c r="K25" s="143"/>
      <c r="L25" s="143"/>
      <c r="M25" s="143"/>
      <c r="N25" s="590"/>
      <c r="O25" s="591"/>
      <c r="P25" s="590"/>
      <c r="Q25" s="624"/>
      <c r="R25" s="591"/>
      <c r="S25" s="625"/>
      <c r="T25" s="137"/>
      <c r="U25" s="137"/>
      <c r="V25" s="144">
        <f>SUM(V26:V35)</f>
        <v>0</v>
      </c>
      <c r="W25" s="144">
        <f t="shared" ref="W25:AL25" si="7">SUM(W26:W35)</f>
        <v>0</v>
      </c>
      <c r="X25" s="144">
        <f t="shared" si="7"/>
        <v>0</v>
      </c>
      <c r="Y25" s="144">
        <f t="shared" si="7"/>
        <v>0</v>
      </c>
      <c r="Z25" s="144">
        <f t="shared" si="7"/>
        <v>0</v>
      </c>
      <c r="AA25" s="144">
        <f t="shared" si="7"/>
        <v>0</v>
      </c>
      <c r="AB25" s="144">
        <f t="shared" si="7"/>
        <v>0</v>
      </c>
      <c r="AC25" s="144">
        <f t="shared" si="7"/>
        <v>0</v>
      </c>
      <c r="AD25" s="144">
        <f t="shared" si="7"/>
        <v>0</v>
      </c>
      <c r="AE25" s="144">
        <f t="shared" si="7"/>
        <v>0</v>
      </c>
      <c r="AF25" s="144">
        <f t="shared" si="7"/>
        <v>808000000</v>
      </c>
      <c r="AG25" s="144">
        <f t="shared" si="7"/>
        <v>0</v>
      </c>
      <c r="AH25" s="144">
        <f t="shared" si="7"/>
        <v>0</v>
      </c>
      <c r="AI25" s="144"/>
      <c r="AJ25" s="144">
        <f t="shared" si="7"/>
        <v>808000000</v>
      </c>
      <c r="AK25" s="144">
        <f t="shared" si="7"/>
        <v>0</v>
      </c>
      <c r="AL25" s="144">
        <f t="shared" si="7"/>
        <v>0</v>
      </c>
      <c r="AM25" s="7"/>
    </row>
    <row r="26" spans="1:77" ht="198.75" customHeight="1" x14ac:dyDescent="0.2">
      <c r="A26" s="130"/>
      <c r="B26" s="87"/>
      <c r="C26" s="87"/>
      <c r="D26" s="87"/>
      <c r="E26" s="87"/>
      <c r="F26" s="511"/>
      <c r="G26" s="513"/>
      <c r="H26" s="506" t="s">
        <v>45</v>
      </c>
      <c r="I26" s="69" t="s">
        <v>46</v>
      </c>
      <c r="J26" s="515" t="s">
        <v>94</v>
      </c>
      <c r="K26" s="71">
        <v>4599018</v>
      </c>
      <c r="L26" s="515" t="s">
        <v>95</v>
      </c>
      <c r="M26" s="69" t="s">
        <v>46</v>
      </c>
      <c r="N26" s="506" t="s">
        <v>96</v>
      </c>
      <c r="O26" s="71">
        <v>459901800</v>
      </c>
      <c r="P26" s="509" t="s">
        <v>97</v>
      </c>
      <c r="Q26" s="147" t="s">
        <v>51</v>
      </c>
      <c r="R26" s="71">
        <v>5</v>
      </c>
      <c r="S26" s="514" t="s">
        <v>98</v>
      </c>
      <c r="T26" s="506" t="s">
        <v>99</v>
      </c>
      <c r="U26" s="506" t="s">
        <v>100</v>
      </c>
      <c r="V26" s="135"/>
      <c r="W26" s="135"/>
      <c r="X26" s="135"/>
      <c r="Y26" s="135"/>
      <c r="Z26" s="135"/>
      <c r="AA26" s="135"/>
      <c r="AB26" s="135"/>
      <c r="AC26" s="135"/>
      <c r="AD26" s="135"/>
      <c r="AE26" s="135"/>
      <c r="AF26" s="148">
        <f>4*3600000*10</f>
        <v>144000000</v>
      </c>
      <c r="AG26" s="135"/>
      <c r="AH26" s="135"/>
      <c r="AI26" s="135"/>
      <c r="AJ26" s="136">
        <f t="shared" ref="AJ26:AJ35" si="8">+V26+W26+X26+Y26+Z26+AA26+AB26+AC26+AD26+AE26+AF26+AG26+AH26</f>
        <v>144000000</v>
      </c>
      <c r="AK26" s="136" t="s">
        <v>88</v>
      </c>
      <c r="AL26" s="60" t="s">
        <v>1509</v>
      </c>
      <c r="AM26" s="7"/>
    </row>
    <row r="27" spans="1:77" ht="143.25" customHeight="1" x14ac:dyDescent="0.2">
      <c r="A27" s="130"/>
      <c r="B27" s="78"/>
      <c r="C27" s="78"/>
      <c r="D27" s="78"/>
      <c r="E27" s="78"/>
      <c r="F27" s="511"/>
      <c r="G27" s="513"/>
      <c r="H27" s="506" t="s">
        <v>45</v>
      </c>
      <c r="I27" s="69" t="s">
        <v>46</v>
      </c>
      <c r="J27" s="515" t="s">
        <v>101</v>
      </c>
      <c r="K27" s="71">
        <v>4599025</v>
      </c>
      <c r="L27" s="515" t="s">
        <v>102</v>
      </c>
      <c r="M27" s="69" t="s">
        <v>46</v>
      </c>
      <c r="N27" s="505" t="s">
        <v>103</v>
      </c>
      <c r="O27" s="71">
        <v>459902500</v>
      </c>
      <c r="P27" s="504" t="s">
        <v>104</v>
      </c>
      <c r="Q27" s="147" t="s">
        <v>51</v>
      </c>
      <c r="R27" s="511">
        <v>1</v>
      </c>
      <c r="S27" s="514" t="s">
        <v>105</v>
      </c>
      <c r="T27" s="506" t="s">
        <v>106</v>
      </c>
      <c r="U27" s="506" t="s">
        <v>107</v>
      </c>
      <c r="V27" s="135"/>
      <c r="W27" s="135"/>
      <c r="X27" s="135"/>
      <c r="Y27" s="135"/>
      <c r="Z27" s="135"/>
      <c r="AA27" s="135"/>
      <c r="AB27" s="135"/>
      <c r="AC27" s="135"/>
      <c r="AD27" s="135"/>
      <c r="AE27" s="135"/>
      <c r="AF27" s="149">
        <v>72000000</v>
      </c>
      <c r="AG27" s="135"/>
      <c r="AH27" s="135"/>
      <c r="AI27" s="135"/>
      <c r="AJ27" s="136">
        <f t="shared" si="8"/>
        <v>72000000</v>
      </c>
      <c r="AK27" s="136" t="s">
        <v>88</v>
      </c>
      <c r="AL27" s="60" t="s">
        <v>1509</v>
      </c>
      <c r="AM27" s="7"/>
    </row>
    <row r="28" spans="1:77" ht="178.5" customHeight="1" x14ac:dyDescent="0.2">
      <c r="A28" s="130"/>
      <c r="B28" s="78"/>
      <c r="C28" s="78"/>
      <c r="D28" s="78"/>
      <c r="E28" s="78"/>
      <c r="F28" s="511"/>
      <c r="G28" s="513"/>
      <c r="H28" s="506" t="s">
        <v>45</v>
      </c>
      <c r="I28" s="69" t="s">
        <v>46</v>
      </c>
      <c r="J28" s="515" t="s">
        <v>1540</v>
      </c>
      <c r="K28" s="71">
        <v>4599025</v>
      </c>
      <c r="L28" s="515" t="s">
        <v>102</v>
      </c>
      <c r="M28" s="69" t="s">
        <v>46</v>
      </c>
      <c r="N28" s="512" t="s">
        <v>108</v>
      </c>
      <c r="O28" s="71">
        <v>459902500</v>
      </c>
      <c r="P28" s="504" t="s">
        <v>104</v>
      </c>
      <c r="Q28" s="150" t="s">
        <v>51</v>
      </c>
      <c r="R28" s="93">
        <v>1</v>
      </c>
      <c r="S28" s="514" t="s">
        <v>109</v>
      </c>
      <c r="T28" s="506" t="s">
        <v>110</v>
      </c>
      <c r="U28" s="506" t="s">
        <v>111</v>
      </c>
      <c r="V28" s="135"/>
      <c r="W28" s="135"/>
      <c r="X28" s="135"/>
      <c r="Y28" s="135"/>
      <c r="Z28" s="135"/>
      <c r="AA28" s="135"/>
      <c r="AB28" s="135"/>
      <c r="AC28" s="135"/>
      <c r="AD28" s="135"/>
      <c r="AE28" s="135"/>
      <c r="AF28" s="149">
        <f>(6*3600000*10)+64000000</f>
        <v>280000000</v>
      </c>
      <c r="AG28" s="135"/>
      <c r="AH28" s="135"/>
      <c r="AI28" s="135"/>
      <c r="AJ28" s="136">
        <f t="shared" si="8"/>
        <v>280000000</v>
      </c>
      <c r="AK28" s="136" t="s">
        <v>88</v>
      </c>
      <c r="AL28" s="60" t="s">
        <v>1509</v>
      </c>
      <c r="AM28" s="7"/>
    </row>
    <row r="29" spans="1:77" ht="153.75" customHeight="1" x14ac:dyDescent="0.2">
      <c r="A29" s="130"/>
      <c r="B29" s="78"/>
      <c r="C29" s="78"/>
      <c r="D29" s="78"/>
      <c r="E29" s="78"/>
      <c r="F29" s="511"/>
      <c r="G29" s="513"/>
      <c r="H29" s="506" t="s">
        <v>112</v>
      </c>
      <c r="I29" s="69" t="s">
        <v>46</v>
      </c>
      <c r="J29" s="515" t="s">
        <v>113</v>
      </c>
      <c r="K29" s="71">
        <v>4599031</v>
      </c>
      <c r="L29" s="515" t="s">
        <v>114</v>
      </c>
      <c r="M29" s="69" t="s">
        <v>46</v>
      </c>
      <c r="N29" s="512" t="s">
        <v>115</v>
      </c>
      <c r="O29" s="71">
        <v>459903101</v>
      </c>
      <c r="P29" s="504" t="s">
        <v>116</v>
      </c>
      <c r="Q29" s="151" t="s">
        <v>51</v>
      </c>
      <c r="R29" s="71">
        <v>12</v>
      </c>
      <c r="S29" s="970" t="s">
        <v>117</v>
      </c>
      <c r="T29" s="963" t="s">
        <v>118</v>
      </c>
      <c r="U29" s="963" t="s">
        <v>119</v>
      </c>
      <c r="V29" s="135"/>
      <c r="W29" s="135"/>
      <c r="X29" s="135"/>
      <c r="Y29" s="135"/>
      <c r="Z29" s="135"/>
      <c r="AA29" s="135"/>
      <c r="AB29" s="135"/>
      <c r="AC29" s="135"/>
      <c r="AD29" s="135"/>
      <c r="AE29" s="135"/>
      <c r="AF29" s="145">
        <f>10*3600000*1</f>
        <v>36000000</v>
      </c>
      <c r="AG29" s="135"/>
      <c r="AH29" s="135"/>
      <c r="AI29" s="135"/>
      <c r="AJ29" s="136">
        <f t="shared" si="8"/>
        <v>36000000</v>
      </c>
      <c r="AK29" s="136" t="s">
        <v>88</v>
      </c>
      <c r="AL29" s="60" t="s">
        <v>1509</v>
      </c>
      <c r="AM29" s="7"/>
    </row>
    <row r="30" spans="1:77" s="37" customFormat="1" ht="106.5" customHeight="1" x14ac:dyDescent="0.2">
      <c r="A30" s="311"/>
      <c r="B30" s="70"/>
      <c r="C30" s="70"/>
      <c r="D30" s="70"/>
      <c r="E30" s="70"/>
      <c r="F30" s="69"/>
      <c r="G30" s="514"/>
      <c r="H30" s="509" t="s">
        <v>112</v>
      </c>
      <c r="I30" s="69" t="s">
        <v>46</v>
      </c>
      <c r="J30" s="509" t="s">
        <v>120</v>
      </c>
      <c r="K30" s="69">
        <v>4599031</v>
      </c>
      <c r="L30" s="515" t="s">
        <v>114</v>
      </c>
      <c r="M30" s="69" t="s">
        <v>46</v>
      </c>
      <c r="N30" s="504" t="s">
        <v>121</v>
      </c>
      <c r="O30" s="69">
        <v>459903101</v>
      </c>
      <c r="P30" s="512" t="s">
        <v>116</v>
      </c>
      <c r="Q30" s="387" t="s">
        <v>51</v>
      </c>
      <c r="R30" s="69">
        <v>12</v>
      </c>
      <c r="S30" s="970"/>
      <c r="T30" s="963"/>
      <c r="U30" s="963"/>
      <c r="V30" s="135"/>
      <c r="W30" s="135"/>
      <c r="X30" s="135"/>
      <c r="Y30" s="135"/>
      <c r="Z30" s="135"/>
      <c r="AA30" s="135"/>
      <c r="AB30" s="135"/>
      <c r="AC30" s="135"/>
      <c r="AD30" s="135"/>
      <c r="AE30" s="135"/>
      <c r="AF30" s="145">
        <f>10*3600000*1</f>
        <v>36000000</v>
      </c>
      <c r="AG30" s="135"/>
      <c r="AH30" s="135"/>
      <c r="AI30" s="135"/>
      <c r="AJ30" s="313">
        <f t="shared" si="8"/>
        <v>36000000</v>
      </c>
      <c r="AK30" s="313" t="s">
        <v>88</v>
      </c>
      <c r="AL30" s="315" t="s">
        <v>1509</v>
      </c>
      <c r="AM30" s="7"/>
    </row>
    <row r="31" spans="1:77" s="37" customFormat="1" ht="111" customHeight="1" x14ac:dyDescent="0.2">
      <c r="A31" s="311"/>
      <c r="B31" s="70"/>
      <c r="C31" s="70"/>
      <c r="D31" s="70"/>
      <c r="E31" s="70"/>
      <c r="F31" s="69"/>
      <c r="G31" s="514"/>
      <c r="H31" s="509" t="s">
        <v>112</v>
      </c>
      <c r="I31" s="69" t="s">
        <v>46</v>
      </c>
      <c r="J31" s="509" t="s">
        <v>122</v>
      </c>
      <c r="K31" s="69">
        <v>4599031</v>
      </c>
      <c r="L31" s="515" t="s">
        <v>114</v>
      </c>
      <c r="M31" s="69" t="s">
        <v>46</v>
      </c>
      <c r="N31" s="504" t="s">
        <v>123</v>
      </c>
      <c r="O31" s="69">
        <v>459903101</v>
      </c>
      <c r="P31" s="512" t="s">
        <v>116</v>
      </c>
      <c r="Q31" s="387" t="s">
        <v>51</v>
      </c>
      <c r="R31" s="69">
        <v>12</v>
      </c>
      <c r="S31" s="970"/>
      <c r="T31" s="963"/>
      <c r="U31" s="963"/>
      <c r="V31" s="135"/>
      <c r="W31" s="135"/>
      <c r="X31" s="135"/>
      <c r="Y31" s="135"/>
      <c r="Z31" s="135"/>
      <c r="AA31" s="135"/>
      <c r="AB31" s="135"/>
      <c r="AC31" s="135"/>
      <c r="AD31" s="135"/>
      <c r="AE31" s="135"/>
      <c r="AF31" s="145">
        <f>10*3600000*1</f>
        <v>36000000</v>
      </c>
      <c r="AG31" s="135"/>
      <c r="AH31" s="135"/>
      <c r="AI31" s="135"/>
      <c r="AJ31" s="313">
        <f t="shared" si="8"/>
        <v>36000000</v>
      </c>
      <c r="AK31" s="313" t="s">
        <v>88</v>
      </c>
      <c r="AL31" s="315" t="s">
        <v>1509</v>
      </c>
      <c r="AM31" s="7"/>
    </row>
    <row r="32" spans="1:77" s="37" customFormat="1" ht="136.5" customHeight="1" x14ac:dyDescent="0.2">
      <c r="A32" s="311"/>
      <c r="B32" s="70"/>
      <c r="C32" s="70"/>
      <c r="D32" s="70"/>
      <c r="E32" s="70"/>
      <c r="F32" s="69"/>
      <c r="G32" s="514"/>
      <c r="H32" s="509" t="s">
        <v>112</v>
      </c>
      <c r="I32" s="69" t="s">
        <v>46</v>
      </c>
      <c r="J32" s="509" t="s">
        <v>124</v>
      </c>
      <c r="K32" s="69">
        <v>4599031</v>
      </c>
      <c r="L32" s="515" t="s">
        <v>114</v>
      </c>
      <c r="M32" s="69" t="s">
        <v>46</v>
      </c>
      <c r="N32" s="388" t="s">
        <v>123</v>
      </c>
      <c r="O32" s="69">
        <v>459903101</v>
      </c>
      <c r="P32" s="512" t="s">
        <v>116</v>
      </c>
      <c r="Q32" s="387" t="s">
        <v>51</v>
      </c>
      <c r="R32" s="69">
        <v>12</v>
      </c>
      <c r="S32" s="970"/>
      <c r="T32" s="963"/>
      <c r="U32" s="963"/>
      <c r="V32" s="135"/>
      <c r="W32" s="135"/>
      <c r="X32" s="135"/>
      <c r="Y32" s="135"/>
      <c r="Z32" s="135"/>
      <c r="AA32" s="135"/>
      <c r="AB32" s="135"/>
      <c r="AC32" s="135"/>
      <c r="AD32" s="135"/>
      <c r="AE32" s="135"/>
      <c r="AF32" s="145">
        <f>10*3600000*1+24000000-24000000</f>
        <v>36000000</v>
      </c>
      <c r="AG32" s="135"/>
      <c r="AH32" s="135"/>
      <c r="AI32" s="135"/>
      <c r="AJ32" s="313">
        <f t="shared" si="8"/>
        <v>36000000</v>
      </c>
      <c r="AK32" s="313" t="s">
        <v>88</v>
      </c>
      <c r="AL32" s="315" t="s">
        <v>1509</v>
      </c>
      <c r="AM32" s="7"/>
    </row>
    <row r="33" spans="1:77" s="37" customFormat="1" ht="144" customHeight="1" x14ac:dyDescent="0.2">
      <c r="A33" s="311"/>
      <c r="B33" s="70"/>
      <c r="C33" s="70"/>
      <c r="D33" s="70"/>
      <c r="E33" s="70"/>
      <c r="F33" s="69"/>
      <c r="G33" s="514"/>
      <c r="H33" s="509" t="s">
        <v>112</v>
      </c>
      <c r="I33" s="69" t="s">
        <v>46</v>
      </c>
      <c r="J33" s="509" t="s">
        <v>125</v>
      </c>
      <c r="K33" s="69">
        <v>4599031</v>
      </c>
      <c r="L33" s="515" t="s">
        <v>114</v>
      </c>
      <c r="M33" s="69" t="s">
        <v>46</v>
      </c>
      <c r="N33" s="504" t="s">
        <v>123</v>
      </c>
      <c r="O33" s="69">
        <v>459903101</v>
      </c>
      <c r="P33" s="512" t="s">
        <v>116</v>
      </c>
      <c r="Q33" s="387" t="s">
        <v>51</v>
      </c>
      <c r="R33" s="69">
        <v>12</v>
      </c>
      <c r="S33" s="970"/>
      <c r="T33" s="963"/>
      <c r="U33" s="963"/>
      <c r="V33" s="135"/>
      <c r="W33" s="135"/>
      <c r="X33" s="135"/>
      <c r="Y33" s="135"/>
      <c r="Z33" s="135"/>
      <c r="AA33" s="135"/>
      <c r="AB33" s="135"/>
      <c r="AC33" s="135"/>
      <c r="AD33" s="135"/>
      <c r="AE33" s="135"/>
      <c r="AF33" s="145">
        <f>10*3600000*1+24000000</f>
        <v>60000000</v>
      </c>
      <c r="AG33" s="135"/>
      <c r="AH33" s="135"/>
      <c r="AI33" s="135"/>
      <c r="AJ33" s="313">
        <f t="shared" si="8"/>
        <v>60000000</v>
      </c>
      <c r="AK33" s="313" t="s">
        <v>88</v>
      </c>
      <c r="AL33" s="315" t="s">
        <v>1509</v>
      </c>
      <c r="AM33" s="7"/>
    </row>
    <row r="34" spans="1:77" s="37" customFormat="1" ht="135" customHeight="1" x14ac:dyDescent="0.2">
      <c r="A34" s="311"/>
      <c r="B34" s="70"/>
      <c r="C34" s="70"/>
      <c r="D34" s="70"/>
      <c r="E34" s="70"/>
      <c r="F34" s="69"/>
      <c r="G34" s="514"/>
      <c r="H34" s="509" t="s">
        <v>112</v>
      </c>
      <c r="I34" s="69" t="s">
        <v>46</v>
      </c>
      <c r="J34" s="509" t="s">
        <v>126</v>
      </c>
      <c r="K34" s="69">
        <v>4599031</v>
      </c>
      <c r="L34" s="515" t="s">
        <v>114</v>
      </c>
      <c r="M34" s="69" t="s">
        <v>46</v>
      </c>
      <c r="N34" s="504" t="s">
        <v>123</v>
      </c>
      <c r="O34" s="69">
        <v>459903101</v>
      </c>
      <c r="P34" s="512" t="s">
        <v>116</v>
      </c>
      <c r="Q34" s="387" t="s">
        <v>51</v>
      </c>
      <c r="R34" s="69">
        <v>12</v>
      </c>
      <c r="S34" s="970"/>
      <c r="T34" s="963"/>
      <c r="U34" s="963"/>
      <c r="V34" s="135"/>
      <c r="W34" s="135"/>
      <c r="X34" s="135"/>
      <c r="Y34" s="135"/>
      <c r="Z34" s="135"/>
      <c r="AA34" s="135"/>
      <c r="AB34" s="135"/>
      <c r="AC34" s="135"/>
      <c r="AD34" s="135"/>
      <c r="AE34" s="135"/>
      <c r="AF34" s="145">
        <f>10*3600000*1</f>
        <v>36000000</v>
      </c>
      <c r="AG34" s="135"/>
      <c r="AH34" s="135"/>
      <c r="AI34" s="135"/>
      <c r="AJ34" s="313">
        <f t="shared" si="8"/>
        <v>36000000</v>
      </c>
      <c r="AK34" s="313" t="s">
        <v>88</v>
      </c>
      <c r="AL34" s="315" t="s">
        <v>1509</v>
      </c>
      <c r="AM34" s="7"/>
    </row>
    <row r="35" spans="1:77" ht="138" customHeight="1" x14ac:dyDescent="0.2">
      <c r="A35" s="130"/>
      <c r="B35" s="83"/>
      <c r="C35" s="83"/>
      <c r="D35" s="83"/>
      <c r="E35" s="83"/>
      <c r="F35" s="76"/>
      <c r="G35" s="513"/>
      <c r="H35" s="506" t="s">
        <v>45</v>
      </c>
      <c r="I35" s="69" t="s">
        <v>46</v>
      </c>
      <c r="J35" s="515" t="s">
        <v>47</v>
      </c>
      <c r="K35" s="71">
        <v>4599023</v>
      </c>
      <c r="L35" s="515" t="s">
        <v>127</v>
      </c>
      <c r="M35" s="69" t="s">
        <v>46</v>
      </c>
      <c r="N35" s="512" t="s">
        <v>128</v>
      </c>
      <c r="O35" s="71">
        <v>459902300</v>
      </c>
      <c r="P35" s="512" t="s">
        <v>50</v>
      </c>
      <c r="Q35" s="147" t="s">
        <v>51</v>
      </c>
      <c r="R35" s="109">
        <v>18</v>
      </c>
      <c r="S35" s="514" t="s">
        <v>129</v>
      </c>
      <c r="T35" s="504" t="s">
        <v>130</v>
      </c>
      <c r="U35" s="504" t="s">
        <v>131</v>
      </c>
      <c r="V35" s="130"/>
      <c r="W35" s="130"/>
      <c r="X35" s="130"/>
      <c r="Y35" s="130"/>
      <c r="Z35" s="130"/>
      <c r="AA35" s="130"/>
      <c r="AB35" s="130"/>
      <c r="AC35" s="130"/>
      <c r="AD35" s="130"/>
      <c r="AE35" s="130"/>
      <c r="AF35" s="145">
        <v>72000000</v>
      </c>
      <c r="AG35" s="130"/>
      <c r="AH35" s="130"/>
      <c r="AI35" s="130"/>
      <c r="AJ35" s="136">
        <f t="shared" si="8"/>
        <v>72000000</v>
      </c>
      <c r="AK35" s="136" t="s">
        <v>88</v>
      </c>
      <c r="AL35" s="60" t="s">
        <v>1509</v>
      </c>
      <c r="AM35" s="7"/>
    </row>
    <row r="36" spans="1:77" s="436" customFormat="1" ht="16.5" customHeight="1" x14ac:dyDescent="0.25">
      <c r="A36" s="432"/>
      <c r="B36" s="432"/>
      <c r="C36" s="432"/>
      <c r="D36" s="432"/>
      <c r="E36" s="432"/>
      <c r="F36" s="432"/>
      <c r="G36" s="432"/>
      <c r="H36" s="433"/>
      <c r="I36" s="432"/>
      <c r="J36" s="432"/>
      <c r="K36" s="432"/>
      <c r="L36" s="432"/>
      <c r="M36" s="432"/>
      <c r="N36" s="432"/>
      <c r="O36" s="432"/>
      <c r="P36" s="432"/>
      <c r="Q36" s="434"/>
      <c r="R36" s="432"/>
      <c r="S36" s="434"/>
      <c r="T36" s="434"/>
      <c r="U36" s="434"/>
      <c r="V36" s="435"/>
      <c r="W36" s="435"/>
      <c r="X36" s="435"/>
      <c r="Y36" s="435"/>
      <c r="Z36" s="435"/>
      <c r="AA36" s="435"/>
      <c r="AB36" s="435"/>
      <c r="AC36" s="435"/>
      <c r="AD36" s="435"/>
      <c r="AE36" s="435"/>
      <c r="AF36" s="435"/>
      <c r="AG36" s="435"/>
      <c r="AH36" s="435"/>
      <c r="AI36" s="435"/>
      <c r="AJ36" s="435"/>
      <c r="AK36" s="435"/>
      <c r="AL36" s="435"/>
      <c r="AM36" s="7"/>
    </row>
    <row r="37" spans="1:77" s="365" customFormat="1" ht="24" customHeight="1" x14ac:dyDescent="0.2">
      <c r="A37" s="34" t="s">
        <v>132</v>
      </c>
      <c r="B37" s="34"/>
      <c r="C37" s="34"/>
      <c r="D37" s="34"/>
      <c r="E37" s="34"/>
      <c r="F37" s="35"/>
      <c r="G37" s="36"/>
      <c r="H37" s="357"/>
      <c r="I37" s="357"/>
      <c r="J37" s="357"/>
      <c r="K37" s="360"/>
      <c r="L37" s="357"/>
      <c r="M37" s="357"/>
      <c r="N37" s="362"/>
      <c r="O37" s="361"/>
      <c r="P37" s="362"/>
      <c r="Q37" s="363"/>
      <c r="R37" s="361"/>
      <c r="S37" s="36"/>
      <c r="T37" s="362"/>
      <c r="U37" s="362"/>
      <c r="V37" s="358">
        <f>V38</f>
        <v>0</v>
      </c>
      <c r="W37" s="358">
        <f t="shared" ref="W37:AJ39" si="9">W38</f>
        <v>0</v>
      </c>
      <c r="X37" s="358">
        <f t="shared" si="9"/>
        <v>0</v>
      </c>
      <c r="Y37" s="358">
        <f t="shared" si="9"/>
        <v>0</v>
      </c>
      <c r="Z37" s="358">
        <f t="shared" si="9"/>
        <v>0</v>
      </c>
      <c r="AA37" s="358">
        <f t="shared" si="9"/>
        <v>0</v>
      </c>
      <c r="AB37" s="358">
        <f t="shared" si="9"/>
        <v>0</v>
      </c>
      <c r="AC37" s="358">
        <f t="shared" si="9"/>
        <v>0</v>
      </c>
      <c r="AD37" s="358">
        <f t="shared" si="9"/>
        <v>0</v>
      </c>
      <c r="AE37" s="358">
        <f t="shared" si="9"/>
        <v>0</v>
      </c>
      <c r="AF37" s="358">
        <f t="shared" si="9"/>
        <v>2343395879</v>
      </c>
      <c r="AG37" s="358">
        <f t="shared" si="9"/>
        <v>0</v>
      </c>
      <c r="AH37" s="358">
        <f t="shared" si="9"/>
        <v>504229463.84000003</v>
      </c>
      <c r="AI37" s="358"/>
      <c r="AJ37" s="358">
        <f t="shared" si="9"/>
        <v>2847625342.8400002</v>
      </c>
      <c r="AK37" s="358"/>
      <c r="AL37" s="359"/>
      <c r="AM37" s="7"/>
      <c r="AN37" s="364"/>
      <c r="AO37" s="364"/>
      <c r="AP37" s="364"/>
      <c r="AQ37" s="364"/>
      <c r="AR37" s="364"/>
      <c r="AS37" s="364"/>
      <c r="AT37" s="364"/>
      <c r="AU37" s="364"/>
      <c r="AV37" s="364"/>
      <c r="AW37" s="364"/>
      <c r="AX37" s="364"/>
      <c r="AY37" s="364"/>
      <c r="AZ37" s="364"/>
      <c r="BA37" s="364"/>
      <c r="BB37" s="364"/>
      <c r="BC37" s="364"/>
      <c r="BD37" s="364"/>
      <c r="BE37" s="364"/>
      <c r="BF37" s="364"/>
      <c r="BG37" s="364"/>
      <c r="BH37" s="364"/>
      <c r="BI37" s="364"/>
      <c r="BJ37" s="364"/>
      <c r="BK37" s="364"/>
      <c r="BL37" s="364"/>
      <c r="BM37" s="364"/>
      <c r="BN37" s="364"/>
      <c r="BO37" s="364"/>
      <c r="BP37" s="364"/>
      <c r="BQ37" s="364"/>
      <c r="BR37" s="364"/>
      <c r="BS37" s="364"/>
      <c r="BT37" s="364"/>
      <c r="BU37" s="364"/>
      <c r="BV37" s="364"/>
      <c r="BW37" s="364"/>
      <c r="BX37" s="364"/>
      <c r="BY37" s="364"/>
    </row>
    <row r="38" spans="1:77" ht="24" customHeight="1" x14ac:dyDescent="0.2">
      <c r="A38" s="130"/>
      <c r="B38" s="116">
        <v>4</v>
      </c>
      <c r="C38" s="416"/>
      <c r="D38" s="63" t="s">
        <v>42</v>
      </c>
      <c r="E38" s="418"/>
      <c r="F38" s="418"/>
      <c r="G38" s="418"/>
      <c r="H38" s="418"/>
      <c r="I38" s="562"/>
      <c r="J38" s="165"/>
      <c r="K38" s="164"/>
      <c r="L38" s="165"/>
      <c r="M38" s="165"/>
      <c r="N38" s="167"/>
      <c r="O38" s="166"/>
      <c r="P38" s="167"/>
      <c r="Q38" s="168"/>
      <c r="R38" s="166"/>
      <c r="S38" s="626"/>
      <c r="T38" s="118"/>
      <c r="U38" s="118"/>
      <c r="V38" s="119">
        <f>V39</f>
        <v>0</v>
      </c>
      <c r="W38" s="119">
        <f t="shared" si="9"/>
        <v>0</v>
      </c>
      <c r="X38" s="119">
        <f t="shared" si="9"/>
        <v>0</v>
      </c>
      <c r="Y38" s="119">
        <f t="shared" si="9"/>
        <v>0</v>
      </c>
      <c r="Z38" s="119">
        <f t="shared" si="9"/>
        <v>0</v>
      </c>
      <c r="AA38" s="119">
        <f t="shared" si="9"/>
        <v>0</v>
      </c>
      <c r="AB38" s="119">
        <f t="shared" si="9"/>
        <v>0</v>
      </c>
      <c r="AC38" s="119">
        <f t="shared" si="9"/>
        <v>0</v>
      </c>
      <c r="AD38" s="119">
        <f t="shared" si="9"/>
        <v>0</v>
      </c>
      <c r="AE38" s="119">
        <f t="shared" si="9"/>
        <v>0</v>
      </c>
      <c r="AF38" s="119">
        <f t="shared" si="9"/>
        <v>2343395879</v>
      </c>
      <c r="AG38" s="119">
        <f t="shared" si="9"/>
        <v>0</v>
      </c>
      <c r="AH38" s="119">
        <f t="shared" si="9"/>
        <v>504229463.84000003</v>
      </c>
      <c r="AI38" s="119"/>
      <c r="AJ38" s="119">
        <f>AJ39</f>
        <v>2847625342.8400002</v>
      </c>
      <c r="AK38" s="119"/>
      <c r="AL38" s="152"/>
      <c r="AM38" s="7"/>
    </row>
    <row r="39" spans="1:77" s="8" customFormat="1" ht="24" customHeight="1" x14ac:dyDescent="0.25">
      <c r="A39" s="115"/>
      <c r="B39" s="70"/>
      <c r="C39" s="70"/>
      <c r="D39" s="64">
        <v>45</v>
      </c>
      <c r="E39" s="62" t="s">
        <v>43</v>
      </c>
      <c r="F39" s="120"/>
      <c r="G39" s="121"/>
      <c r="H39" s="122"/>
      <c r="I39" s="122"/>
      <c r="J39" s="124"/>
      <c r="K39" s="123"/>
      <c r="L39" s="124"/>
      <c r="M39" s="124"/>
      <c r="N39" s="126"/>
      <c r="O39" s="125"/>
      <c r="P39" s="126"/>
      <c r="Q39" s="124"/>
      <c r="R39" s="127"/>
      <c r="S39" s="589"/>
      <c r="T39" s="128"/>
      <c r="U39" s="129"/>
      <c r="V39" s="129">
        <f>V40</f>
        <v>0</v>
      </c>
      <c r="W39" s="129">
        <f t="shared" si="9"/>
        <v>0</v>
      </c>
      <c r="X39" s="129">
        <f t="shared" si="9"/>
        <v>0</v>
      </c>
      <c r="Y39" s="129">
        <f t="shared" si="9"/>
        <v>0</v>
      </c>
      <c r="Z39" s="129">
        <f t="shared" si="9"/>
        <v>0</v>
      </c>
      <c r="AA39" s="129">
        <f t="shared" si="9"/>
        <v>0</v>
      </c>
      <c r="AB39" s="129">
        <f t="shared" si="9"/>
        <v>0</v>
      </c>
      <c r="AC39" s="129">
        <f t="shared" si="9"/>
        <v>0</v>
      </c>
      <c r="AD39" s="129">
        <f t="shared" si="9"/>
        <v>0</v>
      </c>
      <c r="AE39" s="129">
        <f t="shared" si="9"/>
        <v>0</v>
      </c>
      <c r="AF39" s="129">
        <f t="shared" si="9"/>
        <v>2343395879</v>
      </c>
      <c r="AG39" s="129">
        <f t="shared" si="9"/>
        <v>0</v>
      </c>
      <c r="AH39" s="129">
        <f t="shared" si="9"/>
        <v>504229463.84000003</v>
      </c>
      <c r="AI39" s="129"/>
      <c r="AJ39" s="129">
        <f t="shared" si="9"/>
        <v>2847625342.8400002</v>
      </c>
      <c r="AK39" s="153"/>
      <c r="AL39" s="153"/>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row>
    <row r="40" spans="1:77" ht="24" customHeight="1" x14ac:dyDescent="0.2">
      <c r="A40" s="130"/>
      <c r="B40" s="78"/>
      <c r="C40" s="78"/>
      <c r="D40" s="78"/>
      <c r="E40" s="78"/>
      <c r="F40" s="131">
        <v>4599</v>
      </c>
      <c r="G40" s="68" t="s">
        <v>44</v>
      </c>
      <c r="H40" s="177"/>
      <c r="I40" s="177"/>
      <c r="J40" s="595"/>
      <c r="K40" s="645"/>
      <c r="L40" s="595"/>
      <c r="M40" s="595"/>
      <c r="N40" s="646"/>
      <c r="O40" s="645"/>
      <c r="P40" s="646"/>
      <c r="Q40" s="646"/>
      <c r="R40" s="646"/>
      <c r="S40" s="625"/>
      <c r="T40" s="132"/>
      <c r="U40" s="132"/>
      <c r="V40" s="133">
        <f>SUM(V41:V42)</f>
        <v>0</v>
      </c>
      <c r="W40" s="133">
        <f t="shared" ref="W40:AJ40" si="10">SUM(W41:W42)</f>
        <v>0</v>
      </c>
      <c r="X40" s="133">
        <f t="shared" si="10"/>
        <v>0</v>
      </c>
      <c r="Y40" s="133">
        <f t="shared" si="10"/>
        <v>0</v>
      </c>
      <c r="Z40" s="133">
        <f t="shared" si="10"/>
        <v>0</v>
      </c>
      <c r="AA40" s="133">
        <f t="shared" si="10"/>
        <v>0</v>
      </c>
      <c r="AB40" s="133">
        <f t="shared" si="10"/>
        <v>0</v>
      </c>
      <c r="AC40" s="133">
        <f t="shared" si="10"/>
        <v>0</v>
      </c>
      <c r="AD40" s="133">
        <f t="shared" si="10"/>
        <v>0</v>
      </c>
      <c r="AE40" s="133">
        <f t="shared" si="10"/>
        <v>0</v>
      </c>
      <c r="AF40" s="133">
        <f t="shared" si="10"/>
        <v>2343395879</v>
      </c>
      <c r="AG40" s="133">
        <f t="shared" si="10"/>
        <v>0</v>
      </c>
      <c r="AH40" s="133">
        <f t="shared" si="10"/>
        <v>504229463.84000003</v>
      </c>
      <c r="AI40" s="133"/>
      <c r="AJ40" s="133">
        <f t="shared" si="10"/>
        <v>2847625342.8400002</v>
      </c>
      <c r="AK40" s="133"/>
      <c r="AL40" s="140"/>
      <c r="AM40" s="7"/>
    </row>
    <row r="41" spans="1:77" ht="171" customHeight="1" x14ac:dyDescent="0.2">
      <c r="A41" s="130"/>
      <c r="B41" s="78"/>
      <c r="C41" s="78"/>
      <c r="D41" s="78"/>
      <c r="E41" s="78"/>
      <c r="F41" s="74"/>
      <c r="G41" s="513"/>
      <c r="H41" s="506" t="s">
        <v>133</v>
      </c>
      <c r="I41" s="69" t="s">
        <v>46</v>
      </c>
      <c r="J41" s="111" t="s">
        <v>134</v>
      </c>
      <c r="K41" s="71">
        <v>4599002</v>
      </c>
      <c r="L41" s="111" t="s">
        <v>58</v>
      </c>
      <c r="M41" s="69" t="s">
        <v>46</v>
      </c>
      <c r="N41" s="141" t="s">
        <v>135</v>
      </c>
      <c r="O41" s="71">
        <v>459900201</v>
      </c>
      <c r="P41" s="141" t="s">
        <v>136</v>
      </c>
      <c r="Q41" s="513" t="s">
        <v>51</v>
      </c>
      <c r="R41" s="88">
        <v>1</v>
      </c>
      <c r="S41" s="514" t="s">
        <v>137</v>
      </c>
      <c r="T41" s="505" t="s">
        <v>138</v>
      </c>
      <c r="U41" s="506" t="s">
        <v>139</v>
      </c>
      <c r="V41" s="154"/>
      <c r="W41" s="154"/>
      <c r="X41" s="135"/>
      <c r="Y41" s="154"/>
      <c r="Z41" s="154"/>
      <c r="AA41" s="154"/>
      <c r="AB41" s="154"/>
      <c r="AC41" s="154"/>
      <c r="AD41" s="154"/>
      <c r="AE41" s="154"/>
      <c r="AF41" s="145">
        <f>670000000+900000000+1416148+1979731+500000000-8000000</f>
        <v>2065395879</v>
      </c>
      <c r="AG41" s="154"/>
      <c r="AH41" s="155">
        <f>250000000+179440187.84+74789276</f>
        <v>504229463.84000003</v>
      </c>
      <c r="AI41" s="155"/>
      <c r="AJ41" s="136">
        <f>+V41+W41+X41+Y41+Z41+AA41+AB41+AC41+AD41+AE41+AF41+AG41+AH41</f>
        <v>2569625342.8400002</v>
      </c>
      <c r="AK41" s="136" t="s">
        <v>140</v>
      </c>
      <c r="AL41" s="60" t="s">
        <v>1550</v>
      </c>
      <c r="AM41" s="7"/>
    </row>
    <row r="42" spans="1:77" ht="145.5" customHeight="1" x14ac:dyDescent="0.2">
      <c r="A42" s="130"/>
      <c r="B42" s="78"/>
      <c r="C42" s="78"/>
      <c r="D42" s="78"/>
      <c r="E42" s="78"/>
      <c r="F42" s="74"/>
      <c r="G42" s="513"/>
      <c r="H42" s="506" t="s">
        <v>133</v>
      </c>
      <c r="I42" s="69" t="s">
        <v>46</v>
      </c>
      <c r="J42" s="111" t="s">
        <v>141</v>
      </c>
      <c r="K42" s="71">
        <v>4599002</v>
      </c>
      <c r="L42" s="111" t="s">
        <v>142</v>
      </c>
      <c r="M42" s="69" t="s">
        <v>46</v>
      </c>
      <c r="N42" s="141" t="s">
        <v>143</v>
      </c>
      <c r="O42" s="71">
        <v>459900200</v>
      </c>
      <c r="P42" s="141" t="s">
        <v>1511</v>
      </c>
      <c r="Q42" s="513" t="s">
        <v>51</v>
      </c>
      <c r="R42" s="88">
        <v>1</v>
      </c>
      <c r="S42" s="514" t="s">
        <v>144</v>
      </c>
      <c r="T42" s="505" t="s">
        <v>145</v>
      </c>
      <c r="U42" s="506" t="s">
        <v>146</v>
      </c>
      <c r="V42" s="135"/>
      <c r="W42" s="135"/>
      <c r="X42" s="135"/>
      <c r="Y42" s="135"/>
      <c r="Z42" s="135"/>
      <c r="AA42" s="135"/>
      <c r="AB42" s="135"/>
      <c r="AC42" s="135"/>
      <c r="AD42" s="135"/>
      <c r="AE42" s="135"/>
      <c r="AF42" s="525">
        <f>270000000+8000000</f>
        <v>278000000</v>
      </c>
      <c r="AG42" s="135"/>
      <c r="AH42" s="155"/>
      <c r="AI42" s="135"/>
      <c r="AJ42" s="136">
        <f>+V42+W42+X42+Y42+Z42+AA42+AB42+AC42+AD42+AE42+AF42+AG42+AH42</f>
        <v>278000000</v>
      </c>
      <c r="AK42" s="136" t="s">
        <v>140</v>
      </c>
      <c r="AL42" s="60" t="s">
        <v>1550</v>
      </c>
      <c r="AM42" s="7"/>
    </row>
    <row r="43" spans="1:77" s="436" customFormat="1" ht="16.5" customHeight="1" x14ac:dyDescent="0.25">
      <c r="A43" s="432"/>
      <c r="B43" s="432"/>
      <c r="C43" s="432"/>
      <c r="D43" s="432"/>
      <c r="E43" s="432"/>
      <c r="F43" s="432"/>
      <c r="G43" s="432"/>
      <c r="H43" s="433"/>
      <c r="I43" s="432"/>
      <c r="J43" s="432"/>
      <c r="K43" s="432"/>
      <c r="L43" s="432"/>
      <c r="M43" s="432"/>
      <c r="N43" s="432"/>
      <c r="O43" s="432"/>
      <c r="P43" s="432"/>
      <c r="Q43" s="434"/>
      <c r="R43" s="432"/>
      <c r="S43" s="434"/>
      <c r="T43" s="434"/>
      <c r="U43" s="434"/>
      <c r="V43" s="435"/>
      <c r="W43" s="435"/>
      <c r="X43" s="435"/>
      <c r="Y43" s="435"/>
      <c r="Z43" s="435"/>
      <c r="AA43" s="435"/>
      <c r="AB43" s="435"/>
      <c r="AC43" s="435"/>
      <c r="AD43" s="435"/>
      <c r="AE43" s="435"/>
      <c r="AF43" s="435"/>
      <c r="AG43" s="435"/>
      <c r="AH43" s="435"/>
      <c r="AI43" s="435"/>
      <c r="AJ43" s="435"/>
      <c r="AK43" s="435"/>
      <c r="AL43" s="435"/>
      <c r="AM43" s="7"/>
    </row>
    <row r="44" spans="1:77" s="365" customFormat="1" ht="24" customHeight="1" x14ac:dyDescent="0.2">
      <c r="A44" s="34" t="s">
        <v>147</v>
      </c>
      <c r="B44" s="34"/>
      <c r="C44" s="34"/>
      <c r="D44" s="34"/>
      <c r="E44" s="34"/>
      <c r="F44" s="35"/>
      <c r="G44" s="650"/>
      <c r="H44" s="651"/>
      <c r="I44" s="651"/>
      <c r="J44" s="651"/>
      <c r="K44" s="652"/>
      <c r="L44" s="651"/>
      <c r="M44" s="651"/>
      <c r="N44" s="653"/>
      <c r="O44" s="654"/>
      <c r="P44" s="653"/>
      <c r="Q44" s="655"/>
      <c r="R44" s="654"/>
      <c r="S44" s="650"/>
      <c r="T44" s="362"/>
      <c r="U44" s="362"/>
      <c r="V44" s="358">
        <f t="shared" ref="V44:AJ44" si="11">V45+V61+V81</f>
        <v>5674040294.460001</v>
      </c>
      <c r="W44" s="358">
        <f t="shared" si="11"/>
        <v>0</v>
      </c>
      <c r="X44" s="358">
        <f t="shared" si="11"/>
        <v>56108067</v>
      </c>
      <c r="Y44" s="358">
        <f t="shared" si="11"/>
        <v>0</v>
      </c>
      <c r="Z44" s="358">
        <f t="shared" si="11"/>
        <v>0</v>
      </c>
      <c r="AA44" s="358">
        <f t="shared" si="11"/>
        <v>0</v>
      </c>
      <c r="AB44" s="358">
        <f t="shared" si="11"/>
        <v>0</v>
      </c>
      <c r="AC44" s="358">
        <f t="shared" si="11"/>
        <v>0</v>
      </c>
      <c r="AD44" s="358">
        <f t="shared" si="11"/>
        <v>0</v>
      </c>
      <c r="AE44" s="358">
        <f t="shared" si="11"/>
        <v>2895159641.6800003</v>
      </c>
      <c r="AF44" s="358">
        <f t="shared" si="11"/>
        <v>3360846631</v>
      </c>
      <c r="AG44" s="358">
        <f t="shared" si="11"/>
        <v>0</v>
      </c>
      <c r="AH44" s="358">
        <f t="shared" si="11"/>
        <v>4000000000</v>
      </c>
      <c r="AI44" s="358"/>
      <c r="AJ44" s="358">
        <f t="shared" si="11"/>
        <v>15986154634.140001</v>
      </c>
      <c r="AK44" s="358"/>
      <c r="AL44" s="358"/>
      <c r="AM44" s="7"/>
      <c r="AN44" s="364"/>
      <c r="AO44" s="364"/>
      <c r="AP44" s="364"/>
      <c r="AQ44" s="364"/>
      <c r="AR44" s="364"/>
      <c r="AS44" s="364"/>
      <c r="AT44" s="364"/>
      <c r="AU44" s="364"/>
      <c r="AV44" s="364"/>
      <c r="AW44" s="364"/>
      <c r="AX44" s="364"/>
      <c r="AY44" s="364"/>
      <c r="AZ44" s="364"/>
      <c r="BA44" s="364"/>
      <c r="BB44" s="364"/>
      <c r="BC44" s="364"/>
      <c r="BD44" s="364"/>
      <c r="BE44" s="364"/>
      <c r="BF44" s="364"/>
      <c r="BG44" s="364"/>
      <c r="BH44" s="364"/>
      <c r="BI44" s="364"/>
      <c r="BJ44" s="364"/>
      <c r="BK44" s="364"/>
      <c r="BL44" s="364"/>
      <c r="BM44" s="364"/>
      <c r="BN44" s="364"/>
      <c r="BO44" s="364"/>
      <c r="BP44" s="364"/>
      <c r="BQ44" s="364"/>
      <c r="BR44" s="364"/>
      <c r="BS44" s="364"/>
      <c r="BT44" s="364"/>
      <c r="BU44" s="364"/>
      <c r="BV44" s="364"/>
      <c r="BW44" s="364"/>
      <c r="BX44" s="364"/>
      <c r="BY44" s="364"/>
    </row>
    <row r="45" spans="1:77" ht="24" customHeight="1" x14ac:dyDescent="0.2">
      <c r="A45" s="130"/>
      <c r="B45" s="116">
        <v>1</v>
      </c>
      <c r="C45" s="116"/>
      <c r="D45" s="63" t="s">
        <v>148</v>
      </c>
      <c r="E45" s="157"/>
      <c r="F45" s="163"/>
      <c r="G45" s="665"/>
      <c r="H45" s="666"/>
      <c r="I45" s="666"/>
      <c r="J45" s="667"/>
      <c r="K45" s="668"/>
      <c r="L45" s="667"/>
      <c r="M45" s="667"/>
      <c r="N45" s="669"/>
      <c r="O45" s="670"/>
      <c r="P45" s="669"/>
      <c r="Q45" s="703"/>
      <c r="R45" s="670"/>
      <c r="S45" s="672"/>
      <c r="T45" s="169"/>
      <c r="U45" s="118"/>
      <c r="V45" s="119">
        <f>V46+V49+V52+V55+V58</f>
        <v>4969040294.3600006</v>
      </c>
      <c r="W45" s="119">
        <f t="shared" ref="W45:AH45" si="12">W46+W49+W52+W55+W58</f>
        <v>0</v>
      </c>
      <c r="X45" s="119">
        <f t="shared" si="12"/>
        <v>0</v>
      </c>
      <c r="Y45" s="119">
        <f t="shared" si="12"/>
        <v>0</v>
      </c>
      <c r="Z45" s="119">
        <f t="shared" si="12"/>
        <v>0</v>
      </c>
      <c r="AA45" s="119">
        <f t="shared" si="12"/>
        <v>0</v>
      </c>
      <c r="AB45" s="119">
        <f t="shared" si="12"/>
        <v>0</v>
      </c>
      <c r="AC45" s="119">
        <f t="shared" si="12"/>
        <v>0</v>
      </c>
      <c r="AD45" s="119">
        <f t="shared" si="12"/>
        <v>0</v>
      </c>
      <c r="AE45" s="119">
        <f t="shared" si="12"/>
        <v>0</v>
      </c>
      <c r="AF45" s="119">
        <f t="shared" si="12"/>
        <v>211496979</v>
      </c>
      <c r="AG45" s="119">
        <f t="shared" si="12"/>
        <v>0</v>
      </c>
      <c r="AH45" s="119">
        <f t="shared" si="12"/>
        <v>0</v>
      </c>
      <c r="AI45" s="119"/>
      <c r="AJ45" s="119">
        <f>AJ46+AJ49+AJ52+AJ55+AJ58</f>
        <v>5180537273.3600006</v>
      </c>
      <c r="AK45" s="119"/>
      <c r="AL45" s="119"/>
      <c r="AM45" s="7"/>
    </row>
    <row r="46" spans="1:77" s="8" customFormat="1" ht="24" customHeight="1" x14ac:dyDescent="0.25">
      <c r="A46" s="115"/>
      <c r="B46" s="70"/>
      <c r="C46" s="70"/>
      <c r="D46" s="64">
        <v>12</v>
      </c>
      <c r="E46" s="62" t="s">
        <v>149</v>
      </c>
      <c r="F46" s="120"/>
      <c r="G46" s="673"/>
      <c r="H46" s="676"/>
      <c r="I46" s="676"/>
      <c r="J46" s="678"/>
      <c r="K46" s="675"/>
      <c r="L46" s="678"/>
      <c r="M46" s="678"/>
      <c r="N46" s="679"/>
      <c r="O46" s="677"/>
      <c r="P46" s="679"/>
      <c r="Q46" s="678"/>
      <c r="R46" s="704"/>
      <c r="S46" s="705"/>
      <c r="T46" s="589"/>
      <c r="U46" s="129"/>
      <c r="V46" s="129">
        <f>V47</f>
        <v>0</v>
      </c>
      <c r="W46" s="129">
        <f t="shared" ref="W46:AJ46" si="13">W47</f>
        <v>0</v>
      </c>
      <c r="X46" s="129">
        <f t="shared" si="13"/>
        <v>0</v>
      </c>
      <c r="Y46" s="129">
        <f t="shared" si="13"/>
        <v>0</v>
      </c>
      <c r="Z46" s="129">
        <f t="shared" si="13"/>
        <v>0</v>
      </c>
      <c r="AA46" s="129">
        <f t="shared" si="13"/>
        <v>0</v>
      </c>
      <c r="AB46" s="129">
        <f t="shared" si="13"/>
        <v>0</v>
      </c>
      <c r="AC46" s="129">
        <f t="shared" si="13"/>
        <v>0</v>
      </c>
      <c r="AD46" s="129">
        <f t="shared" si="13"/>
        <v>0</v>
      </c>
      <c r="AE46" s="129">
        <f t="shared" si="13"/>
        <v>0</v>
      </c>
      <c r="AF46" s="129">
        <f t="shared" si="13"/>
        <v>24750000</v>
      </c>
      <c r="AG46" s="129">
        <f t="shared" si="13"/>
        <v>0</v>
      </c>
      <c r="AH46" s="129">
        <f t="shared" si="13"/>
        <v>0</v>
      </c>
      <c r="AI46" s="129"/>
      <c r="AJ46" s="129">
        <f t="shared" si="13"/>
        <v>24750000</v>
      </c>
      <c r="AK46" s="129"/>
      <c r="AL46" s="129"/>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row>
    <row r="47" spans="1:77" ht="24" customHeight="1" x14ac:dyDescent="0.2">
      <c r="A47" s="130"/>
      <c r="B47" s="78"/>
      <c r="C47" s="78"/>
      <c r="D47" s="78"/>
      <c r="E47" s="78"/>
      <c r="F47" s="644">
        <v>1202</v>
      </c>
      <c r="G47" s="681" t="s">
        <v>150</v>
      </c>
      <c r="H47" s="682"/>
      <c r="I47" s="682"/>
      <c r="J47" s="683"/>
      <c r="K47" s="684"/>
      <c r="L47" s="683"/>
      <c r="M47" s="683"/>
      <c r="N47" s="685"/>
      <c r="O47" s="686"/>
      <c r="P47" s="685"/>
      <c r="Q47" s="690"/>
      <c r="R47" s="686"/>
      <c r="S47" s="688"/>
      <c r="T47" s="592"/>
      <c r="U47" s="132"/>
      <c r="V47" s="133">
        <f t="shared" ref="V47:AJ47" si="14">V48</f>
        <v>0</v>
      </c>
      <c r="W47" s="133">
        <f t="shared" si="14"/>
        <v>0</v>
      </c>
      <c r="X47" s="133">
        <f t="shared" si="14"/>
        <v>0</v>
      </c>
      <c r="Y47" s="133">
        <f t="shared" si="14"/>
        <v>0</v>
      </c>
      <c r="Z47" s="133">
        <f t="shared" si="14"/>
        <v>0</v>
      </c>
      <c r="AA47" s="133">
        <f t="shared" si="14"/>
        <v>0</v>
      </c>
      <c r="AB47" s="133">
        <f t="shared" si="14"/>
        <v>0</v>
      </c>
      <c r="AC47" s="133">
        <f t="shared" si="14"/>
        <v>0</v>
      </c>
      <c r="AD47" s="133">
        <f t="shared" si="14"/>
        <v>0</v>
      </c>
      <c r="AE47" s="133">
        <f t="shared" si="14"/>
        <v>0</v>
      </c>
      <c r="AF47" s="133">
        <f>AF48</f>
        <v>24750000</v>
      </c>
      <c r="AG47" s="133">
        <f t="shared" si="14"/>
        <v>0</v>
      </c>
      <c r="AH47" s="133">
        <f t="shared" si="14"/>
        <v>0</v>
      </c>
      <c r="AI47" s="133"/>
      <c r="AJ47" s="133">
        <f t="shared" si="14"/>
        <v>24750000</v>
      </c>
      <c r="AK47" s="133"/>
      <c r="AL47" s="133"/>
      <c r="AM47" s="7"/>
    </row>
    <row r="48" spans="1:77" s="37" customFormat="1" ht="217.5" customHeight="1" x14ac:dyDescent="0.2">
      <c r="A48" s="311"/>
      <c r="B48" s="70"/>
      <c r="C48" s="70"/>
      <c r="D48" s="70"/>
      <c r="E48" s="70"/>
      <c r="F48" s="312"/>
      <c r="G48" s="702"/>
      <c r="H48" s="724" t="s">
        <v>151</v>
      </c>
      <c r="I48" s="698" t="s">
        <v>46</v>
      </c>
      <c r="J48" s="722" t="s">
        <v>152</v>
      </c>
      <c r="K48" s="698">
        <v>1202019</v>
      </c>
      <c r="L48" s="722" t="s">
        <v>153</v>
      </c>
      <c r="M48" s="698" t="s">
        <v>46</v>
      </c>
      <c r="N48" s="722" t="s">
        <v>154</v>
      </c>
      <c r="O48" s="721">
        <v>120201900</v>
      </c>
      <c r="P48" s="722" t="s">
        <v>155</v>
      </c>
      <c r="Q48" s="702" t="s">
        <v>67</v>
      </c>
      <c r="R48" s="728">
        <v>3</v>
      </c>
      <c r="S48" s="702" t="s">
        <v>156</v>
      </c>
      <c r="T48" s="504" t="s">
        <v>157</v>
      </c>
      <c r="U48" s="504" t="s">
        <v>158</v>
      </c>
      <c r="V48" s="158"/>
      <c r="W48" s="135"/>
      <c r="X48" s="135"/>
      <c r="Y48" s="135"/>
      <c r="Z48" s="135"/>
      <c r="AA48" s="135"/>
      <c r="AB48" s="135"/>
      <c r="AC48" s="135"/>
      <c r="AD48" s="135"/>
      <c r="AE48" s="135"/>
      <c r="AF48" s="145">
        <f>23750000+1000000</f>
        <v>24750000</v>
      </c>
      <c r="AG48" s="135"/>
      <c r="AH48" s="159"/>
      <c r="AI48" s="159"/>
      <c r="AJ48" s="313">
        <f>+V48+W48+X48+Y48+Z48+AA48+AB48+AC48+AD48+AE48+AF48+AG48+AH48</f>
        <v>24750000</v>
      </c>
      <c r="AK48" s="314" t="s">
        <v>159</v>
      </c>
      <c r="AL48" s="315" t="s">
        <v>1551</v>
      </c>
      <c r="AM48" s="7"/>
    </row>
    <row r="49" spans="1:76" s="8" customFormat="1" ht="24" customHeight="1" x14ac:dyDescent="0.25">
      <c r="A49" s="115"/>
      <c r="B49" s="70"/>
      <c r="C49" s="70"/>
      <c r="D49" s="64">
        <v>19</v>
      </c>
      <c r="E49" s="62" t="s">
        <v>160</v>
      </c>
      <c r="F49" s="120"/>
      <c r="G49" s="673"/>
      <c r="H49" s="676"/>
      <c r="I49" s="676"/>
      <c r="J49" s="678"/>
      <c r="K49" s="675"/>
      <c r="L49" s="678"/>
      <c r="M49" s="678"/>
      <c r="N49" s="679"/>
      <c r="O49" s="677"/>
      <c r="P49" s="679"/>
      <c r="Q49" s="678"/>
      <c r="R49" s="704"/>
      <c r="S49" s="705"/>
      <c r="T49" s="589"/>
      <c r="U49" s="129"/>
      <c r="V49" s="129">
        <f>V50</f>
        <v>0</v>
      </c>
      <c r="W49" s="129">
        <f t="shared" ref="W49:AJ49" si="15">W50</f>
        <v>0</v>
      </c>
      <c r="X49" s="129">
        <f t="shared" si="15"/>
        <v>0</v>
      </c>
      <c r="Y49" s="129">
        <f t="shared" si="15"/>
        <v>0</v>
      </c>
      <c r="Z49" s="129">
        <f t="shared" si="15"/>
        <v>0</v>
      </c>
      <c r="AA49" s="129">
        <f t="shared" si="15"/>
        <v>0</v>
      </c>
      <c r="AB49" s="129">
        <f t="shared" si="15"/>
        <v>0</v>
      </c>
      <c r="AC49" s="129">
        <f t="shared" si="15"/>
        <v>0</v>
      </c>
      <c r="AD49" s="129">
        <f t="shared" si="15"/>
        <v>0</v>
      </c>
      <c r="AE49" s="129">
        <f t="shared" si="15"/>
        <v>0</v>
      </c>
      <c r="AF49" s="129">
        <f t="shared" si="15"/>
        <v>96746979</v>
      </c>
      <c r="AG49" s="129">
        <f t="shared" si="15"/>
        <v>0</v>
      </c>
      <c r="AH49" s="129">
        <f t="shared" si="15"/>
        <v>0</v>
      </c>
      <c r="AI49" s="129"/>
      <c r="AJ49" s="129">
        <f t="shared" si="15"/>
        <v>96746979</v>
      </c>
      <c r="AK49" s="153"/>
      <c r="AL49" s="153"/>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row>
    <row r="50" spans="1:76" ht="24" customHeight="1" x14ac:dyDescent="0.2">
      <c r="A50" s="130"/>
      <c r="B50" s="78"/>
      <c r="C50" s="78"/>
      <c r="D50" s="78"/>
      <c r="E50" s="78"/>
      <c r="F50" s="644">
        <v>1906</v>
      </c>
      <c r="G50" s="681" t="s">
        <v>161</v>
      </c>
      <c r="H50" s="682"/>
      <c r="I50" s="682"/>
      <c r="J50" s="683"/>
      <c r="K50" s="684"/>
      <c r="L50" s="683"/>
      <c r="M50" s="683"/>
      <c r="N50" s="685"/>
      <c r="O50" s="686"/>
      <c r="P50" s="685"/>
      <c r="Q50" s="690"/>
      <c r="R50" s="686"/>
      <c r="S50" s="688"/>
      <c r="T50" s="592"/>
      <c r="U50" s="132"/>
      <c r="V50" s="133">
        <f t="shared" ref="V50:AJ50" si="16">V51</f>
        <v>0</v>
      </c>
      <c r="W50" s="133">
        <f t="shared" si="16"/>
        <v>0</v>
      </c>
      <c r="X50" s="133">
        <f t="shared" si="16"/>
        <v>0</v>
      </c>
      <c r="Y50" s="133">
        <f t="shared" si="16"/>
        <v>0</v>
      </c>
      <c r="Z50" s="133">
        <f t="shared" si="16"/>
        <v>0</v>
      </c>
      <c r="AA50" s="133">
        <f t="shared" si="16"/>
        <v>0</v>
      </c>
      <c r="AB50" s="133">
        <f t="shared" si="16"/>
        <v>0</v>
      </c>
      <c r="AC50" s="133">
        <f t="shared" si="16"/>
        <v>0</v>
      </c>
      <c r="AD50" s="133">
        <f t="shared" si="16"/>
        <v>0</v>
      </c>
      <c r="AE50" s="133">
        <f t="shared" si="16"/>
        <v>0</v>
      </c>
      <c r="AF50" s="133">
        <f t="shared" si="16"/>
        <v>96746979</v>
      </c>
      <c r="AG50" s="133">
        <f t="shared" si="16"/>
        <v>0</v>
      </c>
      <c r="AH50" s="133">
        <f t="shared" si="16"/>
        <v>0</v>
      </c>
      <c r="AI50" s="133"/>
      <c r="AJ50" s="133">
        <f t="shared" si="16"/>
        <v>96746979</v>
      </c>
      <c r="AK50" s="133"/>
      <c r="AL50" s="140"/>
      <c r="AM50" s="7"/>
    </row>
    <row r="51" spans="1:76" s="37" customFormat="1" ht="156.75" customHeight="1" x14ac:dyDescent="0.2">
      <c r="A51" s="311"/>
      <c r="B51" s="70"/>
      <c r="C51" s="70"/>
      <c r="D51" s="70"/>
      <c r="E51" s="70"/>
      <c r="F51" s="312"/>
      <c r="G51" s="569"/>
      <c r="H51" s="724" t="s">
        <v>162</v>
      </c>
      <c r="I51" s="698" t="s">
        <v>46</v>
      </c>
      <c r="J51" s="722" t="s">
        <v>163</v>
      </c>
      <c r="K51" s="698">
        <v>1906015</v>
      </c>
      <c r="L51" s="722" t="s">
        <v>164</v>
      </c>
      <c r="M51" s="698" t="s">
        <v>46</v>
      </c>
      <c r="N51" s="725" t="s">
        <v>165</v>
      </c>
      <c r="O51" s="726">
        <v>190601500</v>
      </c>
      <c r="P51" s="725" t="s">
        <v>164</v>
      </c>
      <c r="Q51" s="702" t="s">
        <v>67</v>
      </c>
      <c r="R51" s="727">
        <v>1</v>
      </c>
      <c r="S51" s="702" t="s">
        <v>166</v>
      </c>
      <c r="T51" s="504" t="s">
        <v>167</v>
      </c>
      <c r="U51" s="504" t="s">
        <v>168</v>
      </c>
      <c r="V51" s="158"/>
      <c r="W51" s="135"/>
      <c r="X51" s="135"/>
      <c r="Y51" s="135"/>
      <c r="Z51" s="135"/>
      <c r="AA51" s="135"/>
      <c r="AB51" s="135"/>
      <c r="AC51" s="135"/>
      <c r="AD51" s="135"/>
      <c r="AE51" s="135"/>
      <c r="AF51" s="145">
        <f>38000000+58746979</f>
        <v>96746979</v>
      </c>
      <c r="AG51" s="135"/>
      <c r="AH51" s="159"/>
      <c r="AI51" s="159"/>
      <c r="AJ51" s="313">
        <f>+V51+W51+X51+Y51+Z51+AA51+AB51+AC51+AD51+AE51+AF51+AG51+AH51</f>
        <v>96746979</v>
      </c>
      <c r="AK51" s="314" t="s">
        <v>159</v>
      </c>
      <c r="AL51" s="315" t="s">
        <v>1551</v>
      </c>
      <c r="AM51" s="7"/>
    </row>
    <row r="52" spans="1:76" s="8" customFormat="1" ht="24" customHeight="1" x14ac:dyDescent="0.25">
      <c r="A52" s="115"/>
      <c r="B52" s="70"/>
      <c r="C52" s="70"/>
      <c r="D52" s="64">
        <v>22</v>
      </c>
      <c r="E52" s="62" t="s">
        <v>169</v>
      </c>
      <c r="F52" s="120"/>
      <c r="G52" s="121"/>
      <c r="H52" s="715"/>
      <c r="I52" s="676"/>
      <c r="J52" s="678"/>
      <c r="K52" s="675"/>
      <c r="L52" s="678"/>
      <c r="M52" s="678"/>
      <c r="N52" s="679"/>
      <c r="O52" s="677"/>
      <c r="P52" s="679"/>
      <c r="Q52" s="678"/>
      <c r="R52" s="704"/>
      <c r="S52" s="705"/>
      <c r="T52" s="589"/>
      <c r="U52" s="129"/>
      <c r="V52" s="129">
        <f>V53</f>
        <v>2083257220</v>
      </c>
      <c r="W52" s="129">
        <f t="shared" ref="W52:AJ52" si="17">W53</f>
        <v>0</v>
      </c>
      <c r="X52" s="129">
        <f t="shared" si="17"/>
        <v>0</v>
      </c>
      <c r="Y52" s="129">
        <f t="shared" si="17"/>
        <v>0</v>
      </c>
      <c r="Z52" s="129">
        <f t="shared" si="17"/>
        <v>0</v>
      </c>
      <c r="AA52" s="129">
        <f t="shared" si="17"/>
        <v>0</v>
      </c>
      <c r="AB52" s="129">
        <f t="shared" si="17"/>
        <v>0</v>
      </c>
      <c r="AC52" s="129">
        <f t="shared" si="17"/>
        <v>0</v>
      </c>
      <c r="AD52" s="129">
        <f t="shared" si="17"/>
        <v>0</v>
      </c>
      <c r="AE52" s="129">
        <f t="shared" si="17"/>
        <v>0</v>
      </c>
      <c r="AF52" s="129">
        <f t="shared" si="17"/>
        <v>0</v>
      </c>
      <c r="AG52" s="129">
        <f t="shared" si="17"/>
        <v>0</v>
      </c>
      <c r="AH52" s="129">
        <f t="shared" si="17"/>
        <v>0</v>
      </c>
      <c r="AI52" s="129"/>
      <c r="AJ52" s="129">
        <f t="shared" si="17"/>
        <v>2083257220</v>
      </c>
      <c r="AK52" s="153"/>
      <c r="AL52" s="153"/>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row>
    <row r="53" spans="1:76" ht="24" customHeight="1" x14ac:dyDescent="0.2">
      <c r="A53" s="130"/>
      <c r="B53" s="78"/>
      <c r="C53" s="78"/>
      <c r="D53" s="78"/>
      <c r="E53" s="78"/>
      <c r="F53" s="138">
        <v>2201</v>
      </c>
      <c r="G53" s="68" t="s">
        <v>170</v>
      </c>
      <c r="H53" s="681"/>
      <c r="I53" s="682"/>
      <c r="J53" s="723"/>
      <c r="K53" s="723"/>
      <c r="L53" s="723"/>
      <c r="M53" s="723"/>
      <c r="N53" s="685"/>
      <c r="O53" s="686"/>
      <c r="P53" s="685"/>
      <c r="Q53" s="690"/>
      <c r="R53" s="686"/>
      <c r="S53" s="688"/>
      <c r="T53" s="592"/>
      <c r="U53" s="132"/>
      <c r="V53" s="133">
        <f t="shared" ref="V53:AJ53" si="18">V54</f>
        <v>2083257220</v>
      </c>
      <c r="W53" s="133">
        <f t="shared" si="18"/>
        <v>0</v>
      </c>
      <c r="X53" s="133">
        <f t="shared" si="18"/>
        <v>0</v>
      </c>
      <c r="Y53" s="133">
        <f t="shared" si="18"/>
        <v>0</v>
      </c>
      <c r="Z53" s="133">
        <f t="shared" si="18"/>
        <v>0</v>
      </c>
      <c r="AA53" s="133">
        <f t="shared" si="18"/>
        <v>0</v>
      </c>
      <c r="AB53" s="133">
        <f t="shared" si="18"/>
        <v>0</v>
      </c>
      <c r="AC53" s="133">
        <f t="shared" si="18"/>
        <v>0</v>
      </c>
      <c r="AD53" s="133">
        <f t="shared" si="18"/>
        <v>0</v>
      </c>
      <c r="AE53" s="133">
        <f t="shared" si="18"/>
        <v>0</v>
      </c>
      <c r="AF53" s="133">
        <f t="shared" si="18"/>
        <v>0</v>
      </c>
      <c r="AG53" s="133">
        <f t="shared" si="18"/>
        <v>0</v>
      </c>
      <c r="AH53" s="133">
        <f t="shared" si="18"/>
        <v>0</v>
      </c>
      <c r="AI53" s="133"/>
      <c r="AJ53" s="133">
        <f t="shared" si="18"/>
        <v>2083257220</v>
      </c>
      <c r="AK53" s="133"/>
      <c r="AL53" s="140"/>
      <c r="AM53" s="7"/>
    </row>
    <row r="54" spans="1:76" ht="173.25" customHeight="1" x14ac:dyDescent="0.2">
      <c r="A54" s="130"/>
      <c r="B54" s="78"/>
      <c r="C54" s="78"/>
      <c r="D54" s="78"/>
      <c r="E54" s="78"/>
      <c r="F54" s="74"/>
      <c r="G54" s="437"/>
      <c r="H54" s="573" t="s">
        <v>171</v>
      </c>
      <c r="I54" s="718" t="s">
        <v>46</v>
      </c>
      <c r="J54" s="564" t="s">
        <v>172</v>
      </c>
      <c r="K54" s="718">
        <v>2201062</v>
      </c>
      <c r="L54" s="564" t="s">
        <v>173</v>
      </c>
      <c r="M54" s="718" t="s">
        <v>46</v>
      </c>
      <c r="N54" s="700" t="s">
        <v>174</v>
      </c>
      <c r="O54" s="718">
        <v>220106200</v>
      </c>
      <c r="P54" s="700" t="s">
        <v>175</v>
      </c>
      <c r="Q54" s="438" t="s">
        <v>67</v>
      </c>
      <c r="R54" s="701">
        <v>15</v>
      </c>
      <c r="S54" s="702" t="s">
        <v>176</v>
      </c>
      <c r="T54" s="505" t="s">
        <v>177</v>
      </c>
      <c r="U54" s="505" t="s">
        <v>178</v>
      </c>
      <c r="V54" s="161">
        <v>2083257220</v>
      </c>
      <c r="W54" s="135"/>
      <c r="X54" s="135"/>
      <c r="Y54" s="135"/>
      <c r="Z54" s="135"/>
      <c r="AA54" s="135"/>
      <c r="AB54" s="135"/>
      <c r="AC54" s="135"/>
      <c r="AD54" s="135"/>
      <c r="AE54" s="135"/>
      <c r="AF54" s="145"/>
      <c r="AG54" s="135"/>
      <c r="AH54" s="159"/>
      <c r="AI54" s="159"/>
      <c r="AJ54" s="136">
        <f>+V54+W54+X54+Y54+Z54+AA54+AB54+AC54+AD54+AE54+AF54+AG54+AH54</f>
        <v>2083257220</v>
      </c>
      <c r="AK54" s="160" t="s">
        <v>159</v>
      </c>
      <c r="AL54" s="315" t="s">
        <v>1551</v>
      </c>
      <c r="AM54" s="7"/>
    </row>
    <row r="55" spans="1:76" s="8" customFormat="1" ht="24" customHeight="1" x14ac:dyDescent="0.25">
      <c r="A55" s="115"/>
      <c r="B55" s="70"/>
      <c r="C55" s="70"/>
      <c r="D55" s="64">
        <v>33</v>
      </c>
      <c r="E55" s="62" t="s">
        <v>179</v>
      </c>
      <c r="F55" s="120"/>
      <c r="G55" s="673"/>
      <c r="H55" s="676"/>
      <c r="I55" s="676"/>
      <c r="J55" s="678"/>
      <c r="K55" s="675"/>
      <c r="L55" s="678"/>
      <c r="M55" s="678"/>
      <c r="N55" s="679"/>
      <c r="O55" s="677"/>
      <c r="P55" s="679"/>
      <c r="Q55" s="678"/>
      <c r="R55" s="704"/>
      <c r="S55" s="705"/>
      <c r="T55" s="589"/>
      <c r="U55" s="129"/>
      <c r="V55" s="129">
        <f>V56</f>
        <v>0</v>
      </c>
      <c r="W55" s="129">
        <f t="shared" ref="W55:AH55" si="19">W56</f>
        <v>0</v>
      </c>
      <c r="X55" s="129">
        <f t="shared" si="19"/>
        <v>0</v>
      </c>
      <c r="Y55" s="129">
        <f t="shared" si="19"/>
        <v>0</v>
      </c>
      <c r="Z55" s="129">
        <f t="shared" si="19"/>
        <v>0</v>
      </c>
      <c r="AA55" s="129">
        <f t="shared" si="19"/>
        <v>0</v>
      </c>
      <c r="AB55" s="129">
        <f t="shared" si="19"/>
        <v>0</v>
      </c>
      <c r="AC55" s="129">
        <f t="shared" si="19"/>
        <v>0</v>
      </c>
      <c r="AD55" s="129">
        <f t="shared" si="19"/>
        <v>0</v>
      </c>
      <c r="AE55" s="129">
        <f t="shared" si="19"/>
        <v>0</v>
      </c>
      <c r="AF55" s="129">
        <f t="shared" si="19"/>
        <v>90000000</v>
      </c>
      <c r="AG55" s="129">
        <f t="shared" si="19"/>
        <v>0</v>
      </c>
      <c r="AH55" s="129">
        <f t="shared" si="19"/>
        <v>0</v>
      </c>
      <c r="AI55" s="129"/>
      <c r="AJ55" s="129">
        <f>AJ56</f>
        <v>90000000</v>
      </c>
      <c r="AK55" s="153"/>
      <c r="AL55" s="153"/>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row>
    <row r="56" spans="1:76" ht="24" customHeight="1" x14ac:dyDescent="0.2">
      <c r="A56" s="130"/>
      <c r="B56" s="78"/>
      <c r="C56" s="78"/>
      <c r="D56" s="78"/>
      <c r="E56" s="78"/>
      <c r="F56" s="644">
        <v>3301</v>
      </c>
      <c r="G56" s="681" t="s">
        <v>180</v>
      </c>
      <c r="H56" s="682"/>
      <c r="I56" s="682"/>
      <c r="J56" s="723"/>
      <c r="K56" s="723"/>
      <c r="L56" s="723"/>
      <c r="M56" s="723"/>
      <c r="N56" s="685"/>
      <c r="O56" s="686"/>
      <c r="P56" s="685"/>
      <c r="Q56" s="690"/>
      <c r="R56" s="686"/>
      <c r="S56" s="688"/>
      <c r="T56" s="592"/>
      <c r="U56" s="132"/>
      <c r="V56" s="133">
        <f>SUM(V57)</f>
        <v>0</v>
      </c>
      <c r="W56" s="133">
        <f t="shared" ref="W56:AE56" si="20">SUM(W57:W60)</f>
        <v>0</v>
      </c>
      <c r="X56" s="133">
        <f t="shared" si="20"/>
        <v>0</v>
      </c>
      <c r="Y56" s="133">
        <f t="shared" si="20"/>
        <v>0</v>
      </c>
      <c r="Z56" s="133">
        <f t="shared" si="20"/>
        <v>0</v>
      </c>
      <c r="AA56" s="133">
        <f t="shared" si="20"/>
        <v>0</v>
      </c>
      <c r="AB56" s="133">
        <f t="shared" si="20"/>
        <v>0</v>
      </c>
      <c r="AC56" s="133">
        <f t="shared" si="20"/>
        <v>0</v>
      </c>
      <c r="AD56" s="133">
        <f t="shared" si="20"/>
        <v>0</v>
      </c>
      <c r="AE56" s="133">
        <f t="shared" si="20"/>
        <v>0</v>
      </c>
      <c r="AF56" s="133">
        <f>SUM(AF57)</f>
        <v>90000000</v>
      </c>
      <c r="AG56" s="133">
        <f>SUM(AG57:AG60)</f>
        <v>0</v>
      </c>
      <c r="AH56" s="133">
        <f>SUM(AH57:AH60)</f>
        <v>0</v>
      </c>
      <c r="AI56" s="133"/>
      <c r="AJ56" s="133">
        <f>SUM(AJ57)</f>
        <v>90000000</v>
      </c>
      <c r="AK56" s="133"/>
      <c r="AL56" s="140"/>
      <c r="AM56" s="7"/>
    </row>
    <row r="57" spans="1:76" ht="96" customHeight="1" x14ac:dyDescent="0.2">
      <c r="A57" s="130"/>
      <c r="B57" s="78"/>
      <c r="C57" s="78"/>
      <c r="D57" s="78"/>
      <c r="E57" s="78"/>
      <c r="F57" s="74"/>
      <c r="G57" s="719"/>
      <c r="H57" s="573" t="s">
        <v>181</v>
      </c>
      <c r="I57" s="720" t="s">
        <v>182</v>
      </c>
      <c r="J57" s="573" t="s">
        <v>183</v>
      </c>
      <c r="K57" s="720" t="s">
        <v>182</v>
      </c>
      <c r="L57" s="573" t="s">
        <v>183</v>
      </c>
      <c r="M57" s="721" t="s">
        <v>184</v>
      </c>
      <c r="N57" s="722" t="s">
        <v>185</v>
      </c>
      <c r="O57" s="721" t="s">
        <v>184</v>
      </c>
      <c r="P57" s="722" t="s">
        <v>185</v>
      </c>
      <c r="Q57" s="438" t="s">
        <v>67</v>
      </c>
      <c r="R57" s="701">
        <v>2</v>
      </c>
      <c r="S57" s="702" t="s">
        <v>186</v>
      </c>
      <c r="T57" s="505" t="s">
        <v>187</v>
      </c>
      <c r="U57" s="505" t="s">
        <v>188</v>
      </c>
      <c r="V57" s="135"/>
      <c r="W57" s="135"/>
      <c r="X57" s="135"/>
      <c r="Y57" s="135"/>
      <c r="Z57" s="135"/>
      <c r="AA57" s="135"/>
      <c r="AB57" s="135"/>
      <c r="AC57" s="135"/>
      <c r="AD57" s="135"/>
      <c r="AE57" s="135"/>
      <c r="AF57" s="207">
        <f>30000000+60000000</f>
        <v>90000000</v>
      </c>
      <c r="AG57" s="135"/>
      <c r="AH57" s="135"/>
      <c r="AI57" s="135"/>
      <c r="AJ57" s="313">
        <f>+V57+W57+X57+Y57+Z57+AA57+AB57+AC57+AD57+AE57+AF57+AG57+AH57</f>
        <v>90000000</v>
      </c>
      <c r="AK57" s="160" t="s">
        <v>159</v>
      </c>
      <c r="AL57" s="315" t="s">
        <v>1551</v>
      </c>
      <c r="AM57" s="7"/>
    </row>
    <row r="58" spans="1:76" s="8" customFormat="1" ht="24" customHeight="1" x14ac:dyDescent="0.25">
      <c r="A58" s="115"/>
      <c r="B58" s="70"/>
      <c r="C58" s="70"/>
      <c r="D58" s="64">
        <v>43</v>
      </c>
      <c r="E58" s="62" t="s">
        <v>189</v>
      </c>
      <c r="F58" s="120"/>
      <c r="G58" s="121"/>
      <c r="H58" s="715"/>
      <c r="I58" s="676"/>
      <c r="J58" s="678"/>
      <c r="K58" s="675"/>
      <c r="L58" s="678"/>
      <c r="M58" s="678"/>
      <c r="N58" s="679"/>
      <c r="O58" s="677"/>
      <c r="P58" s="679"/>
      <c r="Q58" s="678"/>
      <c r="R58" s="704"/>
      <c r="S58" s="705"/>
      <c r="T58" s="589"/>
      <c r="U58" s="129"/>
      <c r="V58" s="129">
        <f>V59</f>
        <v>2885783074.3600001</v>
      </c>
      <c r="W58" s="129">
        <f t="shared" ref="W58:AJ58" si="21">W59</f>
        <v>0</v>
      </c>
      <c r="X58" s="129">
        <f t="shared" si="21"/>
        <v>0</v>
      </c>
      <c r="Y58" s="129">
        <f t="shared" si="21"/>
        <v>0</v>
      </c>
      <c r="Z58" s="129">
        <f t="shared" si="21"/>
        <v>0</v>
      </c>
      <c r="AA58" s="129">
        <f t="shared" si="21"/>
        <v>0</v>
      </c>
      <c r="AB58" s="129">
        <f t="shared" si="21"/>
        <v>0</v>
      </c>
      <c r="AC58" s="129">
        <f t="shared" si="21"/>
        <v>0</v>
      </c>
      <c r="AD58" s="129">
        <f t="shared" si="21"/>
        <v>0</v>
      </c>
      <c r="AE58" s="129">
        <f t="shared" si="21"/>
        <v>0</v>
      </c>
      <c r="AF58" s="129">
        <f t="shared" si="21"/>
        <v>0</v>
      </c>
      <c r="AG58" s="129">
        <f t="shared" si="21"/>
        <v>0</v>
      </c>
      <c r="AH58" s="129">
        <f t="shared" si="21"/>
        <v>0</v>
      </c>
      <c r="AI58" s="129"/>
      <c r="AJ58" s="129">
        <f t="shared" si="21"/>
        <v>2885783074.3600001</v>
      </c>
      <c r="AK58" s="153"/>
      <c r="AL58" s="153"/>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row>
    <row r="59" spans="1:76" ht="24" customHeight="1" x14ac:dyDescent="0.2">
      <c r="A59" s="130"/>
      <c r="B59" s="78"/>
      <c r="C59" s="78"/>
      <c r="D59" s="78"/>
      <c r="E59" s="78"/>
      <c r="F59" s="138">
        <v>4301</v>
      </c>
      <c r="G59" s="68" t="s">
        <v>190</v>
      </c>
      <c r="H59" s="681"/>
      <c r="I59" s="682"/>
      <c r="J59" s="683"/>
      <c r="K59" s="684"/>
      <c r="L59" s="683"/>
      <c r="M59" s="683"/>
      <c r="N59" s="685"/>
      <c r="O59" s="686"/>
      <c r="P59" s="685"/>
      <c r="Q59" s="685"/>
      <c r="R59" s="686"/>
      <c r="S59" s="688"/>
      <c r="T59" s="592"/>
      <c r="U59" s="132"/>
      <c r="V59" s="133">
        <f t="shared" ref="V59:AJ59" si="22">V60</f>
        <v>2885783074.3600001</v>
      </c>
      <c r="W59" s="133">
        <f t="shared" si="22"/>
        <v>0</v>
      </c>
      <c r="X59" s="133">
        <f t="shared" si="22"/>
        <v>0</v>
      </c>
      <c r="Y59" s="133">
        <f t="shared" si="22"/>
        <v>0</v>
      </c>
      <c r="Z59" s="133">
        <f t="shared" si="22"/>
        <v>0</v>
      </c>
      <c r="AA59" s="133">
        <f t="shared" si="22"/>
        <v>0</v>
      </c>
      <c r="AB59" s="133">
        <f t="shared" si="22"/>
        <v>0</v>
      </c>
      <c r="AC59" s="133">
        <f t="shared" si="22"/>
        <v>0</v>
      </c>
      <c r="AD59" s="133">
        <f t="shared" si="22"/>
        <v>0</v>
      </c>
      <c r="AE59" s="133">
        <f t="shared" si="22"/>
        <v>0</v>
      </c>
      <c r="AF59" s="133">
        <f t="shared" si="22"/>
        <v>0</v>
      </c>
      <c r="AG59" s="133">
        <f t="shared" si="22"/>
        <v>0</v>
      </c>
      <c r="AH59" s="133">
        <f t="shared" si="22"/>
        <v>0</v>
      </c>
      <c r="AI59" s="133"/>
      <c r="AJ59" s="133">
        <f t="shared" si="22"/>
        <v>2885783074.3600001</v>
      </c>
      <c r="AK59" s="133"/>
      <c r="AL59" s="140"/>
      <c r="AM59" s="7"/>
    </row>
    <row r="60" spans="1:76" ht="161.25" customHeight="1" x14ac:dyDescent="0.2">
      <c r="A60" s="130"/>
      <c r="B60" s="78"/>
      <c r="C60" s="78"/>
      <c r="D60" s="78"/>
      <c r="E60" s="78"/>
      <c r="F60" s="74"/>
      <c r="G60" s="437"/>
      <c r="H60" s="573" t="s">
        <v>191</v>
      </c>
      <c r="I60" s="698" t="s">
        <v>46</v>
      </c>
      <c r="J60" s="717" t="s">
        <v>192</v>
      </c>
      <c r="K60" s="718">
        <v>4301004</v>
      </c>
      <c r="L60" s="717" t="s">
        <v>193</v>
      </c>
      <c r="M60" s="698" t="s">
        <v>46</v>
      </c>
      <c r="N60" s="717" t="s">
        <v>194</v>
      </c>
      <c r="O60" s="718">
        <v>430100401</v>
      </c>
      <c r="P60" s="717" t="s">
        <v>195</v>
      </c>
      <c r="Q60" s="438" t="s">
        <v>67</v>
      </c>
      <c r="R60" s="701">
        <v>3</v>
      </c>
      <c r="S60" s="702" t="s">
        <v>196</v>
      </c>
      <c r="T60" s="505" t="s">
        <v>197</v>
      </c>
      <c r="U60" s="505" t="s">
        <v>198</v>
      </c>
      <c r="V60" s="162">
        <f>1800000000+16073375+20000000+1049709699.36</f>
        <v>2885783074.3600001</v>
      </c>
      <c r="W60" s="135"/>
      <c r="X60" s="135"/>
      <c r="Y60" s="135"/>
      <c r="Z60" s="135"/>
      <c r="AA60" s="135"/>
      <c r="AB60" s="135"/>
      <c r="AC60" s="135"/>
      <c r="AD60" s="135"/>
      <c r="AE60" s="135"/>
      <c r="AF60" s="145"/>
      <c r="AG60" s="135"/>
      <c r="AH60" s="135"/>
      <c r="AI60" s="135"/>
      <c r="AJ60" s="136">
        <f>+V60+W60+X60+Y60+Z60+AA60+AB60+AC60+AD60+AE60+AF60+AG60+AH60</f>
        <v>2885783074.3600001</v>
      </c>
      <c r="AK60" s="160" t="s">
        <v>159</v>
      </c>
      <c r="AL60" s="315" t="s">
        <v>1551</v>
      </c>
      <c r="AM60" s="7"/>
    </row>
    <row r="61" spans="1:76" ht="24" customHeight="1" x14ac:dyDescent="0.2">
      <c r="A61" s="130"/>
      <c r="B61" s="116">
        <v>3</v>
      </c>
      <c r="C61" s="116"/>
      <c r="D61" s="63" t="s">
        <v>199</v>
      </c>
      <c r="E61" s="157"/>
      <c r="F61" s="163"/>
      <c r="G61" s="665"/>
      <c r="H61" s="666"/>
      <c r="I61" s="666"/>
      <c r="J61" s="667"/>
      <c r="K61" s="668"/>
      <c r="L61" s="667"/>
      <c r="M61" s="667"/>
      <c r="N61" s="669"/>
      <c r="O61" s="670"/>
      <c r="P61" s="669"/>
      <c r="Q61" s="703"/>
      <c r="R61" s="670"/>
      <c r="S61" s="672"/>
      <c r="T61" s="167"/>
      <c r="U61" s="169"/>
      <c r="V61" s="119">
        <f>V62+V67+V71</f>
        <v>705000000.10000002</v>
      </c>
      <c r="W61" s="119">
        <f t="shared" ref="W61:AH61" si="23">W62+W67+W71</f>
        <v>0</v>
      </c>
      <c r="X61" s="119">
        <f t="shared" si="23"/>
        <v>56108067</v>
      </c>
      <c r="Y61" s="119">
        <f t="shared" si="23"/>
        <v>0</v>
      </c>
      <c r="Z61" s="119">
        <f t="shared" si="23"/>
        <v>0</v>
      </c>
      <c r="AA61" s="119">
        <f t="shared" si="23"/>
        <v>0</v>
      </c>
      <c r="AB61" s="119">
        <f t="shared" si="23"/>
        <v>0</v>
      </c>
      <c r="AC61" s="119">
        <f t="shared" si="23"/>
        <v>0</v>
      </c>
      <c r="AD61" s="119">
        <f t="shared" si="23"/>
        <v>0</v>
      </c>
      <c r="AE61" s="119">
        <f t="shared" si="23"/>
        <v>2895159641.6800003</v>
      </c>
      <c r="AF61" s="119">
        <f t="shared" si="23"/>
        <v>3010689004</v>
      </c>
      <c r="AG61" s="119">
        <f t="shared" si="23"/>
        <v>0</v>
      </c>
      <c r="AH61" s="119">
        <f t="shared" si="23"/>
        <v>4000000000</v>
      </c>
      <c r="AI61" s="119"/>
      <c r="AJ61" s="119">
        <f>AJ62+AJ67+AJ71</f>
        <v>10666956712.780001</v>
      </c>
      <c r="AK61" s="119">
        <f>AK63+AK68+AK72+AK74</f>
        <v>0</v>
      </c>
      <c r="AL61" s="152"/>
      <c r="AM61" s="7"/>
    </row>
    <row r="62" spans="1:76" s="8" customFormat="1" ht="24" customHeight="1" x14ac:dyDescent="0.25">
      <c r="A62" s="115"/>
      <c r="B62" s="70"/>
      <c r="C62" s="70"/>
      <c r="D62" s="64">
        <v>24</v>
      </c>
      <c r="E62" s="62" t="s">
        <v>200</v>
      </c>
      <c r="F62" s="120"/>
      <c r="G62" s="673"/>
      <c r="H62" s="676"/>
      <c r="I62" s="676"/>
      <c r="J62" s="678"/>
      <c r="K62" s="675"/>
      <c r="L62" s="678"/>
      <c r="M62" s="678"/>
      <c r="N62" s="679"/>
      <c r="O62" s="677"/>
      <c r="P62" s="679"/>
      <c r="Q62" s="678"/>
      <c r="R62" s="704"/>
      <c r="S62" s="705"/>
      <c r="T62" s="125"/>
      <c r="U62" s="170"/>
      <c r="V62" s="129">
        <f>V63</f>
        <v>0</v>
      </c>
      <c r="W62" s="129">
        <f t="shared" ref="W62:AJ62" si="24">W63</f>
        <v>0</v>
      </c>
      <c r="X62" s="129">
        <f t="shared" si="24"/>
        <v>0</v>
      </c>
      <c r="Y62" s="129">
        <f t="shared" si="24"/>
        <v>0</v>
      </c>
      <c r="Z62" s="129">
        <f t="shared" si="24"/>
        <v>0</v>
      </c>
      <c r="AA62" s="129">
        <f t="shared" si="24"/>
        <v>0</v>
      </c>
      <c r="AB62" s="129">
        <f t="shared" si="24"/>
        <v>0</v>
      </c>
      <c r="AC62" s="129">
        <f t="shared" si="24"/>
        <v>0</v>
      </c>
      <c r="AD62" s="129">
        <f t="shared" si="24"/>
        <v>0</v>
      </c>
      <c r="AE62" s="129">
        <f t="shared" si="24"/>
        <v>0</v>
      </c>
      <c r="AF62" s="129">
        <f t="shared" si="24"/>
        <v>783689004</v>
      </c>
      <c r="AG62" s="129">
        <f t="shared" si="24"/>
        <v>0</v>
      </c>
      <c r="AH62" s="129">
        <f t="shared" si="24"/>
        <v>4000000000</v>
      </c>
      <c r="AI62" s="129"/>
      <c r="AJ62" s="129">
        <f t="shared" si="24"/>
        <v>4783689004</v>
      </c>
      <c r="AK62" s="153"/>
      <c r="AL62" s="153"/>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row>
    <row r="63" spans="1:76" ht="24" customHeight="1" x14ac:dyDescent="0.2">
      <c r="A63" s="130"/>
      <c r="B63" s="78"/>
      <c r="C63" s="78"/>
      <c r="D63" s="78"/>
      <c r="E63" s="78"/>
      <c r="F63" s="644">
        <v>2402</v>
      </c>
      <c r="G63" s="681" t="s">
        <v>201</v>
      </c>
      <c r="H63" s="682"/>
      <c r="I63" s="682"/>
      <c r="J63" s="683"/>
      <c r="K63" s="684"/>
      <c r="L63" s="683"/>
      <c r="M63" s="683"/>
      <c r="N63" s="685"/>
      <c r="O63" s="686"/>
      <c r="P63" s="685"/>
      <c r="Q63" s="690"/>
      <c r="R63" s="686"/>
      <c r="S63" s="688"/>
      <c r="T63" s="172"/>
      <c r="U63" s="173"/>
      <c r="V63" s="133">
        <f>SUM(V64:V66)</f>
        <v>0</v>
      </c>
      <c r="W63" s="133">
        <f t="shared" ref="W63:AJ63" si="25">SUM(W64:W66)</f>
        <v>0</v>
      </c>
      <c r="X63" s="133">
        <f t="shared" si="25"/>
        <v>0</v>
      </c>
      <c r="Y63" s="133">
        <f t="shared" si="25"/>
        <v>0</v>
      </c>
      <c r="Z63" s="133">
        <f t="shared" si="25"/>
        <v>0</v>
      </c>
      <c r="AA63" s="133">
        <f t="shared" si="25"/>
        <v>0</v>
      </c>
      <c r="AB63" s="133">
        <f t="shared" si="25"/>
        <v>0</v>
      </c>
      <c r="AC63" s="133">
        <f t="shared" si="25"/>
        <v>0</v>
      </c>
      <c r="AD63" s="133">
        <f t="shared" si="25"/>
        <v>0</v>
      </c>
      <c r="AE63" s="133">
        <f t="shared" si="25"/>
        <v>0</v>
      </c>
      <c r="AF63" s="133">
        <f t="shared" si="25"/>
        <v>783689004</v>
      </c>
      <c r="AG63" s="133">
        <f t="shared" si="25"/>
        <v>0</v>
      </c>
      <c r="AH63" s="133">
        <f t="shared" si="25"/>
        <v>4000000000</v>
      </c>
      <c r="AI63" s="133"/>
      <c r="AJ63" s="133">
        <f t="shared" si="25"/>
        <v>4783689004</v>
      </c>
      <c r="AK63" s="133"/>
      <c r="AL63" s="140"/>
      <c r="AM63" s="7"/>
    </row>
    <row r="64" spans="1:76" ht="125.25" customHeight="1" x14ac:dyDescent="0.2">
      <c r="A64" s="130"/>
      <c r="B64" s="78"/>
      <c r="C64" s="78"/>
      <c r="D64" s="78"/>
      <c r="E64" s="78"/>
      <c r="F64" s="74"/>
      <c r="G64" s="439"/>
      <c r="H64" s="567" t="s">
        <v>202</v>
      </c>
      <c r="I64" s="427" t="s">
        <v>46</v>
      </c>
      <c r="J64" s="716" t="s">
        <v>203</v>
      </c>
      <c r="K64" s="707">
        <v>2402022</v>
      </c>
      <c r="L64" s="716" t="s">
        <v>204</v>
      </c>
      <c r="M64" s="427" t="s">
        <v>46</v>
      </c>
      <c r="N64" s="689" t="s">
        <v>205</v>
      </c>
      <c r="O64" s="707">
        <v>240202200</v>
      </c>
      <c r="P64" s="689" t="s">
        <v>206</v>
      </c>
      <c r="Q64" s="569" t="s">
        <v>51</v>
      </c>
      <c r="R64" s="531">
        <v>1</v>
      </c>
      <c r="S64" s="978" t="s">
        <v>207</v>
      </c>
      <c r="T64" s="963" t="s">
        <v>208</v>
      </c>
      <c r="U64" s="963" t="s">
        <v>209</v>
      </c>
      <c r="V64" s="135"/>
      <c r="W64" s="135"/>
      <c r="X64" s="175"/>
      <c r="Y64" s="135"/>
      <c r="Z64" s="135"/>
      <c r="AA64" s="135"/>
      <c r="AB64" s="135"/>
      <c r="AC64" s="135"/>
      <c r="AD64" s="135"/>
      <c r="AE64" s="135"/>
      <c r="AF64" s="176">
        <v>100000000</v>
      </c>
      <c r="AG64" s="135"/>
      <c r="AH64" s="135"/>
      <c r="AI64" s="135"/>
      <c r="AJ64" s="136">
        <f>+V64+W64+X64+Y64+Z64+AA64+AB64+AC64+AD64+AE64+AF64+AG64+AH64</f>
        <v>100000000</v>
      </c>
      <c r="AK64" s="160" t="s">
        <v>159</v>
      </c>
      <c r="AL64" s="315" t="s">
        <v>1551</v>
      </c>
      <c r="AM64" s="7"/>
    </row>
    <row r="65" spans="1:76" ht="144.75" customHeight="1" x14ac:dyDescent="0.2">
      <c r="A65" s="130"/>
      <c r="B65" s="78"/>
      <c r="C65" s="78"/>
      <c r="D65" s="78"/>
      <c r="E65" s="78"/>
      <c r="F65" s="74"/>
      <c r="G65" s="513"/>
      <c r="H65" s="518" t="s">
        <v>202</v>
      </c>
      <c r="I65" s="69" t="s">
        <v>46</v>
      </c>
      <c r="J65" s="98" t="s">
        <v>210</v>
      </c>
      <c r="K65" s="94">
        <v>2402041</v>
      </c>
      <c r="L65" s="98" t="s">
        <v>211</v>
      </c>
      <c r="M65" s="69" t="s">
        <v>46</v>
      </c>
      <c r="N65" s="518" t="s">
        <v>212</v>
      </c>
      <c r="O65" s="77">
        <v>240204100</v>
      </c>
      <c r="P65" s="518" t="s">
        <v>213</v>
      </c>
      <c r="Q65" s="513" t="s">
        <v>51</v>
      </c>
      <c r="R65" s="174">
        <v>130</v>
      </c>
      <c r="S65" s="970"/>
      <c r="T65" s="963"/>
      <c r="U65" s="963"/>
      <c r="V65" s="135"/>
      <c r="W65" s="135"/>
      <c r="X65" s="161"/>
      <c r="Y65" s="135"/>
      <c r="Z65" s="135"/>
      <c r="AA65" s="135"/>
      <c r="AB65" s="135"/>
      <c r="AC65" s="135"/>
      <c r="AD65" s="135"/>
      <c r="AE65" s="135"/>
      <c r="AF65" s="176">
        <f>250000000+393689004</f>
        <v>643689004</v>
      </c>
      <c r="AG65" s="135"/>
      <c r="AH65" s="211">
        <v>4000000000</v>
      </c>
      <c r="AI65" s="135"/>
      <c r="AJ65" s="136">
        <f>+V65+W65+X65+Y65+Z65+AA65+AB65+AC65+AD65+AE65+AF65+AG65+AH65</f>
        <v>4643689004</v>
      </c>
      <c r="AK65" s="160" t="s">
        <v>159</v>
      </c>
      <c r="AL65" s="315" t="s">
        <v>1551</v>
      </c>
      <c r="AM65" s="7"/>
    </row>
    <row r="66" spans="1:76" ht="121.5" customHeight="1" x14ac:dyDescent="0.2">
      <c r="A66" s="130"/>
      <c r="B66" s="78"/>
      <c r="C66" s="78"/>
      <c r="D66" s="78"/>
      <c r="E66" s="78"/>
      <c r="F66" s="74"/>
      <c r="G66" s="437"/>
      <c r="H66" s="692" t="s">
        <v>202</v>
      </c>
      <c r="I66" s="93" t="s">
        <v>46</v>
      </c>
      <c r="J66" s="563" t="s">
        <v>214</v>
      </c>
      <c r="K66" s="93">
        <v>2402118</v>
      </c>
      <c r="L66" s="563" t="s">
        <v>215</v>
      </c>
      <c r="M66" s="93" t="s">
        <v>46</v>
      </c>
      <c r="N66" s="570" t="s">
        <v>216</v>
      </c>
      <c r="O66" s="93">
        <v>240211800</v>
      </c>
      <c r="P66" s="739" t="s">
        <v>217</v>
      </c>
      <c r="Q66" s="437" t="s">
        <v>67</v>
      </c>
      <c r="R66" s="223">
        <v>6</v>
      </c>
      <c r="S66" s="568" t="s">
        <v>218</v>
      </c>
      <c r="T66" s="509" t="s">
        <v>219</v>
      </c>
      <c r="U66" s="509" t="s">
        <v>220</v>
      </c>
      <c r="V66" s="135"/>
      <c r="W66" s="135"/>
      <c r="X66" s="175"/>
      <c r="Y66" s="135"/>
      <c r="Z66" s="135"/>
      <c r="AA66" s="135"/>
      <c r="AB66" s="135"/>
      <c r="AC66" s="135"/>
      <c r="AD66" s="135"/>
      <c r="AE66" s="135"/>
      <c r="AF66" s="176">
        <v>40000000</v>
      </c>
      <c r="AG66" s="135"/>
      <c r="AH66" s="135"/>
      <c r="AI66" s="135"/>
      <c r="AJ66" s="136">
        <f>+V66+W66+X66+Y66+Z66+AA66+AB66+AC66+AD66+AE66+AF66+AG66+AH66</f>
        <v>40000000</v>
      </c>
      <c r="AK66" s="160" t="s">
        <v>159</v>
      </c>
      <c r="AL66" s="315" t="s">
        <v>1551</v>
      </c>
      <c r="AM66" s="7"/>
    </row>
    <row r="67" spans="1:76" s="8" customFormat="1" ht="24" customHeight="1" x14ac:dyDescent="0.25">
      <c r="A67" s="115"/>
      <c r="B67" s="70"/>
      <c r="C67" s="70"/>
      <c r="D67" s="64">
        <v>32</v>
      </c>
      <c r="E67" s="62" t="s">
        <v>221</v>
      </c>
      <c r="F67" s="120"/>
      <c r="G67" s="673"/>
      <c r="H67" s="676"/>
      <c r="I67" s="676"/>
      <c r="J67" s="678"/>
      <c r="K67" s="675"/>
      <c r="L67" s="678"/>
      <c r="M67" s="678"/>
      <c r="N67" s="679"/>
      <c r="O67" s="677"/>
      <c r="P67" s="679"/>
      <c r="Q67" s="678"/>
      <c r="R67" s="704"/>
      <c r="S67" s="705"/>
      <c r="T67" s="589"/>
      <c r="U67" s="129"/>
      <c r="V67" s="129">
        <f>V68</f>
        <v>0</v>
      </c>
      <c r="W67" s="129">
        <f t="shared" ref="W67:AJ67" si="26">W68</f>
        <v>0</v>
      </c>
      <c r="X67" s="129">
        <f t="shared" si="26"/>
        <v>56108067</v>
      </c>
      <c r="Y67" s="129">
        <f t="shared" si="26"/>
        <v>0</v>
      </c>
      <c r="Z67" s="129">
        <f t="shared" si="26"/>
        <v>0</v>
      </c>
      <c r="AA67" s="129">
        <f t="shared" si="26"/>
        <v>0</v>
      </c>
      <c r="AB67" s="129">
        <f t="shared" si="26"/>
        <v>0</v>
      </c>
      <c r="AC67" s="129">
        <f t="shared" si="26"/>
        <v>0</v>
      </c>
      <c r="AD67" s="129">
        <f t="shared" si="26"/>
        <v>0</v>
      </c>
      <c r="AE67" s="129">
        <f t="shared" si="26"/>
        <v>0</v>
      </c>
      <c r="AF67" s="129">
        <f t="shared" si="26"/>
        <v>2207000000</v>
      </c>
      <c r="AG67" s="129">
        <f t="shared" si="26"/>
        <v>0</v>
      </c>
      <c r="AH67" s="129">
        <f t="shared" si="26"/>
        <v>0</v>
      </c>
      <c r="AI67" s="129"/>
      <c r="AJ67" s="129">
        <f t="shared" si="26"/>
        <v>2263108067</v>
      </c>
      <c r="AK67" s="153"/>
      <c r="AL67" s="153"/>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row>
    <row r="68" spans="1:76" ht="24" customHeight="1" x14ac:dyDescent="0.2">
      <c r="A68" s="130"/>
      <c r="B68" s="78"/>
      <c r="C68" s="78"/>
      <c r="D68" s="78"/>
      <c r="E68" s="78"/>
      <c r="F68" s="644">
        <v>3205</v>
      </c>
      <c r="G68" s="681" t="s">
        <v>222</v>
      </c>
      <c r="H68" s="682"/>
      <c r="I68" s="682"/>
      <c r="J68" s="682"/>
      <c r="K68" s="682"/>
      <c r="L68" s="682"/>
      <c r="M68" s="682"/>
      <c r="N68" s="685"/>
      <c r="O68" s="686"/>
      <c r="P68" s="685"/>
      <c r="Q68" s="690"/>
      <c r="R68" s="686"/>
      <c r="S68" s="688"/>
      <c r="T68" s="592"/>
      <c r="U68" s="132"/>
      <c r="V68" s="133">
        <f>SUM(V69:V70)</f>
        <v>0</v>
      </c>
      <c r="W68" s="133">
        <f t="shared" ref="W68:AJ68" si="27">SUM(W69:W70)</f>
        <v>0</v>
      </c>
      <c r="X68" s="133">
        <f t="shared" si="27"/>
        <v>56108067</v>
      </c>
      <c r="Y68" s="133">
        <f t="shared" si="27"/>
        <v>0</v>
      </c>
      <c r="Z68" s="133">
        <f t="shared" si="27"/>
        <v>0</v>
      </c>
      <c r="AA68" s="133">
        <f t="shared" si="27"/>
        <v>0</v>
      </c>
      <c r="AB68" s="133">
        <f t="shared" si="27"/>
        <v>0</v>
      </c>
      <c r="AC68" s="133">
        <f t="shared" si="27"/>
        <v>0</v>
      </c>
      <c r="AD68" s="133">
        <f t="shared" si="27"/>
        <v>0</v>
      </c>
      <c r="AE68" s="133">
        <f t="shared" si="27"/>
        <v>0</v>
      </c>
      <c r="AF68" s="133">
        <f t="shared" si="27"/>
        <v>2207000000</v>
      </c>
      <c r="AG68" s="133">
        <f t="shared" si="27"/>
        <v>0</v>
      </c>
      <c r="AH68" s="133">
        <f t="shared" si="27"/>
        <v>0</v>
      </c>
      <c r="AI68" s="133"/>
      <c r="AJ68" s="133">
        <f t="shared" si="27"/>
        <v>2263108067</v>
      </c>
      <c r="AK68" s="133"/>
      <c r="AL68" s="140"/>
      <c r="AM68" s="7"/>
    </row>
    <row r="69" spans="1:76" ht="135" customHeight="1" x14ac:dyDescent="0.2">
      <c r="A69" s="130"/>
      <c r="B69" s="78"/>
      <c r="C69" s="78"/>
      <c r="D69" s="78"/>
      <c r="E69" s="78"/>
      <c r="F69" s="74"/>
      <c r="G69" s="439"/>
      <c r="H69" s="567" t="s">
        <v>223</v>
      </c>
      <c r="I69" s="104">
        <v>3205010</v>
      </c>
      <c r="J69" s="567" t="s">
        <v>224</v>
      </c>
      <c r="K69" s="104">
        <v>3205010</v>
      </c>
      <c r="L69" s="567" t="s">
        <v>224</v>
      </c>
      <c r="M69" s="104" t="s">
        <v>225</v>
      </c>
      <c r="N69" s="571" t="s">
        <v>226</v>
      </c>
      <c r="O69" s="104" t="s">
        <v>225</v>
      </c>
      <c r="P69" s="571" t="s">
        <v>226</v>
      </c>
      <c r="Q69" s="263" t="s">
        <v>67</v>
      </c>
      <c r="R69" s="202">
        <v>2</v>
      </c>
      <c r="S69" s="569" t="s">
        <v>227</v>
      </c>
      <c r="T69" s="505" t="s">
        <v>228</v>
      </c>
      <c r="U69" s="505" t="s">
        <v>229</v>
      </c>
      <c r="V69" s="135">
        <v>0</v>
      </c>
      <c r="W69" s="135">
        <v>0</v>
      </c>
      <c r="X69" s="175">
        <v>0</v>
      </c>
      <c r="Y69" s="135">
        <v>0</v>
      </c>
      <c r="Z69" s="135">
        <v>0</v>
      </c>
      <c r="AA69" s="135">
        <v>0</v>
      </c>
      <c r="AB69" s="135">
        <v>0</v>
      </c>
      <c r="AC69" s="135">
        <v>0</v>
      </c>
      <c r="AD69" s="135">
        <v>0</v>
      </c>
      <c r="AE69" s="135">
        <v>0</v>
      </c>
      <c r="AF69" s="208">
        <v>1418800000</v>
      </c>
      <c r="AG69" s="135">
        <v>0</v>
      </c>
      <c r="AH69" s="135">
        <v>0</v>
      </c>
      <c r="AI69" s="135"/>
      <c r="AJ69" s="136">
        <f>+V69+W69+X69+Y69+Z69+AA69+AB69+AC69+AD69+AE69+AF69+AG69+AH69</f>
        <v>1418800000</v>
      </c>
      <c r="AK69" s="160" t="s">
        <v>159</v>
      </c>
      <c r="AL69" s="315" t="s">
        <v>1551</v>
      </c>
      <c r="AM69" s="7"/>
    </row>
    <row r="70" spans="1:76" ht="157.5" customHeight="1" x14ac:dyDescent="0.2">
      <c r="A70" s="130"/>
      <c r="B70" s="78"/>
      <c r="C70" s="78"/>
      <c r="D70" s="78"/>
      <c r="E70" s="78"/>
      <c r="F70" s="74"/>
      <c r="G70" s="513"/>
      <c r="H70" s="566" t="s">
        <v>230</v>
      </c>
      <c r="I70" s="693">
        <v>3205021</v>
      </c>
      <c r="J70" s="566" t="s">
        <v>231</v>
      </c>
      <c r="K70" s="693">
        <v>3205021</v>
      </c>
      <c r="L70" s="566" t="s">
        <v>231</v>
      </c>
      <c r="M70" s="693">
        <v>320502100</v>
      </c>
      <c r="N70" s="570" t="s">
        <v>232</v>
      </c>
      <c r="O70" s="693">
        <v>320502100</v>
      </c>
      <c r="P70" s="570" t="s">
        <v>232</v>
      </c>
      <c r="Q70" s="711" t="s">
        <v>67</v>
      </c>
      <c r="R70" s="223">
        <v>2</v>
      </c>
      <c r="S70" s="568" t="s">
        <v>233</v>
      </c>
      <c r="T70" s="505" t="s">
        <v>234</v>
      </c>
      <c r="U70" s="505" t="s">
        <v>235</v>
      </c>
      <c r="V70" s="135"/>
      <c r="W70" s="135"/>
      <c r="X70" s="175">
        <v>56108067</v>
      </c>
      <c r="Y70" s="135"/>
      <c r="Z70" s="135"/>
      <c r="AA70" s="135"/>
      <c r="AB70" s="135"/>
      <c r="AC70" s="135"/>
      <c r="AD70" s="135"/>
      <c r="AE70" s="135"/>
      <c r="AF70" s="208">
        <v>788200000</v>
      </c>
      <c r="AG70" s="135"/>
      <c r="AH70" s="135"/>
      <c r="AI70" s="135"/>
      <c r="AJ70" s="136">
        <f>+V70+W70+X70+Y70+Z70+AA70+AB70+AC70+AD70+AE70+AF70+AG70+AH70</f>
        <v>844308067</v>
      </c>
      <c r="AK70" s="160" t="s">
        <v>159</v>
      </c>
      <c r="AL70" s="315" t="s">
        <v>1551</v>
      </c>
      <c r="AM70" s="7"/>
    </row>
    <row r="71" spans="1:76" s="8" customFormat="1" ht="24" customHeight="1" x14ac:dyDescent="0.25">
      <c r="A71" s="115"/>
      <c r="B71" s="70"/>
      <c r="C71" s="70"/>
      <c r="D71" s="379">
        <v>40</v>
      </c>
      <c r="E71" s="62" t="s">
        <v>236</v>
      </c>
      <c r="F71" s="120"/>
      <c r="G71" s="121"/>
      <c r="H71" s="715"/>
      <c r="I71" s="676"/>
      <c r="J71" s="678"/>
      <c r="K71" s="675"/>
      <c r="L71" s="678"/>
      <c r="M71" s="678"/>
      <c r="N71" s="679"/>
      <c r="O71" s="677"/>
      <c r="P71" s="679"/>
      <c r="Q71" s="678"/>
      <c r="R71" s="704"/>
      <c r="S71" s="705"/>
      <c r="T71" s="589"/>
      <c r="U71" s="129"/>
      <c r="V71" s="129">
        <f>V72+V74</f>
        <v>705000000.10000002</v>
      </c>
      <c r="W71" s="129">
        <f t="shared" ref="W71:AJ71" si="28">W72+W74</f>
        <v>0</v>
      </c>
      <c r="X71" s="129">
        <f t="shared" si="28"/>
        <v>0</v>
      </c>
      <c r="Y71" s="129">
        <f t="shared" si="28"/>
        <v>0</v>
      </c>
      <c r="Z71" s="129">
        <f t="shared" si="28"/>
        <v>0</v>
      </c>
      <c r="AA71" s="129">
        <f t="shared" si="28"/>
        <v>0</v>
      </c>
      <c r="AB71" s="129">
        <f t="shared" si="28"/>
        <v>0</v>
      </c>
      <c r="AC71" s="129">
        <f t="shared" si="28"/>
        <v>0</v>
      </c>
      <c r="AD71" s="129">
        <f t="shared" si="28"/>
        <v>0</v>
      </c>
      <c r="AE71" s="129">
        <f t="shared" si="28"/>
        <v>2895159641.6800003</v>
      </c>
      <c r="AF71" s="129">
        <f t="shared" si="28"/>
        <v>20000000</v>
      </c>
      <c r="AG71" s="129">
        <f t="shared" si="28"/>
        <v>0</v>
      </c>
      <c r="AH71" s="129">
        <f t="shared" si="28"/>
        <v>0</v>
      </c>
      <c r="AI71" s="129"/>
      <c r="AJ71" s="129">
        <f t="shared" si="28"/>
        <v>3620159641.7800002</v>
      </c>
      <c r="AK71" s="153"/>
      <c r="AL71" s="153"/>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row>
    <row r="72" spans="1:76" ht="24" customHeight="1" x14ac:dyDescent="0.2">
      <c r="A72" s="130"/>
      <c r="B72" s="78"/>
      <c r="C72" s="78"/>
      <c r="D72" s="78"/>
      <c r="E72" s="78"/>
      <c r="F72" s="138">
        <v>4001</v>
      </c>
      <c r="G72" s="68" t="s">
        <v>237</v>
      </c>
      <c r="H72" s="681"/>
      <c r="I72" s="682"/>
      <c r="J72" s="683"/>
      <c r="K72" s="684"/>
      <c r="L72" s="683"/>
      <c r="M72" s="683"/>
      <c r="N72" s="685"/>
      <c r="O72" s="686"/>
      <c r="P72" s="685"/>
      <c r="Q72" s="690"/>
      <c r="R72" s="686"/>
      <c r="S72" s="688"/>
      <c r="T72" s="592"/>
      <c r="U72" s="132"/>
      <c r="V72" s="133">
        <f>V73</f>
        <v>100000000.09999999</v>
      </c>
      <c r="W72" s="133">
        <f t="shared" ref="W72:AJ72" si="29">W73</f>
        <v>0</v>
      </c>
      <c r="X72" s="133">
        <f t="shared" si="29"/>
        <v>0</v>
      </c>
      <c r="Y72" s="133">
        <f t="shared" si="29"/>
        <v>0</v>
      </c>
      <c r="Z72" s="133">
        <f t="shared" si="29"/>
        <v>0</v>
      </c>
      <c r="AA72" s="133">
        <f t="shared" si="29"/>
        <v>0</v>
      </c>
      <c r="AB72" s="133">
        <f t="shared" si="29"/>
        <v>0</v>
      </c>
      <c r="AC72" s="133">
        <f t="shared" si="29"/>
        <v>0</v>
      </c>
      <c r="AD72" s="133">
        <f t="shared" si="29"/>
        <v>0</v>
      </c>
      <c r="AE72" s="133">
        <f t="shared" si="29"/>
        <v>0</v>
      </c>
      <c r="AF72" s="133">
        <f t="shared" si="29"/>
        <v>20000000</v>
      </c>
      <c r="AG72" s="133">
        <f t="shared" si="29"/>
        <v>0</v>
      </c>
      <c r="AH72" s="133">
        <f t="shared" si="29"/>
        <v>0</v>
      </c>
      <c r="AI72" s="133"/>
      <c r="AJ72" s="133">
        <f t="shared" si="29"/>
        <v>120000000.09999999</v>
      </c>
      <c r="AK72" s="133"/>
      <c r="AL72" s="140"/>
      <c r="AM72" s="7"/>
    </row>
    <row r="73" spans="1:76" ht="126.75" customHeight="1" x14ac:dyDescent="0.2">
      <c r="A73" s="130"/>
      <c r="B73" s="78"/>
      <c r="C73" s="78"/>
      <c r="D73" s="78"/>
      <c r="E73" s="78"/>
      <c r="F73" s="74"/>
      <c r="G73" s="513"/>
      <c r="H73" s="573" t="s">
        <v>238</v>
      </c>
      <c r="I73" s="712">
        <v>4001015</v>
      </c>
      <c r="J73" s="573" t="s">
        <v>239</v>
      </c>
      <c r="K73" s="712">
        <v>4001015</v>
      </c>
      <c r="L73" s="573" t="s">
        <v>239</v>
      </c>
      <c r="M73" s="713" t="s">
        <v>240</v>
      </c>
      <c r="N73" s="714" t="s">
        <v>241</v>
      </c>
      <c r="O73" s="713" t="s">
        <v>240</v>
      </c>
      <c r="P73" s="714" t="s">
        <v>241</v>
      </c>
      <c r="Q73" s="438" t="s">
        <v>67</v>
      </c>
      <c r="R73" s="701">
        <v>50</v>
      </c>
      <c r="S73" s="702" t="s">
        <v>242</v>
      </c>
      <c r="T73" s="504" t="s">
        <v>243</v>
      </c>
      <c r="U73" s="504" t="s">
        <v>244</v>
      </c>
      <c r="V73" s="135">
        <v>100000000.09999999</v>
      </c>
      <c r="W73" s="135"/>
      <c r="X73" s="175"/>
      <c r="Y73" s="135"/>
      <c r="Z73" s="135"/>
      <c r="AA73" s="135"/>
      <c r="AB73" s="135"/>
      <c r="AC73" s="135"/>
      <c r="AD73" s="135"/>
      <c r="AE73" s="135"/>
      <c r="AF73" s="145">
        <v>20000000</v>
      </c>
      <c r="AG73" s="135"/>
      <c r="AH73" s="135"/>
      <c r="AI73" s="135"/>
      <c r="AJ73" s="136">
        <f>+V73+W73+X73+Y73+Z73+AA73+AB73+AC73+AD73+AE73+AF73+AG73+AH73</f>
        <v>120000000.09999999</v>
      </c>
      <c r="AK73" s="160" t="s">
        <v>159</v>
      </c>
      <c r="AL73" s="315" t="s">
        <v>1551</v>
      </c>
      <c r="AM73" s="7"/>
    </row>
    <row r="74" spans="1:76" ht="24" customHeight="1" x14ac:dyDescent="0.2">
      <c r="A74" s="130"/>
      <c r="B74" s="78"/>
      <c r="C74" s="78"/>
      <c r="D74" s="78"/>
      <c r="E74" s="78"/>
      <c r="F74" s="138">
        <v>4003</v>
      </c>
      <c r="G74" s="68" t="s">
        <v>245</v>
      </c>
      <c r="H74" s="681"/>
      <c r="I74" s="682"/>
      <c r="J74" s="683"/>
      <c r="K74" s="684"/>
      <c r="L74" s="683"/>
      <c r="M74" s="683"/>
      <c r="N74" s="685"/>
      <c r="O74" s="686"/>
      <c r="P74" s="685"/>
      <c r="Q74" s="690"/>
      <c r="R74" s="686"/>
      <c r="S74" s="688"/>
      <c r="T74" s="592"/>
      <c r="U74" s="132"/>
      <c r="V74" s="133">
        <f>SUM(V75:V80)</f>
        <v>605000000</v>
      </c>
      <c r="W74" s="133">
        <f t="shared" ref="W74:AJ74" si="30">SUM(W75:W80)</f>
        <v>0</v>
      </c>
      <c r="X74" s="133">
        <f t="shared" si="30"/>
        <v>0</v>
      </c>
      <c r="Y74" s="133">
        <f t="shared" si="30"/>
        <v>0</v>
      </c>
      <c r="Z74" s="133">
        <f t="shared" si="30"/>
        <v>0</v>
      </c>
      <c r="AA74" s="133">
        <f t="shared" si="30"/>
        <v>0</v>
      </c>
      <c r="AB74" s="133">
        <f t="shared" si="30"/>
        <v>0</v>
      </c>
      <c r="AC74" s="133">
        <f t="shared" si="30"/>
        <v>0</v>
      </c>
      <c r="AD74" s="133">
        <f t="shared" si="30"/>
        <v>0</v>
      </c>
      <c r="AE74" s="133">
        <f t="shared" si="30"/>
        <v>2895159641.6800003</v>
      </c>
      <c r="AF74" s="133">
        <f t="shared" si="30"/>
        <v>0</v>
      </c>
      <c r="AG74" s="133">
        <f t="shared" si="30"/>
        <v>0</v>
      </c>
      <c r="AH74" s="133">
        <f t="shared" si="30"/>
        <v>0</v>
      </c>
      <c r="AI74" s="133"/>
      <c r="AJ74" s="133">
        <f t="shared" si="30"/>
        <v>3500159641.6800003</v>
      </c>
      <c r="AK74" s="133">
        <f>SUM(AK75:AK80)</f>
        <v>0</v>
      </c>
      <c r="AL74" s="140">
        <f>SUM(AL75:AL80)</f>
        <v>0</v>
      </c>
      <c r="AM74" s="7"/>
    </row>
    <row r="75" spans="1:76" ht="117" customHeight="1" x14ac:dyDescent="0.2">
      <c r="A75" s="130"/>
      <c r="B75" s="78"/>
      <c r="C75" s="78"/>
      <c r="D75" s="78"/>
      <c r="E75" s="78"/>
      <c r="F75" s="74"/>
      <c r="G75" s="179"/>
      <c r="H75" s="689" t="s">
        <v>246</v>
      </c>
      <c r="I75" s="104" t="s">
        <v>46</v>
      </c>
      <c r="J75" s="565" t="s">
        <v>247</v>
      </c>
      <c r="K75" s="707">
        <v>4003006</v>
      </c>
      <c r="L75" s="565" t="s">
        <v>248</v>
      </c>
      <c r="M75" s="104" t="s">
        <v>46</v>
      </c>
      <c r="N75" s="708" t="s">
        <v>249</v>
      </c>
      <c r="O75" s="707">
        <v>400300600</v>
      </c>
      <c r="P75" s="708" t="s">
        <v>250</v>
      </c>
      <c r="Q75" s="709" t="s">
        <v>51</v>
      </c>
      <c r="R75" s="710">
        <v>1</v>
      </c>
      <c r="S75" s="975" t="s">
        <v>251</v>
      </c>
      <c r="T75" s="966" t="s">
        <v>252</v>
      </c>
      <c r="U75" s="950" t="s">
        <v>253</v>
      </c>
      <c r="V75" s="135"/>
      <c r="W75" s="135"/>
      <c r="X75" s="175"/>
      <c r="Y75" s="135"/>
      <c r="Z75" s="135"/>
      <c r="AA75" s="135"/>
      <c r="AB75" s="135"/>
      <c r="AC75" s="135"/>
      <c r="AD75" s="135"/>
      <c r="AE75" s="135">
        <v>100000000</v>
      </c>
      <c r="AF75" s="145"/>
      <c r="AG75" s="135"/>
      <c r="AH75" s="135"/>
      <c r="AI75" s="135"/>
      <c r="AJ75" s="136">
        <f t="shared" ref="AJ75:AJ80" si="31">+V75+W75+X75+Y75+Z75+AA75+AB75+AC75+AD75+AE75+AF75+AG75+AH75</f>
        <v>100000000</v>
      </c>
      <c r="AK75" s="160" t="s">
        <v>159</v>
      </c>
      <c r="AL75" s="315" t="s">
        <v>1551</v>
      </c>
      <c r="AM75" s="7"/>
    </row>
    <row r="76" spans="1:76" ht="60" customHeight="1" x14ac:dyDescent="0.2">
      <c r="A76" s="130"/>
      <c r="B76" s="78"/>
      <c r="C76" s="78"/>
      <c r="D76" s="78"/>
      <c r="E76" s="78"/>
      <c r="F76" s="74"/>
      <c r="G76" s="179"/>
      <c r="H76" s="518" t="s">
        <v>254</v>
      </c>
      <c r="I76" s="72">
        <v>4003018</v>
      </c>
      <c r="J76" s="518" t="s">
        <v>255</v>
      </c>
      <c r="K76" s="72">
        <v>4003018</v>
      </c>
      <c r="L76" s="518" t="s">
        <v>255</v>
      </c>
      <c r="M76" s="72">
        <v>400301802</v>
      </c>
      <c r="N76" s="97" t="s">
        <v>256</v>
      </c>
      <c r="O76" s="72">
        <v>400301802</v>
      </c>
      <c r="P76" s="97" t="s">
        <v>256</v>
      </c>
      <c r="Q76" s="513" t="s">
        <v>67</v>
      </c>
      <c r="R76" s="174">
        <v>1</v>
      </c>
      <c r="S76" s="976"/>
      <c r="T76" s="966"/>
      <c r="U76" s="950"/>
      <c r="V76" s="135"/>
      <c r="W76" s="135"/>
      <c r="X76" s="175"/>
      <c r="Y76" s="135"/>
      <c r="Z76" s="135"/>
      <c r="AA76" s="135"/>
      <c r="AB76" s="135"/>
      <c r="AC76" s="135"/>
      <c r="AD76" s="135"/>
      <c r="AE76" s="135">
        <f>729000000+123718865</f>
        <v>852718865</v>
      </c>
      <c r="AF76" s="145"/>
      <c r="AG76" s="135"/>
      <c r="AH76" s="135"/>
      <c r="AI76" s="135"/>
      <c r="AJ76" s="136">
        <f t="shared" si="31"/>
        <v>852718865</v>
      </c>
      <c r="AK76" s="160" t="s">
        <v>159</v>
      </c>
      <c r="AL76" s="315" t="s">
        <v>1551</v>
      </c>
      <c r="AM76" s="7"/>
    </row>
    <row r="77" spans="1:76" ht="67.5" customHeight="1" x14ac:dyDescent="0.2">
      <c r="A77" s="130"/>
      <c r="B77" s="78"/>
      <c r="C77" s="78"/>
      <c r="D77" s="78"/>
      <c r="E77" s="78"/>
      <c r="F77" s="74"/>
      <c r="G77" s="179"/>
      <c r="H77" s="518" t="s">
        <v>246</v>
      </c>
      <c r="I77" s="72">
        <v>4003025</v>
      </c>
      <c r="J77" s="518" t="s">
        <v>257</v>
      </c>
      <c r="K77" s="72">
        <v>4003025</v>
      </c>
      <c r="L77" s="518" t="s">
        <v>257</v>
      </c>
      <c r="M77" s="180">
        <v>400302500</v>
      </c>
      <c r="N77" s="181" t="s">
        <v>258</v>
      </c>
      <c r="O77" s="180">
        <v>400302500</v>
      </c>
      <c r="P77" s="181" t="s">
        <v>258</v>
      </c>
      <c r="Q77" s="182" t="s">
        <v>67</v>
      </c>
      <c r="R77" s="174">
        <v>4</v>
      </c>
      <c r="S77" s="976"/>
      <c r="T77" s="966"/>
      <c r="U77" s="950"/>
      <c r="V77" s="135">
        <f>450000000+155000000</f>
        <v>605000000</v>
      </c>
      <c r="W77" s="135"/>
      <c r="X77" s="175"/>
      <c r="Y77" s="135"/>
      <c r="Z77" s="135"/>
      <c r="AA77" s="135"/>
      <c r="AB77" s="135"/>
      <c r="AC77" s="135"/>
      <c r="AD77" s="135"/>
      <c r="AE77" s="135">
        <v>249204317.68000001</v>
      </c>
      <c r="AF77" s="145"/>
      <c r="AG77" s="135"/>
      <c r="AH77" s="135"/>
      <c r="AI77" s="135"/>
      <c r="AJ77" s="136">
        <f t="shared" si="31"/>
        <v>854204317.68000007</v>
      </c>
      <c r="AK77" s="160" t="s">
        <v>159</v>
      </c>
      <c r="AL77" s="315" t="s">
        <v>1551</v>
      </c>
      <c r="AM77" s="7"/>
    </row>
    <row r="78" spans="1:76" ht="72" customHeight="1" x14ac:dyDescent="0.2">
      <c r="A78" s="130"/>
      <c r="B78" s="78"/>
      <c r="C78" s="78"/>
      <c r="D78" s="78"/>
      <c r="E78" s="78"/>
      <c r="F78" s="74"/>
      <c r="G78" s="179"/>
      <c r="H78" s="518" t="s">
        <v>246</v>
      </c>
      <c r="I78" s="72">
        <v>4003028</v>
      </c>
      <c r="J78" s="518" t="s">
        <v>259</v>
      </c>
      <c r="K78" s="72">
        <v>4003028</v>
      </c>
      <c r="L78" s="518" t="s">
        <v>259</v>
      </c>
      <c r="M78" s="72">
        <v>400302801</v>
      </c>
      <c r="N78" s="97" t="s">
        <v>260</v>
      </c>
      <c r="O78" s="72">
        <v>400302801</v>
      </c>
      <c r="P78" s="97" t="s">
        <v>260</v>
      </c>
      <c r="Q78" s="513" t="s">
        <v>51</v>
      </c>
      <c r="R78" s="174">
        <v>4</v>
      </c>
      <c r="S78" s="976"/>
      <c r="T78" s="966"/>
      <c r="U78" s="950"/>
      <c r="V78" s="135"/>
      <c r="W78" s="135"/>
      <c r="X78" s="175"/>
      <c r="Y78" s="135"/>
      <c r="Z78" s="135"/>
      <c r="AA78" s="135"/>
      <c r="AB78" s="135"/>
      <c r="AC78" s="135"/>
      <c r="AD78" s="135"/>
      <c r="AE78" s="135">
        <v>279000000</v>
      </c>
      <c r="AF78" s="145"/>
      <c r="AG78" s="135"/>
      <c r="AH78" s="135"/>
      <c r="AI78" s="135"/>
      <c r="AJ78" s="136">
        <f t="shared" si="31"/>
        <v>279000000</v>
      </c>
      <c r="AK78" s="160" t="s">
        <v>159</v>
      </c>
      <c r="AL78" s="315" t="s">
        <v>1551</v>
      </c>
      <c r="AM78" s="7"/>
    </row>
    <row r="79" spans="1:76" ht="78.75" customHeight="1" x14ac:dyDescent="0.2">
      <c r="A79" s="130"/>
      <c r="B79" s="78"/>
      <c r="C79" s="78"/>
      <c r="D79" s="78"/>
      <c r="E79" s="78"/>
      <c r="F79" s="74"/>
      <c r="G79" s="179"/>
      <c r="H79" s="518" t="s">
        <v>246</v>
      </c>
      <c r="I79" s="72">
        <v>4003042</v>
      </c>
      <c r="J79" s="518" t="s">
        <v>261</v>
      </c>
      <c r="K79" s="72">
        <v>4003042</v>
      </c>
      <c r="L79" s="518" t="s">
        <v>261</v>
      </c>
      <c r="M79" s="72">
        <v>400304200</v>
      </c>
      <c r="N79" s="97" t="s">
        <v>262</v>
      </c>
      <c r="O79" s="72">
        <v>400304200</v>
      </c>
      <c r="P79" s="97" t="s">
        <v>262</v>
      </c>
      <c r="Q79" s="513" t="s">
        <v>67</v>
      </c>
      <c r="R79" s="174">
        <v>3</v>
      </c>
      <c r="S79" s="976"/>
      <c r="T79" s="966"/>
      <c r="U79" s="950"/>
      <c r="V79" s="135"/>
      <c r="W79" s="135"/>
      <c r="X79" s="175"/>
      <c r="Y79" s="135"/>
      <c r="Z79" s="135"/>
      <c r="AA79" s="135"/>
      <c r="AB79" s="135"/>
      <c r="AC79" s="135"/>
      <c r="AD79" s="135"/>
      <c r="AE79" s="135">
        <v>629000000</v>
      </c>
      <c r="AF79" s="145"/>
      <c r="AG79" s="135"/>
      <c r="AH79" s="135"/>
      <c r="AI79" s="135"/>
      <c r="AJ79" s="136">
        <f t="shared" si="31"/>
        <v>629000000</v>
      </c>
      <c r="AK79" s="160" t="s">
        <v>159</v>
      </c>
      <c r="AL79" s="315" t="s">
        <v>1551</v>
      </c>
      <c r="AM79" s="7"/>
    </row>
    <row r="80" spans="1:76" ht="89.25" customHeight="1" x14ac:dyDescent="0.2">
      <c r="A80" s="130"/>
      <c r="B80" s="78"/>
      <c r="C80" s="78"/>
      <c r="D80" s="78"/>
      <c r="E80" s="78"/>
      <c r="F80" s="74"/>
      <c r="G80" s="691"/>
      <c r="H80" s="692" t="s">
        <v>246</v>
      </c>
      <c r="I80" s="693" t="s">
        <v>263</v>
      </c>
      <c r="J80" s="692" t="s">
        <v>264</v>
      </c>
      <c r="K80" s="693" t="s">
        <v>263</v>
      </c>
      <c r="L80" s="692" t="s">
        <v>264</v>
      </c>
      <c r="M80" s="694">
        <v>400302600</v>
      </c>
      <c r="N80" s="695" t="s">
        <v>265</v>
      </c>
      <c r="O80" s="694">
        <v>400302600</v>
      </c>
      <c r="P80" s="695" t="s">
        <v>265</v>
      </c>
      <c r="Q80" s="530" t="s">
        <v>67</v>
      </c>
      <c r="R80" s="696">
        <v>1</v>
      </c>
      <c r="S80" s="977"/>
      <c r="T80" s="966"/>
      <c r="U80" s="950"/>
      <c r="V80" s="135"/>
      <c r="W80" s="135"/>
      <c r="X80" s="175"/>
      <c r="Y80" s="135"/>
      <c r="Z80" s="135"/>
      <c r="AA80" s="135"/>
      <c r="AB80" s="135"/>
      <c r="AC80" s="135"/>
      <c r="AD80" s="135"/>
      <c r="AE80" s="135">
        <v>785236459</v>
      </c>
      <c r="AF80" s="145"/>
      <c r="AG80" s="135"/>
      <c r="AH80" s="135"/>
      <c r="AI80" s="135"/>
      <c r="AJ80" s="136">
        <f t="shared" si="31"/>
        <v>785236459</v>
      </c>
      <c r="AK80" s="160" t="s">
        <v>159</v>
      </c>
      <c r="AL80" s="315" t="s">
        <v>1551</v>
      </c>
      <c r="AM80" s="7"/>
    </row>
    <row r="81" spans="1:77" ht="24" customHeight="1" x14ac:dyDescent="0.2">
      <c r="A81" s="130"/>
      <c r="B81" s="116">
        <v>4</v>
      </c>
      <c r="C81" s="116"/>
      <c r="D81" s="61" t="s">
        <v>42</v>
      </c>
      <c r="E81" s="157"/>
      <c r="F81" s="163" t="s">
        <v>42</v>
      </c>
      <c r="G81" s="665"/>
      <c r="H81" s="666"/>
      <c r="I81" s="666"/>
      <c r="J81" s="667"/>
      <c r="K81" s="668"/>
      <c r="L81" s="667"/>
      <c r="M81" s="667"/>
      <c r="N81" s="669"/>
      <c r="O81" s="670"/>
      <c r="P81" s="669"/>
      <c r="Q81" s="703"/>
      <c r="R81" s="670"/>
      <c r="S81" s="672"/>
      <c r="T81" s="169"/>
      <c r="U81" s="118"/>
      <c r="V81" s="119">
        <f>V82</f>
        <v>0</v>
      </c>
      <c r="W81" s="119">
        <f t="shared" ref="W81:AH81" si="32">W82</f>
        <v>0</v>
      </c>
      <c r="X81" s="119">
        <f t="shared" si="32"/>
        <v>0</v>
      </c>
      <c r="Y81" s="119">
        <f t="shared" si="32"/>
        <v>0</v>
      </c>
      <c r="Z81" s="119">
        <f t="shared" si="32"/>
        <v>0</v>
      </c>
      <c r="AA81" s="119">
        <f t="shared" si="32"/>
        <v>0</v>
      </c>
      <c r="AB81" s="119">
        <f t="shared" si="32"/>
        <v>0</v>
      </c>
      <c r="AC81" s="119">
        <f t="shared" si="32"/>
        <v>0</v>
      </c>
      <c r="AD81" s="119">
        <f t="shared" si="32"/>
        <v>0</v>
      </c>
      <c r="AE81" s="119">
        <f t="shared" si="32"/>
        <v>0</v>
      </c>
      <c r="AF81" s="119">
        <f t="shared" si="32"/>
        <v>138660648</v>
      </c>
      <c r="AG81" s="119">
        <f t="shared" si="32"/>
        <v>0</v>
      </c>
      <c r="AH81" s="119">
        <f t="shared" si="32"/>
        <v>0</v>
      </c>
      <c r="AI81" s="119"/>
      <c r="AJ81" s="119">
        <f>AJ82</f>
        <v>138660648</v>
      </c>
      <c r="AK81" s="119"/>
      <c r="AL81" s="152"/>
      <c r="AM81" s="7"/>
    </row>
    <row r="82" spans="1:77" s="8" customFormat="1" ht="24" customHeight="1" x14ac:dyDescent="0.25">
      <c r="A82" s="115"/>
      <c r="B82" s="70"/>
      <c r="C82" s="70"/>
      <c r="D82" s="64">
        <v>45</v>
      </c>
      <c r="E82" s="62" t="s">
        <v>43</v>
      </c>
      <c r="F82" s="120"/>
      <c r="G82" s="673"/>
      <c r="H82" s="676"/>
      <c r="I82" s="676"/>
      <c r="J82" s="678"/>
      <c r="K82" s="675"/>
      <c r="L82" s="678"/>
      <c r="M82" s="678"/>
      <c r="N82" s="679"/>
      <c r="O82" s="677"/>
      <c r="P82" s="679"/>
      <c r="Q82" s="678"/>
      <c r="R82" s="704"/>
      <c r="S82" s="705"/>
      <c r="T82" s="589"/>
      <c r="U82" s="129"/>
      <c r="V82" s="129">
        <f>V83+V85</f>
        <v>0</v>
      </c>
      <c r="W82" s="129">
        <f t="shared" ref="W82:AJ82" si="33">W83+W85</f>
        <v>0</v>
      </c>
      <c r="X82" s="129">
        <f t="shared" si="33"/>
        <v>0</v>
      </c>
      <c r="Y82" s="129">
        <f t="shared" si="33"/>
        <v>0</v>
      </c>
      <c r="Z82" s="129">
        <f t="shared" si="33"/>
        <v>0</v>
      </c>
      <c r="AA82" s="129">
        <f t="shared" si="33"/>
        <v>0</v>
      </c>
      <c r="AB82" s="129">
        <f t="shared" si="33"/>
        <v>0</v>
      </c>
      <c r="AC82" s="129">
        <f t="shared" si="33"/>
        <v>0</v>
      </c>
      <c r="AD82" s="129">
        <f t="shared" si="33"/>
        <v>0</v>
      </c>
      <c r="AE82" s="129">
        <f t="shared" si="33"/>
        <v>0</v>
      </c>
      <c r="AF82" s="129">
        <f t="shared" si="33"/>
        <v>138660648</v>
      </c>
      <c r="AG82" s="129">
        <f t="shared" si="33"/>
        <v>0</v>
      </c>
      <c r="AH82" s="129">
        <f t="shared" si="33"/>
        <v>0</v>
      </c>
      <c r="AI82" s="129"/>
      <c r="AJ82" s="129">
        <f t="shared" si="33"/>
        <v>138660648</v>
      </c>
      <c r="AK82" s="153"/>
      <c r="AL82" s="153"/>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row>
    <row r="83" spans="1:77" ht="24" customHeight="1" x14ac:dyDescent="0.2">
      <c r="A83" s="130"/>
      <c r="B83" s="78"/>
      <c r="C83" s="78"/>
      <c r="D83" s="78"/>
      <c r="E83" s="78"/>
      <c r="F83" s="644">
        <v>4599</v>
      </c>
      <c r="G83" s="681" t="s">
        <v>44</v>
      </c>
      <c r="H83" s="682"/>
      <c r="I83" s="682"/>
      <c r="J83" s="683"/>
      <c r="K83" s="706"/>
      <c r="L83" s="683"/>
      <c r="M83" s="683"/>
      <c r="N83" s="685"/>
      <c r="O83" s="686"/>
      <c r="P83" s="685"/>
      <c r="Q83" s="690"/>
      <c r="R83" s="686"/>
      <c r="S83" s="688"/>
      <c r="T83" s="592"/>
      <c r="U83" s="132"/>
      <c r="V83" s="133">
        <f>V84</f>
        <v>0</v>
      </c>
      <c r="W83" s="133">
        <f t="shared" ref="W83:AJ83" si="34">W84</f>
        <v>0</v>
      </c>
      <c r="X83" s="133">
        <f t="shared" si="34"/>
        <v>0</v>
      </c>
      <c r="Y83" s="133">
        <f t="shared" si="34"/>
        <v>0</v>
      </c>
      <c r="Z83" s="133">
        <f t="shared" si="34"/>
        <v>0</v>
      </c>
      <c r="AA83" s="133">
        <f t="shared" si="34"/>
        <v>0</v>
      </c>
      <c r="AB83" s="133">
        <f t="shared" si="34"/>
        <v>0</v>
      </c>
      <c r="AC83" s="133">
        <f t="shared" si="34"/>
        <v>0</v>
      </c>
      <c r="AD83" s="133">
        <f t="shared" si="34"/>
        <v>0</v>
      </c>
      <c r="AE83" s="133">
        <f t="shared" si="34"/>
        <v>0</v>
      </c>
      <c r="AF83" s="133">
        <f t="shared" si="34"/>
        <v>100660648</v>
      </c>
      <c r="AG83" s="133">
        <f t="shared" si="34"/>
        <v>0</v>
      </c>
      <c r="AH83" s="133">
        <f t="shared" si="34"/>
        <v>0</v>
      </c>
      <c r="AI83" s="133"/>
      <c r="AJ83" s="133">
        <f t="shared" si="34"/>
        <v>100660648</v>
      </c>
      <c r="AK83" s="133"/>
      <c r="AL83" s="140"/>
      <c r="AM83" s="7"/>
    </row>
    <row r="84" spans="1:77" ht="130.5" customHeight="1" x14ac:dyDescent="0.2">
      <c r="A84" s="130"/>
      <c r="B84" s="78"/>
      <c r="C84" s="78"/>
      <c r="D84" s="78"/>
      <c r="E84" s="78"/>
      <c r="F84" s="74"/>
      <c r="G84" s="697" t="s">
        <v>0</v>
      </c>
      <c r="H84" s="573" t="s">
        <v>45</v>
      </c>
      <c r="I84" s="698" t="s">
        <v>46</v>
      </c>
      <c r="J84" s="564" t="s">
        <v>266</v>
      </c>
      <c r="K84" s="699" t="s">
        <v>267</v>
      </c>
      <c r="L84" s="564" t="s">
        <v>175</v>
      </c>
      <c r="M84" s="698" t="s">
        <v>46</v>
      </c>
      <c r="N84" s="700" t="s">
        <v>268</v>
      </c>
      <c r="O84" s="699">
        <v>459901600</v>
      </c>
      <c r="P84" s="700" t="s">
        <v>175</v>
      </c>
      <c r="Q84" s="438" t="s">
        <v>51</v>
      </c>
      <c r="R84" s="701">
        <v>4</v>
      </c>
      <c r="S84" s="702" t="s">
        <v>269</v>
      </c>
      <c r="T84" s="504" t="s">
        <v>1512</v>
      </c>
      <c r="U84" s="504" t="s">
        <v>270</v>
      </c>
      <c r="V84" s="184"/>
      <c r="W84" s="135"/>
      <c r="X84" s="135"/>
      <c r="Y84" s="135"/>
      <c r="Z84" s="135"/>
      <c r="AA84" s="135"/>
      <c r="AB84" s="135"/>
      <c r="AC84" s="135"/>
      <c r="AD84" s="135"/>
      <c r="AE84" s="135"/>
      <c r="AF84" s="145">
        <f>40000000+60660648</f>
        <v>100660648</v>
      </c>
      <c r="AG84" s="185"/>
      <c r="AH84" s="135"/>
      <c r="AI84" s="135"/>
      <c r="AJ84" s="136">
        <f>+V84+W84+X84+Y84+Z84+AA84+AB84+AC84+AD84+AE84+AF84+AG84+AH84</f>
        <v>100660648</v>
      </c>
      <c r="AK84" s="160" t="s">
        <v>159</v>
      </c>
      <c r="AL84" s="315" t="s">
        <v>1551</v>
      </c>
      <c r="AM84" s="7"/>
    </row>
    <row r="85" spans="1:77" ht="24" customHeight="1" x14ac:dyDescent="0.2">
      <c r="A85" s="130"/>
      <c r="B85" s="78"/>
      <c r="C85" s="78"/>
      <c r="D85" s="78"/>
      <c r="E85" s="78"/>
      <c r="F85" s="644">
        <v>4502</v>
      </c>
      <c r="G85" s="681" t="s">
        <v>70</v>
      </c>
      <c r="H85" s="682"/>
      <c r="I85" s="682"/>
      <c r="J85" s="683"/>
      <c r="K85" s="684"/>
      <c r="L85" s="683"/>
      <c r="M85" s="683"/>
      <c r="N85" s="685"/>
      <c r="O85" s="686"/>
      <c r="P85" s="685"/>
      <c r="Q85" s="690"/>
      <c r="R85" s="686"/>
      <c r="S85" s="688"/>
      <c r="T85" s="592"/>
      <c r="U85" s="132"/>
      <c r="V85" s="133">
        <f>V86</f>
        <v>0</v>
      </c>
      <c r="W85" s="133">
        <f t="shared" ref="W85:AJ85" si="35">W86</f>
        <v>0</v>
      </c>
      <c r="X85" s="133">
        <f t="shared" si="35"/>
        <v>0</v>
      </c>
      <c r="Y85" s="133">
        <f t="shared" si="35"/>
        <v>0</v>
      </c>
      <c r="Z85" s="133">
        <f t="shared" si="35"/>
        <v>0</v>
      </c>
      <c r="AA85" s="133">
        <f t="shared" si="35"/>
        <v>0</v>
      </c>
      <c r="AB85" s="133">
        <f t="shared" si="35"/>
        <v>0</v>
      </c>
      <c r="AC85" s="133">
        <f t="shared" si="35"/>
        <v>0</v>
      </c>
      <c r="AD85" s="133">
        <f t="shared" si="35"/>
        <v>0</v>
      </c>
      <c r="AE85" s="133">
        <f t="shared" si="35"/>
        <v>0</v>
      </c>
      <c r="AF85" s="133">
        <f t="shared" si="35"/>
        <v>38000000</v>
      </c>
      <c r="AG85" s="133">
        <f t="shared" si="35"/>
        <v>0</v>
      </c>
      <c r="AH85" s="133">
        <f t="shared" si="35"/>
        <v>0</v>
      </c>
      <c r="AI85" s="133"/>
      <c r="AJ85" s="133">
        <f t="shared" si="35"/>
        <v>38000000</v>
      </c>
      <c r="AK85" s="133"/>
      <c r="AL85" s="140"/>
      <c r="AM85" s="7"/>
    </row>
    <row r="86" spans="1:77" ht="147.75" customHeight="1" x14ac:dyDescent="0.2">
      <c r="A86" s="130"/>
      <c r="B86" s="78"/>
      <c r="C86" s="78"/>
      <c r="D86" s="78"/>
      <c r="E86" s="78"/>
      <c r="F86" s="74"/>
      <c r="G86" s="439"/>
      <c r="H86" s="567" t="s">
        <v>80</v>
      </c>
      <c r="I86" s="104">
        <v>4502003</v>
      </c>
      <c r="J86" s="689" t="s">
        <v>271</v>
      </c>
      <c r="K86" s="104">
        <v>4502003</v>
      </c>
      <c r="L86" s="689" t="s">
        <v>272</v>
      </c>
      <c r="M86" s="104">
        <v>450200300</v>
      </c>
      <c r="N86" s="689" t="s">
        <v>271</v>
      </c>
      <c r="O86" s="104">
        <v>450200300</v>
      </c>
      <c r="P86" s="689" t="s">
        <v>271</v>
      </c>
      <c r="Q86" s="439" t="s">
        <v>67</v>
      </c>
      <c r="R86" s="202">
        <v>2</v>
      </c>
      <c r="S86" s="569" t="s">
        <v>273</v>
      </c>
      <c r="T86" s="504" t="s">
        <v>274</v>
      </c>
      <c r="U86" s="504" t="s">
        <v>275</v>
      </c>
      <c r="V86" s="184"/>
      <c r="W86" s="135"/>
      <c r="X86" s="135"/>
      <c r="Y86" s="135"/>
      <c r="Z86" s="135"/>
      <c r="AA86" s="135"/>
      <c r="AB86" s="135"/>
      <c r="AC86" s="135"/>
      <c r="AD86" s="135"/>
      <c r="AE86" s="135"/>
      <c r="AF86" s="145">
        <v>38000000</v>
      </c>
      <c r="AG86" s="130"/>
      <c r="AH86" s="135"/>
      <c r="AI86" s="135"/>
      <c r="AJ86" s="136">
        <f>+V86+W86+X86+Y86+Z86+AA86+AB86+AC86+AD86+AE86+AF86+AG86+AH86</f>
        <v>38000000</v>
      </c>
      <c r="AK86" s="160" t="s">
        <v>159</v>
      </c>
      <c r="AL86" s="315" t="s">
        <v>1551</v>
      </c>
      <c r="AM86" s="7"/>
    </row>
    <row r="87" spans="1:77" s="436" customFormat="1" ht="16.5" customHeight="1" x14ac:dyDescent="0.25">
      <c r="A87" s="432"/>
      <c r="B87" s="432"/>
      <c r="C87" s="432"/>
      <c r="D87" s="432"/>
      <c r="E87" s="432"/>
      <c r="F87" s="432"/>
      <c r="G87" s="432"/>
      <c r="H87" s="434"/>
      <c r="I87" s="432"/>
      <c r="J87" s="432"/>
      <c r="K87" s="432"/>
      <c r="L87" s="432"/>
      <c r="M87" s="432"/>
      <c r="N87" s="432"/>
      <c r="O87" s="432"/>
      <c r="P87" s="432"/>
      <c r="Q87" s="434"/>
      <c r="R87" s="432"/>
      <c r="S87" s="434"/>
      <c r="T87" s="434"/>
      <c r="U87" s="434"/>
      <c r="V87" s="435"/>
      <c r="W87" s="435"/>
      <c r="X87" s="435"/>
      <c r="Y87" s="435"/>
      <c r="Z87" s="435"/>
      <c r="AA87" s="435"/>
      <c r="AB87" s="435"/>
      <c r="AC87" s="435"/>
      <c r="AD87" s="435"/>
      <c r="AE87" s="435"/>
      <c r="AF87" s="435"/>
      <c r="AG87" s="435"/>
      <c r="AH87" s="435"/>
      <c r="AI87" s="435"/>
      <c r="AJ87" s="435"/>
      <c r="AK87" s="435"/>
      <c r="AL87" s="435"/>
      <c r="AM87" s="7"/>
    </row>
    <row r="88" spans="1:77" s="365" customFormat="1" ht="24" customHeight="1" x14ac:dyDescent="0.2">
      <c r="A88" s="34" t="s">
        <v>276</v>
      </c>
      <c r="B88" s="34"/>
      <c r="C88" s="34"/>
      <c r="D88" s="34"/>
      <c r="E88" s="34"/>
      <c r="F88" s="656"/>
      <c r="G88" s="658"/>
      <c r="H88" s="659"/>
      <c r="I88" s="659"/>
      <c r="J88" s="659"/>
      <c r="K88" s="660"/>
      <c r="L88" s="659"/>
      <c r="M88" s="659"/>
      <c r="N88" s="661"/>
      <c r="O88" s="662"/>
      <c r="P88" s="661"/>
      <c r="Q88" s="663"/>
      <c r="R88" s="662"/>
      <c r="S88" s="664"/>
      <c r="T88" s="657"/>
      <c r="U88" s="362"/>
      <c r="V88" s="358">
        <f t="shared" ref="V88:AJ88" si="36">+V89+V113+V122</f>
        <v>0</v>
      </c>
      <c r="W88" s="358">
        <f t="shared" si="36"/>
        <v>4387879528.3299999</v>
      </c>
      <c r="X88" s="358">
        <f t="shared" si="36"/>
        <v>0</v>
      </c>
      <c r="Y88" s="358">
        <f t="shared" si="36"/>
        <v>0</v>
      </c>
      <c r="Z88" s="358">
        <f t="shared" si="36"/>
        <v>0</v>
      </c>
      <c r="AA88" s="358">
        <f t="shared" si="36"/>
        <v>0</v>
      </c>
      <c r="AB88" s="358">
        <f t="shared" si="36"/>
        <v>0</v>
      </c>
      <c r="AC88" s="358">
        <f t="shared" si="36"/>
        <v>0</v>
      </c>
      <c r="AD88" s="358">
        <f t="shared" si="36"/>
        <v>0</v>
      </c>
      <c r="AE88" s="358">
        <f t="shared" si="36"/>
        <v>0</v>
      </c>
      <c r="AF88" s="358">
        <f t="shared" si="36"/>
        <v>2244761992</v>
      </c>
      <c r="AG88" s="358">
        <f t="shared" si="36"/>
        <v>0</v>
      </c>
      <c r="AH88" s="358">
        <f t="shared" si="36"/>
        <v>0</v>
      </c>
      <c r="AI88" s="358"/>
      <c r="AJ88" s="358">
        <f t="shared" si="36"/>
        <v>6632641520.3299999</v>
      </c>
      <c r="AK88" s="358"/>
      <c r="AL88" s="359"/>
      <c r="AM88" s="7"/>
      <c r="AN88" s="364"/>
      <c r="AO88" s="364"/>
      <c r="AP88" s="364"/>
      <c r="AQ88" s="364"/>
      <c r="AR88" s="364"/>
      <c r="AS88" s="364"/>
      <c r="AT88" s="364"/>
      <c r="AU88" s="364"/>
      <c r="AV88" s="364"/>
      <c r="AW88" s="364"/>
      <c r="AX88" s="364"/>
      <c r="AY88" s="364"/>
      <c r="AZ88" s="364"/>
      <c r="BA88" s="364"/>
      <c r="BB88" s="364"/>
      <c r="BC88" s="364"/>
      <c r="BD88" s="364"/>
      <c r="BE88" s="364"/>
      <c r="BF88" s="364"/>
      <c r="BG88" s="364"/>
      <c r="BH88" s="364"/>
      <c r="BI88" s="364"/>
      <c r="BJ88" s="364"/>
      <c r="BK88" s="364"/>
      <c r="BL88" s="364"/>
      <c r="BM88" s="364"/>
      <c r="BN88" s="364"/>
      <c r="BO88" s="364"/>
      <c r="BP88" s="364"/>
      <c r="BQ88" s="364"/>
      <c r="BR88" s="364"/>
      <c r="BS88" s="364"/>
      <c r="BT88" s="364"/>
      <c r="BU88" s="364"/>
      <c r="BV88" s="364"/>
      <c r="BW88" s="364"/>
      <c r="BX88" s="364"/>
      <c r="BY88" s="364"/>
    </row>
    <row r="89" spans="1:77" ht="24" customHeight="1" x14ac:dyDescent="0.2">
      <c r="A89" s="130"/>
      <c r="B89" s="116">
        <v>1</v>
      </c>
      <c r="C89" s="116"/>
      <c r="D89" s="63" t="s">
        <v>148</v>
      </c>
      <c r="E89" s="157"/>
      <c r="F89" s="163"/>
      <c r="G89" s="665"/>
      <c r="H89" s="666"/>
      <c r="I89" s="666"/>
      <c r="J89" s="667"/>
      <c r="K89" s="668"/>
      <c r="L89" s="667"/>
      <c r="M89" s="667"/>
      <c r="N89" s="669"/>
      <c r="O89" s="670"/>
      <c r="P89" s="669"/>
      <c r="Q89" s="671"/>
      <c r="R89" s="670"/>
      <c r="S89" s="672"/>
      <c r="T89" s="169"/>
      <c r="U89" s="118"/>
      <c r="V89" s="119">
        <f>V90+V97+V100+V109</f>
        <v>0</v>
      </c>
      <c r="W89" s="119">
        <f>W90+W97+W100+W109</f>
        <v>4387879528.3299999</v>
      </c>
      <c r="X89" s="119">
        <f t="shared" ref="X89:AH89" si="37">X90+X97+X100+X109</f>
        <v>0</v>
      </c>
      <c r="Y89" s="119">
        <f t="shared" si="37"/>
        <v>0</v>
      </c>
      <c r="Z89" s="119">
        <f t="shared" si="37"/>
        <v>0</v>
      </c>
      <c r="AA89" s="119">
        <f t="shared" si="37"/>
        <v>0</v>
      </c>
      <c r="AB89" s="119">
        <f t="shared" si="37"/>
        <v>0</v>
      </c>
      <c r="AC89" s="119">
        <f t="shared" si="37"/>
        <v>0</v>
      </c>
      <c r="AD89" s="119">
        <f t="shared" si="37"/>
        <v>0</v>
      </c>
      <c r="AE89" s="119">
        <f t="shared" si="37"/>
        <v>0</v>
      </c>
      <c r="AF89" s="119">
        <f t="shared" si="37"/>
        <v>1021050643</v>
      </c>
      <c r="AG89" s="119">
        <f t="shared" si="37"/>
        <v>0</v>
      </c>
      <c r="AH89" s="119">
        <f t="shared" si="37"/>
        <v>0</v>
      </c>
      <c r="AI89" s="119"/>
      <c r="AJ89" s="119">
        <f>AJ90+AJ97+AJ100+AJ109</f>
        <v>5408930171.3299999</v>
      </c>
      <c r="AK89" s="119"/>
      <c r="AL89" s="152"/>
      <c r="AM89" s="7"/>
    </row>
    <row r="90" spans="1:77" s="8" customFormat="1" ht="24" customHeight="1" x14ac:dyDescent="0.25">
      <c r="A90" s="115"/>
      <c r="B90" s="70"/>
      <c r="C90" s="70"/>
      <c r="D90" s="64">
        <v>12</v>
      </c>
      <c r="E90" s="62" t="s">
        <v>149</v>
      </c>
      <c r="F90" s="120"/>
      <c r="G90" s="673"/>
      <c r="H90" s="674"/>
      <c r="I90" s="674"/>
      <c r="J90" s="675"/>
      <c r="K90" s="676"/>
      <c r="L90" s="675"/>
      <c r="M90" s="675"/>
      <c r="N90" s="677"/>
      <c r="O90" s="678"/>
      <c r="P90" s="677"/>
      <c r="Q90" s="679"/>
      <c r="R90" s="678"/>
      <c r="S90" s="680"/>
      <c r="T90" s="589"/>
      <c r="U90" s="128"/>
      <c r="V90" s="129">
        <f t="shared" ref="V90:AJ90" si="38">V91+V93+V95</f>
        <v>0</v>
      </c>
      <c r="W90" s="129">
        <f t="shared" si="38"/>
        <v>0</v>
      </c>
      <c r="X90" s="129">
        <f t="shared" si="38"/>
        <v>0</v>
      </c>
      <c r="Y90" s="129">
        <f t="shared" si="38"/>
        <v>0</v>
      </c>
      <c r="Z90" s="129">
        <f t="shared" si="38"/>
        <v>0</v>
      </c>
      <c r="AA90" s="129">
        <f t="shared" si="38"/>
        <v>0</v>
      </c>
      <c r="AB90" s="129">
        <f t="shared" si="38"/>
        <v>0</v>
      </c>
      <c r="AC90" s="129">
        <f t="shared" si="38"/>
        <v>0</v>
      </c>
      <c r="AD90" s="129">
        <f t="shared" si="38"/>
        <v>0</v>
      </c>
      <c r="AE90" s="129">
        <f t="shared" si="38"/>
        <v>0</v>
      </c>
      <c r="AF90" s="129">
        <f t="shared" si="38"/>
        <v>254028401</v>
      </c>
      <c r="AG90" s="129">
        <f t="shared" si="38"/>
        <v>0</v>
      </c>
      <c r="AH90" s="129">
        <f t="shared" si="38"/>
        <v>0</v>
      </c>
      <c r="AI90" s="129"/>
      <c r="AJ90" s="129">
        <f t="shared" si="38"/>
        <v>254028401</v>
      </c>
      <c r="AK90" s="129"/>
      <c r="AL90" s="153"/>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row>
    <row r="91" spans="1:77" ht="24" customHeight="1" x14ac:dyDescent="0.2">
      <c r="A91" s="130"/>
      <c r="B91" s="78"/>
      <c r="C91" s="78"/>
      <c r="D91" s="78"/>
      <c r="E91" s="78"/>
      <c r="F91" s="644">
        <v>1202</v>
      </c>
      <c r="G91" s="681" t="s">
        <v>150</v>
      </c>
      <c r="H91" s="682"/>
      <c r="I91" s="682"/>
      <c r="J91" s="683"/>
      <c r="K91" s="684"/>
      <c r="L91" s="683"/>
      <c r="M91" s="683"/>
      <c r="N91" s="685"/>
      <c r="O91" s="686"/>
      <c r="P91" s="685"/>
      <c r="Q91" s="687"/>
      <c r="R91" s="686"/>
      <c r="S91" s="688"/>
      <c r="T91" s="592"/>
      <c r="U91" s="132"/>
      <c r="V91" s="187">
        <f t="shared" ref="V91:AJ91" si="39">V92</f>
        <v>0</v>
      </c>
      <c r="W91" s="187">
        <f t="shared" si="39"/>
        <v>0</v>
      </c>
      <c r="X91" s="187">
        <f t="shared" si="39"/>
        <v>0</v>
      </c>
      <c r="Y91" s="187">
        <f t="shared" si="39"/>
        <v>0</v>
      </c>
      <c r="Z91" s="187">
        <f t="shared" si="39"/>
        <v>0</v>
      </c>
      <c r="AA91" s="187">
        <f t="shared" si="39"/>
        <v>0</v>
      </c>
      <c r="AB91" s="187">
        <f t="shared" si="39"/>
        <v>0</v>
      </c>
      <c r="AC91" s="187">
        <f t="shared" si="39"/>
        <v>0</v>
      </c>
      <c r="AD91" s="187">
        <f t="shared" si="39"/>
        <v>0</v>
      </c>
      <c r="AE91" s="187">
        <f t="shared" si="39"/>
        <v>0</v>
      </c>
      <c r="AF91" s="187">
        <f t="shared" si="39"/>
        <v>149000000</v>
      </c>
      <c r="AG91" s="187">
        <f t="shared" si="39"/>
        <v>0</v>
      </c>
      <c r="AH91" s="187">
        <f t="shared" si="39"/>
        <v>0</v>
      </c>
      <c r="AI91" s="187"/>
      <c r="AJ91" s="187">
        <f t="shared" si="39"/>
        <v>149000000</v>
      </c>
      <c r="AK91" s="188"/>
      <c r="AL91" s="140"/>
      <c r="AM91" s="7"/>
    </row>
    <row r="92" spans="1:77" ht="186" customHeight="1" x14ac:dyDescent="0.2">
      <c r="A92" s="130"/>
      <c r="B92" s="78"/>
      <c r="C92" s="78"/>
      <c r="D92" s="78"/>
      <c r="E92" s="78"/>
      <c r="F92" s="74"/>
      <c r="G92" s="439"/>
      <c r="H92" s="567" t="s">
        <v>151</v>
      </c>
      <c r="I92" s="109">
        <v>1202004</v>
      </c>
      <c r="J92" s="567" t="s">
        <v>277</v>
      </c>
      <c r="K92" s="109">
        <v>1202004</v>
      </c>
      <c r="L92" s="567" t="s">
        <v>277</v>
      </c>
      <c r="M92" s="104">
        <v>120200400</v>
      </c>
      <c r="N92" s="262" t="s">
        <v>116</v>
      </c>
      <c r="O92" s="104">
        <v>120200400</v>
      </c>
      <c r="P92" s="262" t="s">
        <v>116</v>
      </c>
      <c r="Q92" s="439" t="s">
        <v>51</v>
      </c>
      <c r="R92" s="202">
        <v>12</v>
      </c>
      <c r="S92" s="569" t="s">
        <v>278</v>
      </c>
      <c r="T92" s="520" t="s">
        <v>1513</v>
      </c>
      <c r="U92" s="520" t="s">
        <v>279</v>
      </c>
      <c r="V92" s="135"/>
      <c r="W92" s="189"/>
      <c r="X92" s="135"/>
      <c r="Y92" s="135"/>
      <c r="Z92" s="135"/>
      <c r="AA92" s="135"/>
      <c r="AB92" s="135"/>
      <c r="AC92" s="135"/>
      <c r="AD92" s="135"/>
      <c r="AE92" s="135"/>
      <c r="AF92" s="145">
        <f>114000000+35000000</f>
        <v>149000000</v>
      </c>
      <c r="AG92" s="135"/>
      <c r="AH92" s="135"/>
      <c r="AI92" s="135"/>
      <c r="AJ92" s="136">
        <f>+V92+W92+X92+Y92+Z92+AA92+AB92+AC92+AD92+AE92+AF92+AG92+AH92</f>
        <v>149000000</v>
      </c>
      <c r="AK92" s="136" t="s">
        <v>280</v>
      </c>
      <c r="AL92" s="198" t="s">
        <v>1554</v>
      </c>
      <c r="AM92" s="7"/>
    </row>
    <row r="93" spans="1:77" ht="24" customHeight="1" x14ac:dyDescent="0.2">
      <c r="A93" s="130"/>
      <c r="B93" s="78"/>
      <c r="C93" s="78"/>
      <c r="D93" s="78"/>
      <c r="E93" s="78"/>
      <c r="F93" s="138">
        <v>1203</v>
      </c>
      <c r="G93" s="68" t="s">
        <v>281</v>
      </c>
      <c r="H93" s="177"/>
      <c r="I93" s="177"/>
      <c r="J93" s="595"/>
      <c r="K93" s="623"/>
      <c r="L93" s="595"/>
      <c r="M93" s="595"/>
      <c r="N93" s="590"/>
      <c r="O93" s="591"/>
      <c r="P93" s="590"/>
      <c r="Q93" s="629"/>
      <c r="R93" s="591"/>
      <c r="S93" s="625"/>
      <c r="T93" s="132"/>
      <c r="U93" s="132"/>
      <c r="V93" s="133">
        <f>V94</f>
        <v>0</v>
      </c>
      <c r="W93" s="133">
        <f t="shared" ref="W93:AJ93" si="40">W94</f>
        <v>0</v>
      </c>
      <c r="X93" s="133">
        <f t="shared" si="40"/>
        <v>0</v>
      </c>
      <c r="Y93" s="133">
        <f t="shared" si="40"/>
        <v>0</v>
      </c>
      <c r="Z93" s="133">
        <f t="shared" si="40"/>
        <v>0</v>
      </c>
      <c r="AA93" s="133">
        <f t="shared" si="40"/>
        <v>0</v>
      </c>
      <c r="AB93" s="133">
        <f t="shared" si="40"/>
        <v>0</v>
      </c>
      <c r="AC93" s="133">
        <f t="shared" si="40"/>
        <v>0</v>
      </c>
      <c r="AD93" s="133">
        <f t="shared" si="40"/>
        <v>0</v>
      </c>
      <c r="AE93" s="133">
        <f t="shared" si="40"/>
        <v>0</v>
      </c>
      <c r="AF93" s="133">
        <f t="shared" si="40"/>
        <v>69028401</v>
      </c>
      <c r="AG93" s="133">
        <f t="shared" si="40"/>
        <v>0</v>
      </c>
      <c r="AH93" s="133">
        <f t="shared" si="40"/>
        <v>0</v>
      </c>
      <c r="AI93" s="133"/>
      <c r="AJ93" s="133">
        <f t="shared" si="40"/>
        <v>69028401</v>
      </c>
      <c r="AK93" s="190"/>
      <c r="AL93" s="140"/>
      <c r="AM93" s="7"/>
    </row>
    <row r="94" spans="1:77" ht="186" customHeight="1" x14ac:dyDescent="0.2">
      <c r="A94" s="130"/>
      <c r="B94" s="78"/>
      <c r="C94" s="78"/>
      <c r="D94" s="78"/>
      <c r="E94" s="78"/>
      <c r="F94" s="74"/>
      <c r="G94" s="513"/>
      <c r="H94" s="506" t="s">
        <v>151</v>
      </c>
      <c r="I94" s="511">
        <v>1203002</v>
      </c>
      <c r="J94" s="506" t="s">
        <v>282</v>
      </c>
      <c r="K94" s="511">
        <v>1203002</v>
      </c>
      <c r="L94" s="506" t="s">
        <v>282</v>
      </c>
      <c r="M94" s="511">
        <v>120300200</v>
      </c>
      <c r="N94" s="521" t="s">
        <v>283</v>
      </c>
      <c r="O94" s="511">
        <v>120300200</v>
      </c>
      <c r="P94" s="521" t="s">
        <v>283</v>
      </c>
      <c r="Q94" s="191" t="s">
        <v>67</v>
      </c>
      <c r="R94" s="112">
        <v>40</v>
      </c>
      <c r="S94" s="514" t="s">
        <v>284</v>
      </c>
      <c r="T94" s="520" t="s">
        <v>285</v>
      </c>
      <c r="U94" s="520" t="s">
        <v>286</v>
      </c>
      <c r="V94" s="135"/>
      <c r="W94" s="136"/>
      <c r="X94" s="135"/>
      <c r="Y94" s="135"/>
      <c r="Z94" s="135"/>
      <c r="AA94" s="135"/>
      <c r="AB94" s="135"/>
      <c r="AC94" s="135"/>
      <c r="AD94" s="135"/>
      <c r="AE94" s="135"/>
      <c r="AF94" s="145">
        <f>36000000+33028401</f>
        <v>69028401</v>
      </c>
      <c r="AG94" s="135"/>
      <c r="AH94" s="192"/>
      <c r="AI94" s="192"/>
      <c r="AJ94" s="136">
        <f>+V94+W94+X94+Y94+Z94+AA94+AB94+AC94+AD94+AE94+AF94+AG94+AH94</f>
        <v>69028401</v>
      </c>
      <c r="AK94" s="136" t="s">
        <v>280</v>
      </c>
      <c r="AL94" s="198" t="s">
        <v>1554</v>
      </c>
      <c r="AM94" s="7"/>
    </row>
    <row r="95" spans="1:77" ht="24" customHeight="1" x14ac:dyDescent="0.2">
      <c r="A95" s="130"/>
      <c r="B95" s="78"/>
      <c r="C95" s="78"/>
      <c r="D95" s="78"/>
      <c r="E95" s="78"/>
      <c r="F95" s="138">
        <v>1206</v>
      </c>
      <c r="G95" s="68" t="s">
        <v>287</v>
      </c>
      <c r="H95" s="177"/>
      <c r="I95" s="177"/>
      <c r="J95" s="595"/>
      <c r="K95" s="623"/>
      <c r="L95" s="595"/>
      <c r="M95" s="595"/>
      <c r="N95" s="590"/>
      <c r="O95" s="591"/>
      <c r="P95" s="590"/>
      <c r="Q95" s="629"/>
      <c r="R95" s="591"/>
      <c r="S95" s="625"/>
      <c r="T95" s="132"/>
      <c r="U95" s="132"/>
      <c r="V95" s="193">
        <f>V96</f>
        <v>0</v>
      </c>
      <c r="W95" s="193">
        <f t="shared" ref="W95:AJ95" si="41">W96</f>
        <v>0</v>
      </c>
      <c r="X95" s="193">
        <f t="shared" si="41"/>
        <v>0</v>
      </c>
      <c r="Y95" s="193">
        <f t="shared" si="41"/>
        <v>0</v>
      </c>
      <c r="Z95" s="193">
        <f t="shared" si="41"/>
        <v>0</v>
      </c>
      <c r="AA95" s="193">
        <f t="shared" si="41"/>
        <v>0</v>
      </c>
      <c r="AB95" s="193">
        <f t="shared" si="41"/>
        <v>0</v>
      </c>
      <c r="AC95" s="193">
        <f t="shared" si="41"/>
        <v>0</v>
      </c>
      <c r="AD95" s="193">
        <f t="shared" si="41"/>
        <v>0</v>
      </c>
      <c r="AE95" s="193">
        <f t="shared" si="41"/>
        <v>0</v>
      </c>
      <c r="AF95" s="193">
        <f t="shared" si="41"/>
        <v>36000000</v>
      </c>
      <c r="AG95" s="193">
        <f t="shared" si="41"/>
        <v>0</v>
      </c>
      <c r="AH95" s="193">
        <f t="shared" si="41"/>
        <v>0</v>
      </c>
      <c r="AI95" s="193"/>
      <c r="AJ95" s="193">
        <f t="shared" si="41"/>
        <v>36000000</v>
      </c>
      <c r="AK95" s="133"/>
      <c r="AL95" s="140"/>
      <c r="AM95" s="7"/>
    </row>
    <row r="96" spans="1:77" ht="180" customHeight="1" x14ac:dyDescent="0.2">
      <c r="A96" s="130"/>
      <c r="B96" s="78"/>
      <c r="C96" s="78"/>
      <c r="D96" s="78"/>
      <c r="E96" s="78"/>
      <c r="F96" s="74"/>
      <c r="G96" s="513"/>
      <c r="H96" s="506" t="s">
        <v>151</v>
      </c>
      <c r="I96" s="511">
        <v>1206005</v>
      </c>
      <c r="J96" s="506" t="s">
        <v>288</v>
      </c>
      <c r="K96" s="511">
        <v>1206005</v>
      </c>
      <c r="L96" s="506" t="s">
        <v>288</v>
      </c>
      <c r="M96" s="72">
        <v>120600500</v>
      </c>
      <c r="N96" s="505" t="s">
        <v>289</v>
      </c>
      <c r="O96" s="72">
        <v>120600500</v>
      </c>
      <c r="P96" s="505" t="s">
        <v>289</v>
      </c>
      <c r="Q96" s="191" t="s">
        <v>67</v>
      </c>
      <c r="R96" s="112">
        <v>20</v>
      </c>
      <c r="S96" s="514" t="s">
        <v>290</v>
      </c>
      <c r="T96" s="194" t="s">
        <v>291</v>
      </c>
      <c r="U96" s="194" t="s">
        <v>292</v>
      </c>
      <c r="V96" s="135"/>
      <c r="W96" s="195"/>
      <c r="X96" s="135"/>
      <c r="Y96" s="135"/>
      <c r="Z96" s="135"/>
      <c r="AA96" s="135"/>
      <c r="AB96" s="135"/>
      <c r="AC96" s="135"/>
      <c r="AD96" s="135"/>
      <c r="AE96" s="135"/>
      <c r="AF96" s="145">
        <v>36000000</v>
      </c>
      <c r="AG96" s="135"/>
      <c r="AH96" s="135"/>
      <c r="AI96" s="135"/>
      <c r="AJ96" s="136">
        <f>+V96+W96+X96+Y96+Z96+AA96+AB96+AC96+AD96+AE96+AF96+AG96+AH96</f>
        <v>36000000</v>
      </c>
      <c r="AK96" s="136" t="s">
        <v>280</v>
      </c>
      <c r="AL96" s="198" t="s">
        <v>1554</v>
      </c>
      <c r="AM96" s="7"/>
    </row>
    <row r="97" spans="1:77" s="8" customFormat="1" ht="24" customHeight="1" x14ac:dyDescent="0.25">
      <c r="A97" s="115"/>
      <c r="B97" s="70"/>
      <c r="C97" s="70"/>
      <c r="D97" s="64">
        <v>22</v>
      </c>
      <c r="E97" s="62" t="s">
        <v>169</v>
      </c>
      <c r="F97" s="62"/>
      <c r="G97" s="120"/>
      <c r="H97" s="121"/>
      <c r="I97" s="121"/>
      <c r="J97" s="123"/>
      <c r="K97" s="122"/>
      <c r="L97" s="123"/>
      <c r="M97" s="123"/>
      <c r="N97" s="125"/>
      <c r="O97" s="124"/>
      <c r="P97" s="125"/>
      <c r="Q97" s="126"/>
      <c r="R97" s="124"/>
      <c r="S97" s="186"/>
      <c r="T97" s="128"/>
      <c r="U97" s="128"/>
      <c r="V97" s="129">
        <f>V98</f>
        <v>0</v>
      </c>
      <c r="W97" s="129">
        <f t="shared" ref="W97:AJ98" si="42">W98</f>
        <v>0</v>
      </c>
      <c r="X97" s="129">
        <f t="shared" si="42"/>
        <v>0</v>
      </c>
      <c r="Y97" s="129">
        <f t="shared" si="42"/>
        <v>0</v>
      </c>
      <c r="Z97" s="129">
        <f t="shared" si="42"/>
        <v>0</v>
      </c>
      <c r="AA97" s="129">
        <f t="shared" si="42"/>
        <v>0</v>
      </c>
      <c r="AB97" s="129">
        <f t="shared" si="42"/>
        <v>0</v>
      </c>
      <c r="AC97" s="129">
        <f t="shared" si="42"/>
        <v>0</v>
      </c>
      <c r="AD97" s="129">
        <f t="shared" si="42"/>
        <v>0</v>
      </c>
      <c r="AE97" s="129">
        <f t="shared" si="42"/>
        <v>0</v>
      </c>
      <c r="AF97" s="129">
        <f t="shared" si="42"/>
        <v>124287500</v>
      </c>
      <c r="AG97" s="129">
        <f t="shared" si="42"/>
        <v>0</v>
      </c>
      <c r="AH97" s="129">
        <f t="shared" si="42"/>
        <v>0</v>
      </c>
      <c r="AI97" s="129"/>
      <c r="AJ97" s="129">
        <f t="shared" si="42"/>
        <v>124287500</v>
      </c>
      <c r="AK97" s="129"/>
      <c r="AL97" s="153"/>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row>
    <row r="98" spans="1:77" ht="24" customHeight="1" x14ac:dyDescent="0.2">
      <c r="A98" s="130"/>
      <c r="B98" s="78"/>
      <c r="C98" s="78"/>
      <c r="D98" s="78"/>
      <c r="E98" s="78"/>
      <c r="F98" s="138">
        <v>2201</v>
      </c>
      <c r="G98" s="68" t="s">
        <v>293</v>
      </c>
      <c r="H98" s="177"/>
      <c r="I98" s="177"/>
      <c r="J98" s="595"/>
      <c r="K98" s="623"/>
      <c r="L98" s="595"/>
      <c r="M98" s="595"/>
      <c r="N98" s="590"/>
      <c r="O98" s="591"/>
      <c r="P98" s="590"/>
      <c r="Q98" s="629"/>
      <c r="R98" s="591"/>
      <c r="S98" s="625"/>
      <c r="T98" s="132"/>
      <c r="U98" s="132"/>
      <c r="V98" s="187">
        <f>V99</f>
        <v>0</v>
      </c>
      <c r="W98" s="187">
        <f t="shared" si="42"/>
        <v>0</v>
      </c>
      <c r="X98" s="187">
        <f t="shared" si="42"/>
        <v>0</v>
      </c>
      <c r="Y98" s="187">
        <f t="shared" si="42"/>
        <v>0</v>
      </c>
      <c r="Z98" s="187">
        <f t="shared" si="42"/>
        <v>0</v>
      </c>
      <c r="AA98" s="187">
        <f t="shared" si="42"/>
        <v>0</v>
      </c>
      <c r="AB98" s="187">
        <f t="shared" si="42"/>
        <v>0</v>
      </c>
      <c r="AC98" s="187">
        <f t="shared" si="42"/>
        <v>0</v>
      </c>
      <c r="AD98" s="187">
        <f t="shared" si="42"/>
        <v>0</v>
      </c>
      <c r="AE98" s="187">
        <f t="shared" si="42"/>
        <v>0</v>
      </c>
      <c r="AF98" s="187">
        <f t="shared" si="42"/>
        <v>124287500</v>
      </c>
      <c r="AG98" s="187">
        <f t="shared" si="42"/>
        <v>0</v>
      </c>
      <c r="AH98" s="187">
        <f t="shared" si="42"/>
        <v>0</v>
      </c>
      <c r="AI98" s="187"/>
      <c r="AJ98" s="187">
        <f t="shared" si="42"/>
        <v>124287500</v>
      </c>
      <c r="AK98" s="196"/>
      <c r="AL98" s="197"/>
      <c r="AM98" s="7"/>
    </row>
    <row r="99" spans="1:77" ht="129.75" customHeight="1" x14ac:dyDescent="0.2">
      <c r="A99" s="130"/>
      <c r="B99" s="78"/>
      <c r="C99" s="78"/>
      <c r="D99" s="78"/>
      <c r="E99" s="78"/>
      <c r="F99" s="74"/>
      <c r="G99" s="198"/>
      <c r="H99" s="506" t="s">
        <v>294</v>
      </c>
      <c r="I99" s="94">
        <v>2201068</v>
      </c>
      <c r="J99" s="506" t="s">
        <v>295</v>
      </c>
      <c r="K99" s="94">
        <v>2201068</v>
      </c>
      <c r="L99" s="506" t="s">
        <v>295</v>
      </c>
      <c r="M99" s="72">
        <v>220106800</v>
      </c>
      <c r="N99" s="505" t="s">
        <v>296</v>
      </c>
      <c r="O99" s="72">
        <v>220106800</v>
      </c>
      <c r="P99" s="505" t="s">
        <v>296</v>
      </c>
      <c r="Q99" s="513" t="s">
        <v>67</v>
      </c>
      <c r="R99" s="112">
        <v>70</v>
      </c>
      <c r="S99" s="514" t="s">
        <v>297</v>
      </c>
      <c r="T99" s="505" t="s">
        <v>298</v>
      </c>
      <c r="U99" s="505" t="s">
        <v>299</v>
      </c>
      <c r="V99" s="135"/>
      <c r="W99" s="135"/>
      <c r="X99" s="135"/>
      <c r="Y99" s="135"/>
      <c r="Z99" s="135"/>
      <c r="AA99" s="135"/>
      <c r="AB99" s="135"/>
      <c r="AC99" s="135"/>
      <c r="AD99" s="135"/>
      <c r="AE99" s="135"/>
      <c r="AF99" s="145">
        <f>30000000+36000000+58287500</f>
        <v>124287500</v>
      </c>
      <c r="AG99" s="135"/>
      <c r="AH99" s="135"/>
      <c r="AI99" s="135"/>
      <c r="AJ99" s="136">
        <f>+V99+W99+X99+Y99+Z99+AA99+AB99+AC99+AD99+AE99+AF99+AG99+AH99</f>
        <v>124287500</v>
      </c>
      <c r="AK99" s="136" t="s">
        <v>280</v>
      </c>
      <c r="AL99" s="198" t="s">
        <v>1554</v>
      </c>
      <c r="AM99" s="7"/>
    </row>
    <row r="100" spans="1:77" s="8" customFormat="1" ht="24" customHeight="1" x14ac:dyDescent="0.25">
      <c r="A100" s="115"/>
      <c r="B100" s="70"/>
      <c r="C100" s="70"/>
      <c r="D100" s="379">
        <v>41</v>
      </c>
      <c r="E100" s="62" t="s">
        <v>300</v>
      </c>
      <c r="F100" s="62"/>
      <c r="G100" s="120"/>
      <c r="H100" s="120"/>
      <c r="I100" s="121"/>
      <c r="J100" s="123"/>
      <c r="K100" s="122"/>
      <c r="L100" s="123"/>
      <c r="M100" s="123"/>
      <c r="N100" s="125"/>
      <c r="O100" s="124"/>
      <c r="P100" s="125"/>
      <c r="Q100" s="126"/>
      <c r="R100" s="124"/>
      <c r="S100" s="186"/>
      <c r="T100" s="128"/>
      <c r="U100" s="128"/>
      <c r="V100" s="129">
        <f>V101+V107</f>
        <v>0</v>
      </c>
      <c r="W100" s="129">
        <f t="shared" ref="W100:AJ100" si="43">W101+W107</f>
        <v>0</v>
      </c>
      <c r="X100" s="129">
        <f t="shared" si="43"/>
        <v>0</v>
      </c>
      <c r="Y100" s="129">
        <f t="shared" si="43"/>
        <v>0</v>
      </c>
      <c r="Z100" s="129">
        <f t="shared" si="43"/>
        <v>0</v>
      </c>
      <c r="AA100" s="129">
        <f t="shared" si="43"/>
        <v>0</v>
      </c>
      <c r="AB100" s="129">
        <f t="shared" si="43"/>
        <v>0</v>
      </c>
      <c r="AC100" s="129">
        <f t="shared" si="43"/>
        <v>0</v>
      </c>
      <c r="AD100" s="129">
        <f t="shared" si="43"/>
        <v>0</v>
      </c>
      <c r="AE100" s="129">
        <f t="shared" si="43"/>
        <v>0</v>
      </c>
      <c r="AF100" s="129">
        <f t="shared" si="43"/>
        <v>581734742</v>
      </c>
      <c r="AG100" s="129">
        <f t="shared" si="43"/>
        <v>0</v>
      </c>
      <c r="AH100" s="129">
        <f t="shared" si="43"/>
        <v>0</v>
      </c>
      <c r="AI100" s="129"/>
      <c r="AJ100" s="129">
        <f t="shared" si="43"/>
        <v>581734742</v>
      </c>
      <c r="AK100" s="129">
        <f>AK101</f>
        <v>0</v>
      </c>
      <c r="AL100" s="129">
        <f>AL101</f>
        <v>0</v>
      </c>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row>
    <row r="101" spans="1:77" ht="24" customHeight="1" x14ac:dyDescent="0.2">
      <c r="A101" s="130"/>
      <c r="B101" s="78"/>
      <c r="C101" s="78"/>
      <c r="D101" s="78"/>
      <c r="E101" s="78"/>
      <c r="F101" s="138">
        <v>4101</v>
      </c>
      <c r="G101" s="68" t="s">
        <v>301</v>
      </c>
      <c r="H101" s="68"/>
      <c r="I101" s="177"/>
      <c r="J101" s="595"/>
      <c r="K101" s="623"/>
      <c r="L101" s="595"/>
      <c r="M101" s="595"/>
      <c r="N101" s="590"/>
      <c r="O101" s="591"/>
      <c r="P101" s="590"/>
      <c r="Q101" s="629"/>
      <c r="R101" s="591"/>
      <c r="S101" s="625"/>
      <c r="T101" s="132"/>
      <c r="U101" s="132"/>
      <c r="V101" s="133">
        <f>SUM(V102:V106)</f>
        <v>0</v>
      </c>
      <c r="W101" s="133">
        <f t="shared" ref="W101:AK101" si="44">SUM(W102:W106)</f>
        <v>0</v>
      </c>
      <c r="X101" s="133">
        <f t="shared" si="44"/>
        <v>0</v>
      </c>
      <c r="Y101" s="133">
        <f t="shared" si="44"/>
        <v>0</v>
      </c>
      <c r="Z101" s="133">
        <f t="shared" si="44"/>
        <v>0</v>
      </c>
      <c r="AA101" s="133">
        <f t="shared" si="44"/>
        <v>0</v>
      </c>
      <c r="AB101" s="133">
        <f t="shared" si="44"/>
        <v>0</v>
      </c>
      <c r="AC101" s="133">
        <f t="shared" si="44"/>
        <v>0</v>
      </c>
      <c r="AD101" s="133">
        <f t="shared" si="44"/>
        <v>0</v>
      </c>
      <c r="AE101" s="133">
        <f t="shared" si="44"/>
        <v>0</v>
      </c>
      <c r="AF101" s="133">
        <f t="shared" si="44"/>
        <v>547707113</v>
      </c>
      <c r="AG101" s="133">
        <f t="shared" si="44"/>
        <v>0</v>
      </c>
      <c r="AH101" s="133">
        <f t="shared" si="44"/>
        <v>0</v>
      </c>
      <c r="AI101" s="133"/>
      <c r="AJ101" s="133">
        <f t="shared" si="44"/>
        <v>547707113</v>
      </c>
      <c r="AK101" s="133">
        <f t="shared" si="44"/>
        <v>0</v>
      </c>
      <c r="AL101" s="133">
        <f t="shared" ref="AL101" si="45">SUM(AL102:AL106)</f>
        <v>0</v>
      </c>
      <c r="AM101" s="7"/>
    </row>
    <row r="102" spans="1:77" ht="140.25" customHeight="1" x14ac:dyDescent="0.2">
      <c r="A102" s="130"/>
      <c r="B102" s="78"/>
      <c r="C102" s="78"/>
      <c r="D102" s="78"/>
      <c r="E102" s="78"/>
      <c r="F102" s="511"/>
      <c r="G102" s="513"/>
      <c r="H102" s="506" t="s">
        <v>302</v>
      </c>
      <c r="I102" s="72">
        <v>4101023</v>
      </c>
      <c r="J102" s="506" t="s">
        <v>303</v>
      </c>
      <c r="K102" s="72">
        <v>4101023</v>
      </c>
      <c r="L102" s="506" t="s">
        <v>303</v>
      </c>
      <c r="M102" s="72">
        <v>410102300</v>
      </c>
      <c r="N102" s="521" t="s">
        <v>304</v>
      </c>
      <c r="O102" s="72">
        <v>410102300</v>
      </c>
      <c r="P102" s="521" t="s">
        <v>304</v>
      </c>
      <c r="Q102" s="191" t="s">
        <v>67</v>
      </c>
      <c r="R102" s="112">
        <v>500</v>
      </c>
      <c r="S102" s="970" t="s">
        <v>305</v>
      </c>
      <c r="T102" s="949" t="s">
        <v>306</v>
      </c>
      <c r="U102" s="955" t="s">
        <v>307</v>
      </c>
      <c r="V102" s="135"/>
      <c r="W102" s="135"/>
      <c r="X102" s="135"/>
      <c r="Y102" s="135"/>
      <c r="Z102" s="135"/>
      <c r="AA102" s="135"/>
      <c r="AB102" s="135"/>
      <c r="AC102" s="135"/>
      <c r="AD102" s="135"/>
      <c r="AE102" s="135"/>
      <c r="AF102" s="145">
        <f>70000000+195000000</f>
        <v>265000000</v>
      </c>
      <c r="AG102" s="135"/>
      <c r="AH102" s="135"/>
      <c r="AI102" s="135"/>
      <c r="AJ102" s="136">
        <f>+V102+W102+X102+Y102+Z102+AA102+AB102+AC102+AD102+AE102+AF102+AG102+AH102</f>
        <v>265000000</v>
      </c>
      <c r="AK102" s="136" t="s">
        <v>280</v>
      </c>
      <c r="AL102" s="198" t="s">
        <v>1554</v>
      </c>
      <c r="AM102" s="7"/>
    </row>
    <row r="103" spans="1:77" ht="69.75" customHeight="1" x14ac:dyDescent="0.2">
      <c r="A103" s="130"/>
      <c r="B103" s="78"/>
      <c r="C103" s="78"/>
      <c r="D103" s="78"/>
      <c r="E103" s="78"/>
      <c r="F103" s="511"/>
      <c r="G103" s="513"/>
      <c r="H103" s="506" t="s">
        <v>302</v>
      </c>
      <c r="I103" s="407">
        <v>4101025</v>
      </c>
      <c r="J103" s="509" t="s">
        <v>308</v>
      </c>
      <c r="K103" s="72">
        <v>4101025</v>
      </c>
      <c r="L103" s="509" t="s">
        <v>308</v>
      </c>
      <c r="M103" s="72">
        <v>410102511</v>
      </c>
      <c r="N103" s="504" t="s">
        <v>309</v>
      </c>
      <c r="O103" s="72">
        <v>410102511</v>
      </c>
      <c r="P103" s="504" t="s">
        <v>309</v>
      </c>
      <c r="Q103" s="191" t="s">
        <v>67</v>
      </c>
      <c r="R103" s="112">
        <v>100</v>
      </c>
      <c r="S103" s="970"/>
      <c r="T103" s="949"/>
      <c r="U103" s="955"/>
      <c r="V103" s="135"/>
      <c r="W103" s="135"/>
      <c r="X103" s="135"/>
      <c r="Y103" s="135"/>
      <c r="Z103" s="135"/>
      <c r="AA103" s="135"/>
      <c r="AB103" s="135"/>
      <c r="AC103" s="135"/>
      <c r="AD103" s="135"/>
      <c r="AE103" s="135"/>
      <c r="AF103" s="145">
        <f>40000000+12000000</f>
        <v>52000000</v>
      </c>
      <c r="AG103" s="135"/>
      <c r="AH103" s="135"/>
      <c r="AI103" s="135"/>
      <c r="AJ103" s="136">
        <f>+V103+W103+X103+Y103+Z103+AA103+AB103+AC103+AD103+AE103+AF103+AG103+AH103</f>
        <v>52000000</v>
      </c>
      <c r="AK103" s="136" t="s">
        <v>280</v>
      </c>
      <c r="AL103" s="198" t="s">
        <v>1554</v>
      </c>
      <c r="AM103" s="7"/>
    </row>
    <row r="104" spans="1:77" ht="69" customHeight="1" x14ac:dyDescent="0.2">
      <c r="A104" s="130"/>
      <c r="B104" s="78"/>
      <c r="C104" s="78"/>
      <c r="D104" s="78"/>
      <c r="E104" s="78"/>
      <c r="F104" s="511"/>
      <c r="G104" s="513"/>
      <c r="H104" s="506" t="s">
        <v>302</v>
      </c>
      <c r="I104" s="72">
        <v>4101038</v>
      </c>
      <c r="J104" s="506" t="s">
        <v>310</v>
      </c>
      <c r="K104" s="72">
        <v>4101038</v>
      </c>
      <c r="L104" s="506" t="s">
        <v>310</v>
      </c>
      <c r="M104" s="72">
        <v>410103800</v>
      </c>
      <c r="N104" s="505" t="s">
        <v>311</v>
      </c>
      <c r="O104" s="72">
        <v>410103800</v>
      </c>
      <c r="P104" s="505" t="s">
        <v>311</v>
      </c>
      <c r="Q104" s="191" t="s">
        <v>67</v>
      </c>
      <c r="R104" s="112">
        <v>12</v>
      </c>
      <c r="S104" s="970"/>
      <c r="T104" s="949"/>
      <c r="U104" s="955"/>
      <c r="V104" s="135"/>
      <c r="W104" s="135"/>
      <c r="X104" s="135"/>
      <c r="Y104" s="135"/>
      <c r="Z104" s="135"/>
      <c r="AA104" s="135"/>
      <c r="AB104" s="135"/>
      <c r="AC104" s="135"/>
      <c r="AD104" s="135"/>
      <c r="AE104" s="135"/>
      <c r="AF104" s="145">
        <f>41000000+6000000</f>
        <v>47000000</v>
      </c>
      <c r="AG104" s="135"/>
      <c r="AH104" s="135"/>
      <c r="AI104" s="135"/>
      <c r="AJ104" s="136">
        <f>+V104+W104+X104+Y104+Z104+AA104+AB104+AC104+AD104+AE104+AF104+AG104+AH104</f>
        <v>47000000</v>
      </c>
      <c r="AK104" s="136" t="s">
        <v>280</v>
      </c>
      <c r="AL104" s="198" t="s">
        <v>1554</v>
      </c>
      <c r="AM104" s="7"/>
    </row>
    <row r="105" spans="1:77" ht="109.5" customHeight="1" x14ac:dyDescent="0.2">
      <c r="A105" s="130"/>
      <c r="B105" s="78"/>
      <c r="C105" s="78"/>
      <c r="D105" s="78"/>
      <c r="E105" s="78"/>
      <c r="F105" s="511"/>
      <c r="G105" s="513"/>
      <c r="H105" s="506" t="s">
        <v>312</v>
      </c>
      <c r="I105" s="72">
        <v>4101073</v>
      </c>
      <c r="J105" s="506" t="s">
        <v>313</v>
      </c>
      <c r="K105" s="72">
        <v>4101073</v>
      </c>
      <c r="L105" s="506" t="s">
        <v>313</v>
      </c>
      <c r="M105" s="72">
        <v>410107300</v>
      </c>
      <c r="N105" s="505" t="s">
        <v>314</v>
      </c>
      <c r="O105" s="72">
        <v>410107300</v>
      </c>
      <c r="P105" s="505" t="s">
        <v>314</v>
      </c>
      <c r="Q105" s="178" t="s">
        <v>67</v>
      </c>
      <c r="R105" s="112">
        <v>30</v>
      </c>
      <c r="S105" s="970"/>
      <c r="T105" s="949"/>
      <c r="U105" s="955"/>
      <c r="V105" s="135"/>
      <c r="W105" s="135"/>
      <c r="X105" s="135"/>
      <c r="Y105" s="135"/>
      <c r="Z105" s="135"/>
      <c r="AA105" s="135"/>
      <c r="AB105" s="135"/>
      <c r="AC105" s="135"/>
      <c r="AD105" s="135"/>
      <c r="AE105" s="135"/>
      <c r="AF105" s="145">
        <f>40000000+96707113</f>
        <v>136707113</v>
      </c>
      <c r="AG105" s="135"/>
      <c r="AH105" s="135"/>
      <c r="AI105" s="135"/>
      <c r="AJ105" s="136">
        <f>+V105+W105+X105+Y105+Z105+AA105+AB105+AC105+AD105+AE105+AF105+AG105+AH105</f>
        <v>136707113</v>
      </c>
      <c r="AK105" s="136" t="s">
        <v>280</v>
      </c>
      <c r="AL105" s="198" t="s">
        <v>1554</v>
      </c>
      <c r="AM105" s="7"/>
    </row>
    <row r="106" spans="1:77" ht="150" x14ac:dyDescent="0.2">
      <c r="A106" s="130"/>
      <c r="B106" s="78"/>
      <c r="C106" s="78"/>
      <c r="D106" s="78"/>
      <c r="E106" s="78"/>
      <c r="F106" s="511"/>
      <c r="G106" s="513"/>
      <c r="H106" s="506" t="s">
        <v>315</v>
      </c>
      <c r="I106" s="72">
        <v>4101011</v>
      </c>
      <c r="J106" s="506" t="s">
        <v>316</v>
      </c>
      <c r="K106" s="72">
        <v>4101011</v>
      </c>
      <c r="L106" s="506" t="s">
        <v>316</v>
      </c>
      <c r="M106" s="72">
        <v>410101100</v>
      </c>
      <c r="N106" s="505" t="s">
        <v>317</v>
      </c>
      <c r="O106" s="72">
        <v>410101100</v>
      </c>
      <c r="P106" s="505" t="s">
        <v>317</v>
      </c>
      <c r="Q106" s="191" t="s">
        <v>67</v>
      </c>
      <c r="R106" s="112">
        <v>2</v>
      </c>
      <c r="S106" s="970"/>
      <c r="T106" s="949"/>
      <c r="U106" s="955"/>
      <c r="V106" s="135"/>
      <c r="W106" s="135"/>
      <c r="X106" s="135"/>
      <c r="Y106" s="135"/>
      <c r="Z106" s="135"/>
      <c r="AA106" s="135"/>
      <c r="AB106" s="135"/>
      <c r="AC106" s="135"/>
      <c r="AD106" s="135"/>
      <c r="AE106" s="135"/>
      <c r="AF106" s="145">
        <f>15000000+32000000</f>
        <v>47000000</v>
      </c>
      <c r="AG106" s="135"/>
      <c r="AH106" s="135"/>
      <c r="AI106" s="135"/>
      <c r="AJ106" s="136">
        <f>+V106+W106+X106+Y106+Z106+AA106+AB106+AC106+AD106+AE106+AF106+AG106+AH106</f>
        <v>47000000</v>
      </c>
      <c r="AK106" s="136" t="s">
        <v>280</v>
      </c>
      <c r="AL106" s="198" t="s">
        <v>1554</v>
      </c>
      <c r="AM106" s="7"/>
    </row>
    <row r="107" spans="1:77" ht="24" customHeight="1" x14ac:dyDescent="0.2">
      <c r="A107" s="130"/>
      <c r="B107" s="78"/>
      <c r="C107" s="78"/>
      <c r="D107" s="78"/>
      <c r="E107" s="78"/>
      <c r="F107" s="138">
        <v>4103</v>
      </c>
      <c r="G107" s="68" t="s">
        <v>318</v>
      </c>
      <c r="H107" s="177"/>
      <c r="I107" s="177"/>
      <c r="J107" s="595"/>
      <c r="K107" s="623"/>
      <c r="L107" s="595"/>
      <c r="M107" s="595"/>
      <c r="N107" s="590"/>
      <c r="O107" s="591"/>
      <c r="P107" s="590"/>
      <c r="Q107" s="629"/>
      <c r="R107" s="591"/>
      <c r="S107" s="625"/>
      <c r="T107" s="132"/>
      <c r="U107" s="132"/>
      <c r="V107" s="188">
        <f>V108</f>
        <v>0</v>
      </c>
      <c r="W107" s="188">
        <f t="shared" ref="W107:AJ107" si="46">W108</f>
        <v>0</v>
      </c>
      <c r="X107" s="188">
        <f t="shared" si="46"/>
        <v>0</v>
      </c>
      <c r="Y107" s="188">
        <f t="shared" si="46"/>
        <v>0</v>
      </c>
      <c r="Z107" s="188">
        <f t="shared" si="46"/>
        <v>0</v>
      </c>
      <c r="AA107" s="188">
        <f t="shared" si="46"/>
        <v>0</v>
      </c>
      <c r="AB107" s="188">
        <f t="shared" si="46"/>
        <v>0</v>
      </c>
      <c r="AC107" s="188">
        <f t="shared" si="46"/>
        <v>0</v>
      </c>
      <c r="AD107" s="188">
        <f t="shared" si="46"/>
        <v>0</v>
      </c>
      <c r="AE107" s="188">
        <f t="shared" si="46"/>
        <v>0</v>
      </c>
      <c r="AF107" s="188">
        <f t="shared" si="46"/>
        <v>34027629</v>
      </c>
      <c r="AG107" s="188">
        <f t="shared" si="46"/>
        <v>0</v>
      </c>
      <c r="AH107" s="188">
        <f t="shared" si="46"/>
        <v>0</v>
      </c>
      <c r="AI107" s="188"/>
      <c r="AJ107" s="188">
        <f t="shared" si="46"/>
        <v>34027629</v>
      </c>
      <c r="AK107" s="188"/>
      <c r="AL107" s="140"/>
      <c r="AM107" s="7"/>
    </row>
    <row r="108" spans="1:77" ht="129.75" customHeight="1" x14ac:dyDescent="0.2">
      <c r="A108" s="130"/>
      <c r="B108" s="78"/>
      <c r="C108" s="78"/>
      <c r="D108" s="78"/>
      <c r="E108" s="78"/>
      <c r="F108" s="511"/>
      <c r="G108" s="513"/>
      <c r="H108" s="506" t="s">
        <v>319</v>
      </c>
      <c r="I108" s="69" t="s">
        <v>46</v>
      </c>
      <c r="J108" s="515" t="s">
        <v>320</v>
      </c>
      <c r="K108" s="77">
        <v>4103052</v>
      </c>
      <c r="L108" s="515" t="s">
        <v>321</v>
      </c>
      <c r="M108" s="69" t="s">
        <v>46</v>
      </c>
      <c r="N108" s="505" t="s">
        <v>322</v>
      </c>
      <c r="O108" s="77">
        <v>410305201</v>
      </c>
      <c r="P108" s="505" t="s">
        <v>323</v>
      </c>
      <c r="Q108" s="513" t="s">
        <v>67</v>
      </c>
      <c r="R108" s="112">
        <v>25</v>
      </c>
      <c r="S108" s="514" t="s">
        <v>324</v>
      </c>
      <c r="T108" s="506" t="s">
        <v>325</v>
      </c>
      <c r="U108" s="506" t="s">
        <v>326</v>
      </c>
      <c r="V108" s="135"/>
      <c r="W108" s="135"/>
      <c r="X108" s="135"/>
      <c r="Y108" s="135"/>
      <c r="Z108" s="135"/>
      <c r="AA108" s="135"/>
      <c r="AB108" s="135"/>
      <c r="AC108" s="135"/>
      <c r="AD108" s="135"/>
      <c r="AE108" s="135"/>
      <c r="AF108" s="145">
        <f>18000000+16027629</f>
        <v>34027629</v>
      </c>
      <c r="AG108" s="135"/>
      <c r="AH108" s="135"/>
      <c r="AI108" s="135"/>
      <c r="AJ108" s="136">
        <f>+V108+W108+X108+Y108+Z108+AA108+AB108+AC108+AD108+AE108+AF108+AG108+AH108</f>
        <v>34027629</v>
      </c>
      <c r="AK108" s="136" t="s">
        <v>280</v>
      </c>
      <c r="AL108" s="198" t="s">
        <v>1554</v>
      </c>
      <c r="AM108" s="7"/>
    </row>
    <row r="109" spans="1:77" s="8" customFormat="1" ht="24" customHeight="1" x14ac:dyDescent="0.25">
      <c r="A109" s="115"/>
      <c r="B109" s="70"/>
      <c r="C109" s="70"/>
      <c r="D109" s="64">
        <v>45</v>
      </c>
      <c r="E109" s="62" t="s">
        <v>43</v>
      </c>
      <c r="F109" s="62"/>
      <c r="G109" s="120"/>
      <c r="H109" s="121"/>
      <c r="I109" s="121"/>
      <c r="J109" s="123"/>
      <c r="K109" s="122"/>
      <c r="L109" s="123"/>
      <c r="M109" s="123"/>
      <c r="N109" s="125"/>
      <c r="O109" s="124"/>
      <c r="P109" s="125"/>
      <c r="Q109" s="126"/>
      <c r="R109" s="124"/>
      <c r="S109" s="186"/>
      <c r="T109" s="128"/>
      <c r="U109" s="128"/>
      <c r="V109" s="129">
        <f>V110</f>
        <v>0</v>
      </c>
      <c r="W109" s="129">
        <f t="shared" ref="W109:AJ109" si="47">W110</f>
        <v>4387879528.3299999</v>
      </c>
      <c r="X109" s="129">
        <f t="shared" si="47"/>
        <v>0</v>
      </c>
      <c r="Y109" s="129">
        <f t="shared" si="47"/>
        <v>0</v>
      </c>
      <c r="Z109" s="129">
        <f t="shared" si="47"/>
        <v>0</v>
      </c>
      <c r="AA109" s="129">
        <f t="shared" si="47"/>
        <v>0</v>
      </c>
      <c r="AB109" s="129">
        <f t="shared" si="47"/>
        <v>0</v>
      </c>
      <c r="AC109" s="129">
        <f t="shared" si="47"/>
        <v>0</v>
      </c>
      <c r="AD109" s="129">
        <f t="shared" si="47"/>
        <v>0</v>
      </c>
      <c r="AE109" s="129">
        <f t="shared" si="47"/>
        <v>0</v>
      </c>
      <c r="AF109" s="129">
        <f t="shared" si="47"/>
        <v>61000000</v>
      </c>
      <c r="AG109" s="129">
        <f t="shared" si="47"/>
        <v>0</v>
      </c>
      <c r="AH109" s="129">
        <f t="shared" si="47"/>
        <v>0</v>
      </c>
      <c r="AI109" s="129"/>
      <c r="AJ109" s="129">
        <f t="shared" si="47"/>
        <v>4448879528.3299999</v>
      </c>
      <c r="AK109" s="129"/>
      <c r="AL109" s="153"/>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row>
    <row r="110" spans="1:77" ht="24" customHeight="1" x14ac:dyDescent="0.2">
      <c r="A110" s="130"/>
      <c r="B110" s="78"/>
      <c r="C110" s="78"/>
      <c r="D110" s="78"/>
      <c r="E110" s="78"/>
      <c r="F110" s="138">
        <v>4501</v>
      </c>
      <c r="G110" s="68" t="s">
        <v>327</v>
      </c>
      <c r="H110" s="177"/>
      <c r="I110" s="177"/>
      <c r="J110" s="177"/>
      <c r="K110" s="177"/>
      <c r="L110" s="177"/>
      <c r="M110" s="177"/>
      <c r="N110" s="177"/>
      <c r="O110" s="177"/>
      <c r="P110" s="590"/>
      <c r="Q110" s="629"/>
      <c r="R110" s="591"/>
      <c r="S110" s="625"/>
      <c r="T110" s="137"/>
      <c r="U110" s="137"/>
      <c r="V110" s="188">
        <f t="shared" ref="V110:AJ110" si="48">SUM(V111:V112)</f>
        <v>0</v>
      </c>
      <c r="W110" s="188">
        <f t="shared" si="48"/>
        <v>4387879528.3299999</v>
      </c>
      <c r="X110" s="188">
        <f t="shared" si="48"/>
        <v>0</v>
      </c>
      <c r="Y110" s="188">
        <f t="shared" si="48"/>
        <v>0</v>
      </c>
      <c r="Z110" s="188">
        <f t="shared" si="48"/>
        <v>0</v>
      </c>
      <c r="AA110" s="188">
        <f t="shared" si="48"/>
        <v>0</v>
      </c>
      <c r="AB110" s="188">
        <f t="shared" si="48"/>
        <v>0</v>
      </c>
      <c r="AC110" s="188">
        <f t="shared" si="48"/>
        <v>0</v>
      </c>
      <c r="AD110" s="188">
        <f t="shared" si="48"/>
        <v>0</v>
      </c>
      <c r="AE110" s="188">
        <f t="shared" si="48"/>
        <v>0</v>
      </c>
      <c r="AF110" s="188">
        <f t="shared" si="48"/>
        <v>61000000</v>
      </c>
      <c r="AG110" s="188">
        <f t="shared" si="48"/>
        <v>0</v>
      </c>
      <c r="AH110" s="188">
        <f t="shared" si="48"/>
        <v>0</v>
      </c>
      <c r="AI110" s="188"/>
      <c r="AJ110" s="188">
        <f t="shared" si="48"/>
        <v>4448879528.3299999</v>
      </c>
      <c r="AK110" s="188"/>
      <c r="AL110" s="140"/>
      <c r="AM110" s="7"/>
    </row>
    <row r="111" spans="1:77" ht="188.25" customHeight="1" x14ac:dyDescent="0.2">
      <c r="A111" s="130"/>
      <c r="B111" s="78"/>
      <c r="C111" s="78"/>
      <c r="D111" s="78"/>
      <c r="E111" s="78"/>
      <c r="F111" s="74"/>
      <c r="G111" s="513"/>
      <c r="H111" s="506" t="s">
        <v>151</v>
      </c>
      <c r="I111" s="69" t="s">
        <v>46</v>
      </c>
      <c r="J111" s="515" t="s">
        <v>328</v>
      </c>
      <c r="K111" s="77">
        <v>4501029</v>
      </c>
      <c r="L111" s="515" t="s">
        <v>329</v>
      </c>
      <c r="M111" s="69" t="s">
        <v>46</v>
      </c>
      <c r="N111" s="505" t="s">
        <v>330</v>
      </c>
      <c r="O111" s="77">
        <v>450102900</v>
      </c>
      <c r="P111" s="505" t="s">
        <v>331</v>
      </c>
      <c r="Q111" s="191" t="s">
        <v>51</v>
      </c>
      <c r="R111" s="112">
        <v>5</v>
      </c>
      <c r="S111" s="514" t="s">
        <v>332</v>
      </c>
      <c r="T111" s="506" t="s">
        <v>333</v>
      </c>
      <c r="U111" s="506" t="s">
        <v>334</v>
      </c>
      <c r="V111" s="135"/>
      <c r="W111" s="195">
        <f>1648000000+76182726+113264654.33+2550432148</f>
        <v>4387879528.3299999</v>
      </c>
      <c r="X111" s="135"/>
      <c r="Y111" s="135"/>
      <c r="Z111" s="135"/>
      <c r="AA111" s="135"/>
      <c r="AB111" s="135"/>
      <c r="AC111" s="135"/>
      <c r="AD111" s="135"/>
      <c r="AE111" s="135"/>
      <c r="AF111" s="145"/>
      <c r="AG111" s="135"/>
      <c r="AH111" s="135"/>
      <c r="AI111" s="135"/>
      <c r="AJ111" s="136">
        <f>+V111+W111+X111+Y111+Z111+AA111+AB111+AC111+AD111+AE111+AF111+AG111+AH111</f>
        <v>4387879528.3299999</v>
      </c>
      <c r="AK111" s="136" t="s">
        <v>280</v>
      </c>
      <c r="AL111" s="198" t="s">
        <v>1554</v>
      </c>
      <c r="AM111" s="7"/>
    </row>
    <row r="112" spans="1:77" ht="188.25" customHeight="1" x14ac:dyDescent="0.2">
      <c r="A112" s="130"/>
      <c r="B112" s="87"/>
      <c r="C112" s="87"/>
      <c r="D112" s="87"/>
      <c r="E112" s="87"/>
      <c r="F112" s="511"/>
      <c r="G112" s="513"/>
      <c r="H112" s="506" t="s">
        <v>151</v>
      </c>
      <c r="I112" s="511">
        <v>4501001</v>
      </c>
      <c r="J112" s="85" t="s">
        <v>114</v>
      </c>
      <c r="K112" s="511">
        <v>4501001</v>
      </c>
      <c r="L112" s="85" t="s">
        <v>114</v>
      </c>
      <c r="M112" s="511">
        <v>450100100</v>
      </c>
      <c r="N112" s="729" t="s">
        <v>335</v>
      </c>
      <c r="O112" s="511">
        <v>450100100</v>
      </c>
      <c r="P112" s="505" t="s">
        <v>335</v>
      </c>
      <c r="Q112" s="191" t="s">
        <v>51</v>
      </c>
      <c r="R112" s="112">
        <v>12</v>
      </c>
      <c r="S112" s="514" t="s">
        <v>336</v>
      </c>
      <c r="T112" s="506" t="s">
        <v>1514</v>
      </c>
      <c r="U112" s="85" t="s">
        <v>337</v>
      </c>
      <c r="V112" s="551">
        <v>0</v>
      </c>
      <c r="W112" s="135">
        <v>0</v>
      </c>
      <c r="X112" s="135">
        <v>0</v>
      </c>
      <c r="Y112" s="135">
        <v>0</v>
      </c>
      <c r="Z112" s="135">
        <v>0</v>
      </c>
      <c r="AA112" s="135">
        <v>0</v>
      </c>
      <c r="AB112" s="135">
        <v>0</v>
      </c>
      <c r="AC112" s="135">
        <v>0</v>
      </c>
      <c r="AD112" s="135">
        <v>0</v>
      </c>
      <c r="AE112" s="135">
        <v>0</v>
      </c>
      <c r="AF112" s="199">
        <f>36000000+25000000</f>
        <v>61000000</v>
      </c>
      <c r="AG112" s="135">
        <v>0</v>
      </c>
      <c r="AH112" s="135">
        <v>0</v>
      </c>
      <c r="AI112" s="135"/>
      <c r="AJ112" s="136">
        <f>+V112+W112+X112+Y112+Z112+AA112+AB112+AC112+AD112+AE112+AF112+AG112+AH112</f>
        <v>61000000</v>
      </c>
      <c r="AK112" s="136" t="s">
        <v>280</v>
      </c>
      <c r="AL112" s="198" t="s">
        <v>1554</v>
      </c>
      <c r="AM112" s="7"/>
    </row>
    <row r="113" spans="1:77" ht="24" customHeight="1" x14ac:dyDescent="0.2">
      <c r="A113" s="130"/>
      <c r="B113" s="116">
        <v>3</v>
      </c>
      <c r="C113" s="116"/>
      <c r="D113" s="61" t="s">
        <v>199</v>
      </c>
      <c r="E113" s="157"/>
      <c r="F113" s="61"/>
      <c r="G113" s="163"/>
      <c r="H113" s="366"/>
      <c r="I113" s="366"/>
      <c r="J113" s="165"/>
      <c r="K113" s="164"/>
      <c r="L113" s="165"/>
      <c r="M113" s="165"/>
      <c r="N113" s="167"/>
      <c r="O113" s="166"/>
      <c r="P113" s="167"/>
      <c r="Q113" s="649"/>
      <c r="R113" s="166"/>
      <c r="S113" s="626"/>
      <c r="T113" s="118"/>
      <c r="U113" s="118"/>
      <c r="V113" s="119">
        <f>V114+V117</f>
        <v>0</v>
      </c>
      <c r="W113" s="119">
        <f t="shared" ref="W113:AH113" si="49">W114+W117</f>
        <v>0</v>
      </c>
      <c r="X113" s="119">
        <f t="shared" si="49"/>
        <v>0</v>
      </c>
      <c r="Y113" s="119">
        <f t="shared" si="49"/>
        <v>0</v>
      </c>
      <c r="Z113" s="119">
        <f t="shared" si="49"/>
        <v>0</v>
      </c>
      <c r="AA113" s="119">
        <f t="shared" si="49"/>
        <v>0</v>
      </c>
      <c r="AB113" s="119">
        <f t="shared" si="49"/>
        <v>0</v>
      </c>
      <c r="AC113" s="119">
        <f t="shared" si="49"/>
        <v>0</v>
      </c>
      <c r="AD113" s="119">
        <f t="shared" si="49"/>
        <v>0</v>
      </c>
      <c r="AE113" s="119">
        <f t="shared" si="49"/>
        <v>0</v>
      </c>
      <c r="AF113" s="119">
        <f t="shared" si="49"/>
        <v>791217948</v>
      </c>
      <c r="AG113" s="119">
        <f t="shared" si="49"/>
        <v>0</v>
      </c>
      <c r="AH113" s="119">
        <f t="shared" si="49"/>
        <v>0</v>
      </c>
      <c r="AI113" s="119"/>
      <c r="AJ113" s="119">
        <f>AJ114+AJ117</f>
        <v>791217948</v>
      </c>
      <c r="AK113" s="119"/>
      <c r="AL113" s="152"/>
      <c r="AM113" s="7"/>
    </row>
    <row r="114" spans="1:77" s="8" customFormat="1" ht="24" customHeight="1" x14ac:dyDescent="0.25">
      <c r="A114" s="115"/>
      <c r="B114" s="70"/>
      <c r="C114" s="70"/>
      <c r="D114" s="64">
        <v>32</v>
      </c>
      <c r="E114" s="62" t="s">
        <v>221</v>
      </c>
      <c r="F114" s="62"/>
      <c r="G114" s="120"/>
      <c r="H114" s="121"/>
      <c r="I114" s="121"/>
      <c r="J114" s="123"/>
      <c r="K114" s="122"/>
      <c r="L114" s="123"/>
      <c r="M114" s="123"/>
      <c r="N114" s="125"/>
      <c r="O114" s="124"/>
      <c r="P114" s="125"/>
      <c r="Q114" s="126"/>
      <c r="R114" s="124"/>
      <c r="S114" s="186"/>
      <c r="T114" s="128"/>
      <c r="U114" s="128"/>
      <c r="V114" s="129">
        <f>V115</f>
        <v>0</v>
      </c>
      <c r="W114" s="129">
        <f t="shared" ref="W114:AJ114" si="50">W115</f>
        <v>0</v>
      </c>
      <c r="X114" s="129">
        <f t="shared" si="50"/>
        <v>0</v>
      </c>
      <c r="Y114" s="129">
        <f t="shared" si="50"/>
        <v>0</v>
      </c>
      <c r="Z114" s="129">
        <f t="shared" si="50"/>
        <v>0</v>
      </c>
      <c r="AA114" s="129">
        <f t="shared" si="50"/>
        <v>0</v>
      </c>
      <c r="AB114" s="129">
        <f t="shared" si="50"/>
        <v>0</v>
      </c>
      <c r="AC114" s="129">
        <f t="shared" si="50"/>
        <v>0</v>
      </c>
      <c r="AD114" s="129">
        <f t="shared" si="50"/>
        <v>0</v>
      </c>
      <c r="AE114" s="129">
        <f t="shared" si="50"/>
        <v>0</v>
      </c>
      <c r="AF114" s="129">
        <f t="shared" si="50"/>
        <v>243850000</v>
      </c>
      <c r="AG114" s="129">
        <f t="shared" si="50"/>
        <v>0</v>
      </c>
      <c r="AH114" s="129">
        <f t="shared" si="50"/>
        <v>0</v>
      </c>
      <c r="AI114" s="129"/>
      <c r="AJ114" s="129">
        <f t="shared" si="50"/>
        <v>243850000</v>
      </c>
      <c r="AK114" s="129"/>
      <c r="AL114" s="153"/>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row>
    <row r="115" spans="1:77" ht="24" customHeight="1" x14ac:dyDescent="0.2">
      <c r="A115" s="130"/>
      <c r="B115" s="78"/>
      <c r="C115" s="78"/>
      <c r="D115" s="78"/>
      <c r="E115" s="78"/>
      <c r="F115" s="138">
        <v>3205</v>
      </c>
      <c r="G115" s="68" t="s">
        <v>222</v>
      </c>
      <c r="H115" s="177"/>
      <c r="I115" s="177"/>
      <c r="J115" s="595"/>
      <c r="K115" s="623"/>
      <c r="L115" s="595"/>
      <c r="M115" s="595"/>
      <c r="N115" s="590"/>
      <c r="O115" s="591"/>
      <c r="P115" s="590"/>
      <c r="Q115" s="629"/>
      <c r="R115" s="591"/>
      <c r="S115" s="625"/>
      <c r="T115" s="132"/>
      <c r="U115" s="132"/>
      <c r="V115" s="188">
        <f t="shared" ref="V115:AJ115" si="51">SUM(V116:V116)</f>
        <v>0</v>
      </c>
      <c r="W115" s="188">
        <f t="shared" si="51"/>
        <v>0</v>
      </c>
      <c r="X115" s="188">
        <f t="shared" si="51"/>
        <v>0</v>
      </c>
      <c r="Y115" s="188">
        <f t="shared" si="51"/>
        <v>0</v>
      </c>
      <c r="Z115" s="188">
        <f t="shared" si="51"/>
        <v>0</v>
      </c>
      <c r="AA115" s="188">
        <f t="shared" si="51"/>
        <v>0</v>
      </c>
      <c r="AB115" s="188">
        <f t="shared" si="51"/>
        <v>0</v>
      </c>
      <c r="AC115" s="188">
        <f t="shared" si="51"/>
        <v>0</v>
      </c>
      <c r="AD115" s="188">
        <f t="shared" si="51"/>
        <v>0</v>
      </c>
      <c r="AE115" s="188">
        <f t="shared" si="51"/>
        <v>0</v>
      </c>
      <c r="AF115" s="188">
        <f t="shared" si="51"/>
        <v>243850000</v>
      </c>
      <c r="AG115" s="188">
        <f t="shared" si="51"/>
        <v>0</v>
      </c>
      <c r="AH115" s="188">
        <f t="shared" si="51"/>
        <v>0</v>
      </c>
      <c r="AI115" s="188"/>
      <c r="AJ115" s="188">
        <f t="shared" si="51"/>
        <v>243850000</v>
      </c>
      <c r="AK115" s="188"/>
      <c r="AL115" s="140"/>
      <c r="AM115" s="7"/>
    </row>
    <row r="116" spans="1:77" ht="155.25" customHeight="1" x14ac:dyDescent="0.2">
      <c r="A116" s="130"/>
      <c r="B116" s="78"/>
      <c r="C116" s="78"/>
      <c r="D116" s="78"/>
      <c r="E116" s="78"/>
      <c r="F116" s="74"/>
      <c r="G116" s="513"/>
      <c r="H116" s="506" t="s">
        <v>338</v>
      </c>
      <c r="I116" s="511">
        <v>3205002</v>
      </c>
      <c r="J116" s="506" t="s">
        <v>339</v>
      </c>
      <c r="K116" s="511">
        <v>3205002</v>
      </c>
      <c r="L116" s="506" t="s">
        <v>339</v>
      </c>
      <c r="M116" s="511">
        <v>320500200</v>
      </c>
      <c r="N116" s="505" t="s">
        <v>340</v>
      </c>
      <c r="O116" s="511">
        <v>320500200</v>
      </c>
      <c r="P116" s="505" t="s">
        <v>340</v>
      </c>
      <c r="Q116" s="178" t="s">
        <v>67</v>
      </c>
      <c r="R116" s="112">
        <v>3</v>
      </c>
      <c r="S116" s="514" t="s">
        <v>341</v>
      </c>
      <c r="T116" s="505" t="s">
        <v>342</v>
      </c>
      <c r="U116" s="505" t="s">
        <v>343</v>
      </c>
      <c r="V116" s="135"/>
      <c r="W116" s="135"/>
      <c r="X116" s="135"/>
      <c r="Y116" s="135"/>
      <c r="Z116" s="135"/>
      <c r="AA116" s="135"/>
      <c r="AB116" s="135"/>
      <c r="AC116" s="135"/>
      <c r="AD116" s="135"/>
      <c r="AE116" s="135"/>
      <c r="AF116" s="200">
        <f>45000000+45000000+153850000</f>
        <v>243850000</v>
      </c>
      <c r="AG116" s="135"/>
      <c r="AH116" s="135"/>
      <c r="AI116" s="135"/>
      <c r="AJ116" s="136">
        <f>+V116+W116+X116+Y116+Z116+AA116+AB116+AC116+AD116+AE116+AF116+AG116+AH116</f>
        <v>243850000</v>
      </c>
      <c r="AK116" s="136" t="s">
        <v>280</v>
      </c>
      <c r="AL116" s="198" t="s">
        <v>1554</v>
      </c>
      <c r="AM116" s="7"/>
    </row>
    <row r="117" spans="1:77" s="8" customFormat="1" ht="24" customHeight="1" x14ac:dyDescent="0.25">
      <c r="A117" s="115"/>
      <c r="B117" s="70"/>
      <c r="C117" s="70"/>
      <c r="D117" s="64">
        <v>45</v>
      </c>
      <c r="E117" s="62" t="s">
        <v>43</v>
      </c>
      <c r="F117" s="62"/>
      <c r="G117" s="120"/>
      <c r="H117" s="121"/>
      <c r="I117" s="121"/>
      <c r="J117" s="123"/>
      <c r="K117" s="122"/>
      <c r="L117" s="123"/>
      <c r="M117" s="123"/>
      <c r="N117" s="125"/>
      <c r="O117" s="124"/>
      <c r="P117" s="125"/>
      <c r="Q117" s="126"/>
      <c r="R117" s="124"/>
      <c r="S117" s="186"/>
      <c r="T117" s="128"/>
      <c r="U117" s="128"/>
      <c r="V117" s="129">
        <f>V118</f>
        <v>0</v>
      </c>
      <c r="W117" s="129">
        <f>W118</f>
        <v>0</v>
      </c>
      <c r="X117" s="129">
        <f t="shared" ref="X117:AJ117" si="52">X118</f>
        <v>0</v>
      </c>
      <c r="Y117" s="129">
        <f t="shared" si="52"/>
        <v>0</v>
      </c>
      <c r="Z117" s="129">
        <f t="shared" si="52"/>
        <v>0</v>
      </c>
      <c r="AA117" s="129">
        <f t="shared" si="52"/>
        <v>0</v>
      </c>
      <c r="AB117" s="129">
        <f t="shared" si="52"/>
        <v>0</v>
      </c>
      <c r="AC117" s="129">
        <f t="shared" si="52"/>
        <v>0</v>
      </c>
      <c r="AD117" s="129">
        <f t="shared" si="52"/>
        <v>0</v>
      </c>
      <c r="AE117" s="129">
        <f t="shared" si="52"/>
        <v>0</v>
      </c>
      <c r="AF117" s="129">
        <f t="shared" si="52"/>
        <v>547367948</v>
      </c>
      <c r="AG117" s="129">
        <f t="shared" si="52"/>
        <v>0</v>
      </c>
      <c r="AH117" s="129">
        <f t="shared" si="52"/>
        <v>0</v>
      </c>
      <c r="AI117" s="129"/>
      <c r="AJ117" s="129">
        <f t="shared" si="52"/>
        <v>547367948</v>
      </c>
      <c r="AK117" s="129"/>
      <c r="AL117" s="153"/>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row>
    <row r="118" spans="1:77" ht="24" customHeight="1" x14ac:dyDescent="0.2">
      <c r="A118" s="130"/>
      <c r="B118" s="78"/>
      <c r="C118" s="78"/>
      <c r="D118" s="78"/>
      <c r="E118" s="78"/>
      <c r="F118" s="138">
        <v>4503</v>
      </c>
      <c r="G118" s="68" t="s">
        <v>1515</v>
      </c>
      <c r="H118" s="177"/>
      <c r="I118" s="177"/>
      <c r="J118" s="595"/>
      <c r="K118" s="623"/>
      <c r="L118" s="595"/>
      <c r="M118" s="595"/>
      <c r="N118" s="590"/>
      <c r="O118" s="591"/>
      <c r="P118" s="590"/>
      <c r="Q118" s="629"/>
      <c r="R118" s="591"/>
      <c r="S118" s="625"/>
      <c r="T118" s="132"/>
      <c r="U118" s="132"/>
      <c r="V118" s="188">
        <f>SUM(V119:V121)</f>
        <v>0</v>
      </c>
      <c r="W118" s="188">
        <f>SUM(W119:W121)</f>
        <v>0</v>
      </c>
      <c r="X118" s="188">
        <f t="shared" ref="X118:AJ118" si="53">SUM(X119:X121)</f>
        <v>0</v>
      </c>
      <c r="Y118" s="188">
        <f t="shared" si="53"/>
        <v>0</v>
      </c>
      <c r="Z118" s="188">
        <f t="shared" si="53"/>
        <v>0</v>
      </c>
      <c r="AA118" s="188">
        <f t="shared" si="53"/>
        <v>0</v>
      </c>
      <c r="AB118" s="188">
        <f t="shared" si="53"/>
        <v>0</v>
      </c>
      <c r="AC118" s="188">
        <f t="shared" si="53"/>
        <v>0</v>
      </c>
      <c r="AD118" s="188">
        <f t="shared" si="53"/>
        <v>0</v>
      </c>
      <c r="AE118" s="188">
        <f t="shared" si="53"/>
        <v>0</v>
      </c>
      <c r="AF118" s="188">
        <f t="shared" si="53"/>
        <v>547367948</v>
      </c>
      <c r="AG118" s="188">
        <f t="shared" si="53"/>
        <v>0</v>
      </c>
      <c r="AH118" s="188">
        <f t="shared" si="53"/>
        <v>0</v>
      </c>
      <c r="AI118" s="188"/>
      <c r="AJ118" s="188">
        <f t="shared" si="53"/>
        <v>547367948</v>
      </c>
      <c r="AK118" s="188"/>
      <c r="AL118" s="140"/>
      <c r="AM118" s="7"/>
    </row>
    <row r="119" spans="1:77" ht="90" customHeight="1" x14ac:dyDescent="0.2">
      <c r="A119" s="130"/>
      <c r="B119" s="78"/>
      <c r="C119" s="78"/>
      <c r="D119" s="78"/>
      <c r="E119" s="78"/>
      <c r="F119" s="74"/>
      <c r="G119" s="198"/>
      <c r="H119" s="506" t="s">
        <v>344</v>
      </c>
      <c r="I119" s="511">
        <v>4503002</v>
      </c>
      <c r="J119" s="506" t="s">
        <v>345</v>
      </c>
      <c r="K119" s="511">
        <v>4503002</v>
      </c>
      <c r="L119" s="506" t="s">
        <v>345</v>
      </c>
      <c r="M119" s="511">
        <v>450300200</v>
      </c>
      <c r="N119" s="505" t="s">
        <v>346</v>
      </c>
      <c r="O119" s="511">
        <v>450300200</v>
      </c>
      <c r="P119" s="505" t="s">
        <v>346</v>
      </c>
      <c r="Q119" s="103" t="s">
        <v>67</v>
      </c>
      <c r="R119" s="112">
        <v>4000</v>
      </c>
      <c r="S119" s="970" t="s">
        <v>347</v>
      </c>
      <c r="T119" s="971" t="s">
        <v>348</v>
      </c>
      <c r="U119" s="971" t="s">
        <v>349</v>
      </c>
      <c r="V119" s="135"/>
      <c r="W119" s="135"/>
      <c r="X119" s="135"/>
      <c r="Y119" s="135"/>
      <c r="Z119" s="135"/>
      <c r="AA119" s="135"/>
      <c r="AB119" s="135"/>
      <c r="AC119" s="135"/>
      <c r="AD119" s="135"/>
      <c r="AE119" s="135"/>
      <c r="AF119" s="145">
        <f>18000000+22000000</f>
        <v>40000000</v>
      </c>
      <c r="AG119" s="135"/>
      <c r="AH119" s="135"/>
      <c r="AI119" s="135"/>
      <c r="AJ119" s="136">
        <f>+V119+W119+X119+Y119+Z119+AA119+AB119+AC119+AD119+AE119+AF119+AG119+AH119</f>
        <v>40000000</v>
      </c>
      <c r="AK119" s="136" t="s">
        <v>280</v>
      </c>
      <c r="AL119" s="198" t="s">
        <v>1554</v>
      </c>
      <c r="AM119" s="7"/>
    </row>
    <row r="120" spans="1:77" ht="83.25" customHeight="1" x14ac:dyDescent="0.2">
      <c r="A120" s="130"/>
      <c r="B120" s="78"/>
      <c r="C120" s="78"/>
      <c r="D120" s="78"/>
      <c r="E120" s="78"/>
      <c r="F120" s="74"/>
      <c r="G120" s="198"/>
      <c r="H120" s="506" t="s">
        <v>350</v>
      </c>
      <c r="I120" s="69">
        <v>4503003</v>
      </c>
      <c r="J120" s="506" t="s">
        <v>114</v>
      </c>
      <c r="K120" s="511">
        <v>4503003</v>
      </c>
      <c r="L120" s="506" t="s">
        <v>114</v>
      </c>
      <c r="M120" s="511">
        <v>450300300</v>
      </c>
      <c r="N120" s="505" t="s">
        <v>351</v>
      </c>
      <c r="O120" s="511">
        <v>450300300</v>
      </c>
      <c r="P120" s="505" t="s">
        <v>351</v>
      </c>
      <c r="Q120" s="513" t="s">
        <v>51</v>
      </c>
      <c r="R120" s="202">
        <v>12</v>
      </c>
      <c r="S120" s="970"/>
      <c r="T120" s="971"/>
      <c r="U120" s="971"/>
      <c r="V120" s="135"/>
      <c r="W120" s="135"/>
      <c r="X120" s="135"/>
      <c r="Y120" s="135"/>
      <c r="Z120" s="135"/>
      <c r="AA120" s="135"/>
      <c r="AB120" s="135"/>
      <c r="AC120" s="135"/>
      <c r="AD120" s="135"/>
      <c r="AE120" s="135"/>
      <c r="AF120" s="145">
        <f>100000000+134000000+20000000+50000000+59882500+50980000</f>
        <v>414862500</v>
      </c>
      <c r="AG120" s="135"/>
      <c r="AH120" s="135"/>
      <c r="AI120" s="135"/>
      <c r="AJ120" s="136">
        <f>+V120+W120+X120+Y120+Z120+AA120+AB120+AC120+AD120+AE120+AF120+AG120+AH120</f>
        <v>414862500</v>
      </c>
      <c r="AK120" s="136" t="s">
        <v>280</v>
      </c>
      <c r="AL120" s="198" t="s">
        <v>1554</v>
      </c>
      <c r="AM120" s="7"/>
    </row>
    <row r="121" spans="1:77" ht="113.25" customHeight="1" x14ac:dyDescent="0.2">
      <c r="A121" s="130"/>
      <c r="B121" s="78"/>
      <c r="C121" s="78"/>
      <c r="D121" s="78"/>
      <c r="E121" s="78"/>
      <c r="F121" s="74"/>
      <c r="G121" s="198"/>
      <c r="H121" s="506" t="s">
        <v>350</v>
      </c>
      <c r="I121" s="69">
        <v>4503004</v>
      </c>
      <c r="J121" s="515" t="s">
        <v>352</v>
      </c>
      <c r="K121" s="71">
        <v>4503016</v>
      </c>
      <c r="L121" s="515" t="s">
        <v>353</v>
      </c>
      <c r="M121" s="69" t="s">
        <v>46</v>
      </c>
      <c r="N121" s="505" t="s">
        <v>354</v>
      </c>
      <c r="O121" s="71">
        <v>450301600</v>
      </c>
      <c r="P121" s="505" t="s">
        <v>355</v>
      </c>
      <c r="Q121" s="513" t="s">
        <v>51</v>
      </c>
      <c r="R121" s="112">
        <v>1</v>
      </c>
      <c r="S121" s="970"/>
      <c r="T121" s="971"/>
      <c r="U121" s="971"/>
      <c r="V121" s="135"/>
      <c r="W121" s="135"/>
      <c r="X121" s="135"/>
      <c r="Y121" s="135"/>
      <c r="Z121" s="135"/>
      <c r="AA121" s="135"/>
      <c r="AB121" s="135"/>
      <c r="AC121" s="135"/>
      <c r="AD121" s="135"/>
      <c r="AE121" s="135"/>
      <c r="AF121" s="145">
        <f>30000000+47505448+15000000</f>
        <v>92505448</v>
      </c>
      <c r="AG121" s="135"/>
      <c r="AH121" s="135"/>
      <c r="AI121" s="135"/>
      <c r="AJ121" s="136">
        <f>+V121+W121+X121+Y121+Z121+AA121+AB121+AC121+AD121+AE121+AF121+AG121+AH121</f>
        <v>92505448</v>
      </c>
      <c r="AK121" s="136" t="s">
        <v>280</v>
      </c>
      <c r="AL121" s="198" t="s">
        <v>1554</v>
      </c>
      <c r="AM121" s="7"/>
    </row>
    <row r="122" spans="1:77" ht="24" customHeight="1" x14ac:dyDescent="0.2">
      <c r="A122" s="130"/>
      <c r="B122" s="116">
        <v>4</v>
      </c>
      <c r="C122" s="116"/>
      <c r="D122" s="61" t="s">
        <v>42</v>
      </c>
      <c r="E122" s="61"/>
      <c r="F122" s="61"/>
      <c r="G122" s="163"/>
      <c r="H122" s="163"/>
      <c r="I122" s="366"/>
      <c r="J122" s="165"/>
      <c r="K122" s="164"/>
      <c r="L122" s="165"/>
      <c r="M122" s="165"/>
      <c r="N122" s="167"/>
      <c r="O122" s="166"/>
      <c r="P122" s="167"/>
      <c r="Q122" s="649"/>
      <c r="R122" s="166"/>
      <c r="S122" s="626"/>
      <c r="T122" s="118"/>
      <c r="U122" s="118"/>
      <c r="V122" s="119">
        <f>V123</f>
        <v>0</v>
      </c>
      <c r="W122" s="119">
        <f t="shared" ref="W122:AJ123" si="54">W123</f>
        <v>0</v>
      </c>
      <c r="X122" s="119">
        <f t="shared" si="54"/>
        <v>0</v>
      </c>
      <c r="Y122" s="119">
        <f t="shared" si="54"/>
        <v>0</v>
      </c>
      <c r="Z122" s="119">
        <f t="shared" si="54"/>
        <v>0</v>
      </c>
      <c r="AA122" s="119">
        <f t="shared" si="54"/>
        <v>0</v>
      </c>
      <c r="AB122" s="119">
        <f t="shared" si="54"/>
        <v>0</v>
      </c>
      <c r="AC122" s="119">
        <f t="shared" si="54"/>
        <v>0</v>
      </c>
      <c r="AD122" s="119">
        <f t="shared" si="54"/>
        <v>0</v>
      </c>
      <c r="AE122" s="119">
        <f t="shared" si="54"/>
        <v>0</v>
      </c>
      <c r="AF122" s="119">
        <f t="shared" si="54"/>
        <v>432493401</v>
      </c>
      <c r="AG122" s="119">
        <f t="shared" si="54"/>
        <v>0</v>
      </c>
      <c r="AH122" s="119">
        <f t="shared" si="54"/>
        <v>0</v>
      </c>
      <c r="AI122" s="119"/>
      <c r="AJ122" s="119">
        <f>AJ123</f>
        <v>432493401</v>
      </c>
      <c r="AK122" s="119"/>
      <c r="AL122" s="152"/>
      <c r="AM122" s="7"/>
    </row>
    <row r="123" spans="1:77" s="8" customFormat="1" ht="24" customHeight="1" x14ac:dyDescent="0.25">
      <c r="A123" s="115"/>
      <c r="B123" s="70"/>
      <c r="C123" s="70"/>
      <c r="D123" s="64">
        <v>45</v>
      </c>
      <c r="E123" s="62" t="s">
        <v>43</v>
      </c>
      <c r="F123" s="62"/>
      <c r="G123" s="120"/>
      <c r="H123" s="120"/>
      <c r="I123" s="121"/>
      <c r="J123" s="123"/>
      <c r="K123" s="122"/>
      <c r="L123" s="123"/>
      <c r="M123" s="123"/>
      <c r="N123" s="125"/>
      <c r="O123" s="124"/>
      <c r="P123" s="125"/>
      <c r="Q123" s="126"/>
      <c r="R123" s="124"/>
      <c r="S123" s="186"/>
      <c r="T123" s="128"/>
      <c r="U123" s="128"/>
      <c r="V123" s="129">
        <f>V124</f>
        <v>0</v>
      </c>
      <c r="W123" s="129">
        <f t="shared" si="54"/>
        <v>0</v>
      </c>
      <c r="X123" s="129">
        <f t="shared" si="54"/>
        <v>0</v>
      </c>
      <c r="Y123" s="129">
        <f t="shared" si="54"/>
        <v>0</v>
      </c>
      <c r="Z123" s="129">
        <f t="shared" si="54"/>
        <v>0</v>
      </c>
      <c r="AA123" s="129">
        <f t="shared" si="54"/>
        <v>0</v>
      </c>
      <c r="AB123" s="129">
        <f t="shared" si="54"/>
        <v>0</v>
      </c>
      <c r="AC123" s="129">
        <f t="shared" si="54"/>
        <v>0</v>
      </c>
      <c r="AD123" s="129">
        <f t="shared" si="54"/>
        <v>0</v>
      </c>
      <c r="AE123" s="129">
        <f t="shared" si="54"/>
        <v>0</v>
      </c>
      <c r="AF123" s="129">
        <f t="shared" si="54"/>
        <v>432493401</v>
      </c>
      <c r="AG123" s="129">
        <f t="shared" si="54"/>
        <v>0</v>
      </c>
      <c r="AH123" s="129">
        <f t="shared" si="54"/>
        <v>0</v>
      </c>
      <c r="AI123" s="129"/>
      <c r="AJ123" s="129">
        <f t="shared" si="54"/>
        <v>432493401</v>
      </c>
      <c r="AK123" s="129"/>
      <c r="AL123" s="153"/>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row>
    <row r="124" spans="1:77" ht="24" customHeight="1" x14ac:dyDescent="0.2">
      <c r="A124" s="130"/>
      <c r="B124" s="87"/>
      <c r="C124" s="87"/>
      <c r="D124" s="87"/>
      <c r="E124" s="87"/>
      <c r="F124" s="138">
        <v>4502</v>
      </c>
      <c r="G124" s="68" t="s">
        <v>70</v>
      </c>
      <c r="H124" s="68"/>
      <c r="I124" s="177"/>
      <c r="J124" s="595"/>
      <c r="K124" s="623"/>
      <c r="L124" s="595"/>
      <c r="M124" s="595"/>
      <c r="N124" s="590"/>
      <c r="O124" s="591"/>
      <c r="P124" s="590"/>
      <c r="Q124" s="629"/>
      <c r="R124" s="591"/>
      <c r="S124" s="625"/>
      <c r="T124" s="132"/>
      <c r="U124" s="132"/>
      <c r="V124" s="133">
        <f>SUM(V126:V129)</f>
        <v>0</v>
      </c>
      <c r="W124" s="133">
        <f t="shared" ref="W124:AE124" si="55">SUM(W126:W129)</f>
        <v>0</v>
      </c>
      <c r="X124" s="133">
        <f t="shared" si="55"/>
        <v>0</v>
      </c>
      <c r="Y124" s="133">
        <f t="shared" si="55"/>
        <v>0</v>
      </c>
      <c r="Z124" s="133">
        <f t="shared" si="55"/>
        <v>0</v>
      </c>
      <c r="AA124" s="133">
        <f t="shared" si="55"/>
        <v>0</v>
      </c>
      <c r="AB124" s="133">
        <f t="shared" si="55"/>
        <v>0</v>
      </c>
      <c r="AC124" s="133">
        <f t="shared" si="55"/>
        <v>0</v>
      </c>
      <c r="AD124" s="133">
        <f t="shared" si="55"/>
        <v>0</v>
      </c>
      <c r="AE124" s="133">
        <f t="shared" si="55"/>
        <v>0</v>
      </c>
      <c r="AF124" s="133">
        <f>SUM(AF125:AF129)</f>
        <v>432493401</v>
      </c>
      <c r="AG124" s="133">
        <f t="shared" ref="AG124:AK124" si="56">SUM(AG125:AG129)</f>
        <v>0</v>
      </c>
      <c r="AH124" s="133">
        <f t="shared" si="56"/>
        <v>0</v>
      </c>
      <c r="AI124" s="133"/>
      <c r="AJ124" s="133">
        <f t="shared" si="56"/>
        <v>432493401</v>
      </c>
      <c r="AK124" s="133">
        <f t="shared" si="56"/>
        <v>0</v>
      </c>
      <c r="AL124" s="133">
        <f t="shared" ref="AL124" si="57">SUM(AL125:AL129)</f>
        <v>0</v>
      </c>
      <c r="AM124" s="7"/>
    </row>
    <row r="125" spans="1:77" s="3" customFormat="1" ht="156" customHeight="1" x14ac:dyDescent="0.2">
      <c r="A125" s="56"/>
      <c r="B125" s="96"/>
      <c r="C125" s="96"/>
      <c r="D125" s="96"/>
      <c r="E125" s="96"/>
      <c r="F125" s="71"/>
      <c r="G125" s="95"/>
      <c r="H125" s="515" t="s">
        <v>356</v>
      </c>
      <c r="I125" s="71">
        <v>4502024</v>
      </c>
      <c r="J125" s="515" t="s">
        <v>357</v>
      </c>
      <c r="K125" s="71">
        <v>4502024</v>
      </c>
      <c r="L125" s="515" t="s">
        <v>357</v>
      </c>
      <c r="M125" s="100">
        <v>450202400</v>
      </c>
      <c r="N125" s="203" t="s">
        <v>358</v>
      </c>
      <c r="O125" s="386">
        <v>450202400</v>
      </c>
      <c r="P125" s="203" t="s">
        <v>358</v>
      </c>
      <c r="Q125" s="95" t="s">
        <v>51</v>
      </c>
      <c r="R125" s="112">
        <v>10</v>
      </c>
      <c r="S125" s="95" t="s">
        <v>359</v>
      </c>
      <c r="T125" s="515" t="s">
        <v>360</v>
      </c>
      <c r="U125" s="515" t="s">
        <v>361</v>
      </c>
      <c r="V125" s="113"/>
      <c r="W125" s="113"/>
      <c r="X125" s="113"/>
      <c r="Y125" s="113"/>
      <c r="Z125" s="113"/>
      <c r="AA125" s="113"/>
      <c r="AB125" s="113"/>
      <c r="AC125" s="113"/>
      <c r="AD125" s="113"/>
      <c r="AE125" s="113"/>
      <c r="AF125" s="148">
        <f>50000000+39000000</f>
        <v>89000000</v>
      </c>
      <c r="AG125" s="113"/>
      <c r="AH125" s="113"/>
      <c r="AI125" s="113"/>
      <c r="AJ125" s="204">
        <f>+V125+W125+X125+Y125+Z125+AA125+AB125+AC125+AD125+AE125+AF125+AG125+AH125</f>
        <v>89000000</v>
      </c>
      <c r="AK125" s="204" t="s">
        <v>280</v>
      </c>
      <c r="AL125" s="198" t="s">
        <v>1554</v>
      </c>
      <c r="AM125" s="7"/>
    </row>
    <row r="126" spans="1:77" ht="100.5" customHeight="1" x14ac:dyDescent="0.2">
      <c r="A126" s="130"/>
      <c r="B126" s="87"/>
      <c r="C126" s="87"/>
      <c r="D126" s="87"/>
      <c r="E126" s="87"/>
      <c r="F126" s="511"/>
      <c r="G126" s="513"/>
      <c r="H126" s="506" t="s">
        <v>71</v>
      </c>
      <c r="I126" s="76">
        <v>4502001</v>
      </c>
      <c r="J126" s="506" t="s">
        <v>82</v>
      </c>
      <c r="K126" s="76">
        <v>4502001</v>
      </c>
      <c r="L126" s="506" t="s">
        <v>82</v>
      </c>
      <c r="M126" s="511">
        <v>450200100</v>
      </c>
      <c r="N126" s="505" t="s">
        <v>362</v>
      </c>
      <c r="O126" s="69">
        <v>450200100</v>
      </c>
      <c r="P126" s="505" t="s">
        <v>84</v>
      </c>
      <c r="Q126" s="191" t="s">
        <v>51</v>
      </c>
      <c r="R126" s="112">
        <v>3</v>
      </c>
      <c r="S126" s="970" t="s">
        <v>363</v>
      </c>
      <c r="T126" s="966" t="s">
        <v>364</v>
      </c>
      <c r="U126" s="972" t="s">
        <v>365</v>
      </c>
      <c r="V126" s="135"/>
      <c r="W126" s="135"/>
      <c r="X126" s="135"/>
      <c r="Y126" s="135"/>
      <c r="Z126" s="135"/>
      <c r="AA126" s="135"/>
      <c r="AB126" s="135"/>
      <c r="AC126" s="135"/>
      <c r="AD126" s="135"/>
      <c r="AE126" s="135"/>
      <c r="AF126" s="148">
        <f>130000000+25000000</f>
        <v>155000000</v>
      </c>
      <c r="AG126" s="135"/>
      <c r="AH126" s="135"/>
      <c r="AI126" s="135"/>
      <c r="AJ126" s="136">
        <f>+V126+W126+X126+Y126+Z126+AA126+AB126+AC126+AD126+AE126+AF126+AG126+AH126</f>
        <v>155000000</v>
      </c>
      <c r="AK126" s="136" t="s">
        <v>280</v>
      </c>
      <c r="AL126" s="198" t="s">
        <v>1554</v>
      </c>
      <c r="AM126" s="7"/>
    </row>
    <row r="127" spans="1:77" ht="87" customHeight="1" x14ac:dyDescent="0.2">
      <c r="A127" s="130"/>
      <c r="B127" s="87"/>
      <c r="C127" s="87"/>
      <c r="D127" s="87"/>
      <c r="E127" s="87"/>
      <c r="F127" s="511"/>
      <c r="G127" s="513"/>
      <c r="H127" s="506" t="s">
        <v>71</v>
      </c>
      <c r="I127" s="69" t="s">
        <v>46</v>
      </c>
      <c r="J127" s="515" t="s">
        <v>366</v>
      </c>
      <c r="K127" s="101">
        <v>4502001</v>
      </c>
      <c r="L127" s="506" t="s">
        <v>82</v>
      </c>
      <c r="M127" s="69" t="s">
        <v>46</v>
      </c>
      <c r="N127" s="505" t="s">
        <v>367</v>
      </c>
      <c r="O127" s="101">
        <v>450200111</v>
      </c>
      <c r="P127" s="505" t="s">
        <v>368</v>
      </c>
      <c r="Q127" s="191" t="s">
        <v>51</v>
      </c>
      <c r="R127" s="206">
        <v>1</v>
      </c>
      <c r="S127" s="970"/>
      <c r="T127" s="966"/>
      <c r="U127" s="973"/>
      <c r="V127" s="135"/>
      <c r="W127" s="135"/>
      <c r="X127" s="135"/>
      <c r="Y127" s="135"/>
      <c r="Z127" s="135"/>
      <c r="AA127" s="135"/>
      <c r="AB127" s="135"/>
      <c r="AC127" s="135"/>
      <c r="AD127" s="135"/>
      <c r="AE127" s="135"/>
      <c r="AF127" s="145">
        <v>73000000</v>
      </c>
      <c r="AG127" s="135"/>
      <c r="AH127" s="135"/>
      <c r="AI127" s="135"/>
      <c r="AJ127" s="136">
        <f>+V127+W127+X127+Y127+Z127+AA127+AB127+AC127+AD127+AE127+AF127+AG127+AH127</f>
        <v>73000000</v>
      </c>
      <c r="AK127" s="136" t="s">
        <v>280</v>
      </c>
      <c r="AL127" s="198" t="s">
        <v>1554</v>
      </c>
      <c r="AM127" s="7"/>
    </row>
    <row r="128" spans="1:77" ht="126" customHeight="1" x14ac:dyDescent="0.2">
      <c r="A128" s="130"/>
      <c r="B128" s="87"/>
      <c r="C128" s="87"/>
      <c r="D128" s="87"/>
      <c r="E128" s="87"/>
      <c r="F128" s="511"/>
      <c r="G128" s="513"/>
      <c r="H128" s="506" t="s">
        <v>71</v>
      </c>
      <c r="I128" s="69" t="s">
        <v>46</v>
      </c>
      <c r="J128" s="515" t="s">
        <v>369</v>
      </c>
      <c r="K128" s="71">
        <v>4502001</v>
      </c>
      <c r="L128" s="515" t="s">
        <v>82</v>
      </c>
      <c r="M128" s="69" t="s">
        <v>46</v>
      </c>
      <c r="N128" s="505" t="s">
        <v>1516</v>
      </c>
      <c r="O128" s="71">
        <v>450200109</v>
      </c>
      <c r="P128" s="505" t="s">
        <v>370</v>
      </c>
      <c r="Q128" s="191" t="s">
        <v>51</v>
      </c>
      <c r="R128" s="112">
        <v>12</v>
      </c>
      <c r="S128" s="970"/>
      <c r="T128" s="966"/>
      <c r="U128" s="973"/>
      <c r="V128" s="135"/>
      <c r="W128" s="135"/>
      <c r="X128" s="135"/>
      <c r="Y128" s="135"/>
      <c r="Z128" s="135"/>
      <c r="AA128" s="135"/>
      <c r="AB128" s="135"/>
      <c r="AC128" s="135"/>
      <c r="AD128" s="135"/>
      <c r="AE128" s="135"/>
      <c r="AF128" s="145">
        <f>35000000+35893401</f>
        <v>70893401</v>
      </c>
      <c r="AG128" s="135"/>
      <c r="AH128" s="135"/>
      <c r="AI128" s="135"/>
      <c r="AJ128" s="136">
        <f>+V128+W128+X128+Y128+Z128+AA128+AB128+AC128+AD128+AE128+AF128+AG128+AH128</f>
        <v>70893401</v>
      </c>
      <c r="AK128" s="136" t="s">
        <v>280</v>
      </c>
      <c r="AL128" s="198" t="s">
        <v>1554</v>
      </c>
      <c r="AM128" s="7"/>
    </row>
    <row r="129" spans="1:77" ht="80.25" customHeight="1" x14ac:dyDescent="0.2">
      <c r="A129" s="130"/>
      <c r="B129" s="87"/>
      <c r="C129" s="87"/>
      <c r="D129" s="87"/>
      <c r="E129" s="87"/>
      <c r="F129" s="511"/>
      <c r="G129" s="513"/>
      <c r="H129" s="506" t="s">
        <v>71</v>
      </c>
      <c r="I129" s="69" t="s">
        <v>46</v>
      </c>
      <c r="J129" s="515" t="s">
        <v>371</v>
      </c>
      <c r="K129" s="101">
        <v>4502035</v>
      </c>
      <c r="L129" s="515" t="s">
        <v>372</v>
      </c>
      <c r="M129" s="69" t="s">
        <v>46</v>
      </c>
      <c r="N129" s="505" t="s">
        <v>373</v>
      </c>
      <c r="O129" s="101">
        <v>450203501</v>
      </c>
      <c r="P129" s="505" t="s">
        <v>374</v>
      </c>
      <c r="Q129" s="191" t="s">
        <v>67</v>
      </c>
      <c r="R129" s="112">
        <v>0.4</v>
      </c>
      <c r="S129" s="970"/>
      <c r="T129" s="966"/>
      <c r="U129" s="974"/>
      <c r="V129" s="135"/>
      <c r="W129" s="135"/>
      <c r="X129" s="135"/>
      <c r="Y129" s="135"/>
      <c r="Z129" s="135"/>
      <c r="AA129" s="135"/>
      <c r="AB129" s="135"/>
      <c r="AC129" s="135"/>
      <c r="AD129" s="135"/>
      <c r="AE129" s="135"/>
      <c r="AF129" s="145">
        <f>25000000+19600000</f>
        <v>44600000</v>
      </c>
      <c r="AG129" s="135"/>
      <c r="AH129" s="135"/>
      <c r="AI129" s="135"/>
      <c r="AJ129" s="136">
        <f>+V129+W129+X129+Y129+Z129+AA129+AB129+AC129+AD129+AE129+AF129+AG129+AH129</f>
        <v>44600000</v>
      </c>
      <c r="AK129" s="136" t="s">
        <v>280</v>
      </c>
      <c r="AL129" s="198" t="s">
        <v>1554</v>
      </c>
      <c r="AM129" s="7"/>
    </row>
    <row r="130" spans="1:77" s="436" customFormat="1" ht="16.5" customHeight="1" x14ac:dyDescent="0.25">
      <c r="A130" s="432"/>
      <c r="B130" s="432"/>
      <c r="C130" s="432"/>
      <c r="D130" s="432"/>
      <c r="E130" s="432"/>
      <c r="F130" s="432"/>
      <c r="G130" s="432"/>
      <c r="H130" s="433"/>
      <c r="I130" s="432"/>
      <c r="J130" s="432"/>
      <c r="K130" s="432"/>
      <c r="L130" s="432"/>
      <c r="M130" s="432"/>
      <c r="N130" s="432"/>
      <c r="O130" s="432"/>
      <c r="P130" s="432"/>
      <c r="Q130" s="434"/>
      <c r="R130" s="432"/>
      <c r="S130" s="434"/>
      <c r="T130" s="434"/>
      <c r="U130" s="434"/>
      <c r="V130" s="435"/>
      <c r="W130" s="435"/>
      <c r="X130" s="435"/>
      <c r="Y130" s="435"/>
      <c r="Z130" s="435"/>
      <c r="AA130" s="435"/>
      <c r="AB130" s="435"/>
      <c r="AC130" s="435"/>
      <c r="AD130" s="435"/>
      <c r="AE130" s="435"/>
      <c r="AF130" s="435"/>
      <c r="AG130" s="435"/>
      <c r="AH130" s="435"/>
      <c r="AI130" s="435"/>
      <c r="AJ130" s="435"/>
      <c r="AK130" s="435"/>
      <c r="AL130" s="435"/>
      <c r="AM130" s="7"/>
    </row>
    <row r="131" spans="1:77" s="365" customFormat="1" ht="24" customHeight="1" x14ac:dyDescent="0.2">
      <c r="A131" s="34" t="s">
        <v>375</v>
      </c>
      <c r="B131" s="34"/>
      <c r="C131" s="34"/>
      <c r="D131" s="34"/>
      <c r="E131" s="34"/>
      <c r="F131" s="35"/>
      <c r="G131" s="578"/>
      <c r="H131" s="600"/>
      <c r="I131" s="600"/>
      <c r="J131" s="600"/>
      <c r="K131" s="601"/>
      <c r="L131" s="600"/>
      <c r="M131" s="600"/>
      <c r="N131" s="602"/>
      <c r="O131" s="603"/>
      <c r="P131" s="602"/>
      <c r="Q131" s="604"/>
      <c r="R131" s="603"/>
      <c r="S131" s="579"/>
      <c r="T131" s="362"/>
      <c r="U131" s="362"/>
      <c r="V131" s="358">
        <f>V132</f>
        <v>2980319083.0199995</v>
      </c>
      <c r="W131" s="358">
        <f t="shared" ref="W131:AJ132" si="58">W132</f>
        <v>0</v>
      </c>
      <c r="X131" s="358">
        <f t="shared" si="58"/>
        <v>0</v>
      </c>
      <c r="Y131" s="358">
        <f t="shared" si="58"/>
        <v>0</v>
      </c>
      <c r="Z131" s="358">
        <f t="shared" si="58"/>
        <v>0</v>
      </c>
      <c r="AA131" s="358">
        <f t="shared" si="58"/>
        <v>0</v>
      </c>
      <c r="AB131" s="358">
        <f t="shared" si="58"/>
        <v>0</v>
      </c>
      <c r="AC131" s="358">
        <f t="shared" si="58"/>
        <v>0</v>
      </c>
      <c r="AD131" s="358">
        <f t="shared" si="58"/>
        <v>0</v>
      </c>
      <c r="AE131" s="358">
        <f t="shared" si="58"/>
        <v>0</v>
      </c>
      <c r="AF131" s="358">
        <f t="shared" si="58"/>
        <v>875000000</v>
      </c>
      <c r="AG131" s="358">
        <f t="shared" si="58"/>
        <v>263072575.30000001</v>
      </c>
      <c r="AH131" s="358">
        <f t="shared" si="58"/>
        <v>0</v>
      </c>
      <c r="AI131" s="358"/>
      <c r="AJ131" s="358">
        <f t="shared" si="58"/>
        <v>4118391658.3200002</v>
      </c>
      <c r="AK131" s="358"/>
      <c r="AL131" s="359"/>
      <c r="AM131" s="7"/>
      <c r="AN131" s="364"/>
      <c r="AO131" s="364"/>
      <c r="AP131" s="364"/>
      <c r="AQ131" s="364"/>
      <c r="AR131" s="364"/>
      <c r="AS131" s="364"/>
      <c r="AT131" s="364"/>
      <c r="AU131" s="364"/>
      <c r="AV131" s="364"/>
      <c r="AW131" s="364"/>
      <c r="AX131" s="364"/>
      <c r="AY131" s="364"/>
      <c r="AZ131" s="364"/>
      <c r="BA131" s="364"/>
      <c r="BB131" s="364"/>
      <c r="BC131" s="364"/>
      <c r="BD131" s="364"/>
      <c r="BE131" s="364"/>
      <c r="BF131" s="364"/>
      <c r="BG131" s="364"/>
      <c r="BH131" s="364"/>
      <c r="BI131" s="364"/>
      <c r="BJ131" s="364"/>
      <c r="BK131" s="364"/>
      <c r="BL131" s="364"/>
      <c r="BM131" s="364"/>
      <c r="BN131" s="364"/>
      <c r="BO131" s="364"/>
      <c r="BP131" s="364"/>
      <c r="BQ131" s="364"/>
      <c r="BR131" s="364"/>
      <c r="BS131" s="364"/>
      <c r="BT131" s="364"/>
      <c r="BU131" s="364"/>
      <c r="BV131" s="364"/>
      <c r="BW131" s="364"/>
      <c r="BX131" s="364"/>
      <c r="BY131" s="364"/>
    </row>
    <row r="132" spans="1:77" ht="24" customHeight="1" x14ac:dyDescent="0.2">
      <c r="A132" s="130"/>
      <c r="B132" s="116">
        <v>1</v>
      </c>
      <c r="C132" s="116"/>
      <c r="D132" s="61" t="s">
        <v>148</v>
      </c>
      <c r="E132" s="157"/>
      <c r="F132" s="61"/>
      <c r="G132" s="163"/>
      <c r="H132" s="366"/>
      <c r="I132" s="366"/>
      <c r="J132" s="165"/>
      <c r="K132" s="164"/>
      <c r="L132" s="165"/>
      <c r="M132" s="165"/>
      <c r="N132" s="167"/>
      <c r="O132" s="166"/>
      <c r="P132" s="167"/>
      <c r="Q132" s="168"/>
      <c r="R132" s="166"/>
      <c r="S132" s="626"/>
      <c r="T132" s="118"/>
      <c r="U132" s="118"/>
      <c r="V132" s="119">
        <f>V133</f>
        <v>2980319083.0199995</v>
      </c>
      <c r="W132" s="119">
        <f t="shared" si="58"/>
        <v>0</v>
      </c>
      <c r="X132" s="119">
        <f t="shared" si="58"/>
        <v>0</v>
      </c>
      <c r="Y132" s="119">
        <f t="shared" si="58"/>
        <v>0</v>
      </c>
      <c r="Z132" s="119">
        <f t="shared" si="58"/>
        <v>0</v>
      </c>
      <c r="AA132" s="119">
        <f t="shared" si="58"/>
        <v>0</v>
      </c>
      <c r="AB132" s="119">
        <f t="shared" si="58"/>
        <v>0</v>
      </c>
      <c r="AC132" s="119">
        <f t="shared" si="58"/>
        <v>0</v>
      </c>
      <c r="AD132" s="119">
        <f t="shared" si="58"/>
        <v>0</v>
      </c>
      <c r="AE132" s="119">
        <f t="shared" si="58"/>
        <v>0</v>
      </c>
      <c r="AF132" s="119">
        <f t="shared" si="58"/>
        <v>875000000</v>
      </c>
      <c r="AG132" s="119">
        <f t="shared" si="58"/>
        <v>263072575.30000001</v>
      </c>
      <c r="AH132" s="119">
        <f t="shared" si="58"/>
        <v>0</v>
      </c>
      <c r="AI132" s="119"/>
      <c r="AJ132" s="119">
        <f>AJ133</f>
        <v>4118391658.3200002</v>
      </c>
      <c r="AK132" s="119"/>
      <c r="AL132" s="152"/>
      <c r="AM132" s="7"/>
    </row>
    <row r="133" spans="1:77" s="8" customFormat="1" ht="24" customHeight="1" x14ac:dyDescent="0.25">
      <c r="A133" s="115"/>
      <c r="B133" s="70"/>
      <c r="C133" s="70"/>
      <c r="D133" s="64">
        <v>33</v>
      </c>
      <c r="E133" s="183" t="s">
        <v>179</v>
      </c>
      <c r="F133" s="62"/>
      <c r="G133" s="120"/>
      <c r="H133" s="121"/>
      <c r="I133" s="121"/>
      <c r="J133" s="123"/>
      <c r="K133" s="122"/>
      <c r="L133" s="123"/>
      <c r="M133" s="123"/>
      <c r="N133" s="125"/>
      <c r="O133" s="124"/>
      <c r="P133" s="125"/>
      <c r="Q133" s="126"/>
      <c r="R133" s="124"/>
      <c r="S133" s="186"/>
      <c r="T133" s="128"/>
      <c r="U133" s="128"/>
      <c r="V133" s="129">
        <f>V134+V143</f>
        <v>2980319083.0199995</v>
      </c>
      <c r="W133" s="129">
        <f t="shared" ref="W133:AJ133" si="59">W134+W143</f>
        <v>0</v>
      </c>
      <c r="X133" s="129">
        <f t="shared" si="59"/>
        <v>0</v>
      </c>
      <c r="Y133" s="129">
        <f t="shared" si="59"/>
        <v>0</v>
      </c>
      <c r="Z133" s="129">
        <f t="shared" si="59"/>
        <v>0</v>
      </c>
      <c r="AA133" s="129">
        <f t="shared" si="59"/>
        <v>0</v>
      </c>
      <c r="AB133" s="129">
        <f t="shared" si="59"/>
        <v>0</v>
      </c>
      <c r="AC133" s="129">
        <f t="shared" si="59"/>
        <v>0</v>
      </c>
      <c r="AD133" s="129">
        <f t="shared" si="59"/>
        <v>0</v>
      </c>
      <c r="AE133" s="129">
        <f t="shared" si="59"/>
        <v>0</v>
      </c>
      <c r="AF133" s="129">
        <f t="shared" si="59"/>
        <v>875000000</v>
      </c>
      <c r="AG133" s="129">
        <f t="shared" si="59"/>
        <v>263072575.30000001</v>
      </c>
      <c r="AH133" s="129">
        <f t="shared" si="59"/>
        <v>0</v>
      </c>
      <c r="AI133" s="129"/>
      <c r="AJ133" s="129">
        <f t="shared" si="59"/>
        <v>4118391658.3200002</v>
      </c>
      <c r="AK133" s="129"/>
      <c r="AL133" s="153"/>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row>
    <row r="134" spans="1:77" ht="24" customHeight="1" x14ac:dyDescent="0.2">
      <c r="A134" s="130"/>
      <c r="B134" s="78"/>
      <c r="C134" s="78"/>
      <c r="D134" s="78"/>
      <c r="E134" s="78"/>
      <c r="F134" s="138">
        <v>3301</v>
      </c>
      <c r="G134" s="68" t="s">
        <v>180</v>
      </c>
      <c r="H134" s="177"/>
      <c r="I134" s="177"/>
      <c r="J134" s="595"/>
      <c r="K134" s="623"/>
      <c r="L134" s="595"/>
      <c r="M134" s="595"/>
      <c r="N134" s="590"/>
      <c r="O134" s="591"/>
      <c r="P134" s="590"/>
      <c r="Q134" s="624"/>
      <c r="R134" s="591"/>
      <c r="S134" s="625"/>
      <c r="T134" s="132"/>
      <c r="U134" s="132"/>
      <c r="V134" s="133">
        <f>SUM(V135:V142)</f>
        <v>2980319083.0199995</v>
      </c>
      <c r="W134" s="133">
        <f t="shared" ref="W134:AJ134" si="60">SUM(W135:W142)</f>
        <v>0</v>
      </c>
      <c r="X134" s="133">
        <f t="shared" si="60"/>
        <v>0</v>
      </c>
      <c r="Y134" s="133">
        <f t="shared" si="60"/>
        <v>0</v>
      </c>
      <c r="Z134" s="133">
        <f t="shared" si="60"/>
        <v>0</v>
      </c>
      <c r="AA134" s="133">
        <f t="shared" si="60"/>
        <v>0</v>
      </c>
      <c r="AB134" s="133">
        <f t="shared" si="60"/>
        <v>0</v>
      </c>
      <c r="AC134" s="133">
        <f t="shared" si="60"/>
        <v>0</v>
      </c>
      <c r="AD134" s="133">
        <f t="shared" si="60"/>
        <v>0</v>
      </c>
      <c r="AE134" s="133">
        <f t="shared" si="60"/>
        <v>0</v>
      </c>
      <c r="AF134" s="133">
        <f t="shared" si="60"/>
        <v>742000000</v>
      </c>
      <c r="AG134" s="133">
        <f t="shared" si="60"/>
        <v>0</v>
      </c>
      <c r="AH134" s="133">
        <f t="shared" si="60"/>
        <v>0</v>
      </c>
      <c r="AI134" s="133"/>
      <c r="AJ134" s="133">
        <f t="shared" si="60"/>
        <v>3722319083.02</v>
      </c>
      <c r="AK134" s="133"/>
      <c r="AL134" s="140"/>
      <c r="AM134" s="7"/>
    </row>
    <row r="135" spans="1:77" ht="144" customHeight="1" x14ac:dyDescent="0.2">
      <c r="A135" s="130"/>
      <c r="B135" s="78"/>
      <c r="C135" s="78"/>
      <c r="D135" s="78"/>
      <c r="E135" s="78"/>
      <c r="F135" s="74"/>
      <c r="G135" s="84"/>
      <c r="H135" s="515" t="s">
        <v>376</v>
      </c>
      <c r="I135" s="511">
        <v>3301087</v>
      </c>
      <c r="J135" s="506" t="s">
        <v>377</v>
      </c>
      <c r="K135" s="511">
        <v>3301087</v>
      </c>
      <c r="L135" s="506" t="s">
        <v>377</v>
      </c>
      <c r="M135" s="511">
        <v>330108701</v>
      </c>
      <c r="N135" s="505" t="s">
        <v>346</v>
      </c>
      <c r="O135" s="511">
        <v>330108701</v>
      </c>
      <c r="P135" s="505" t="s">
        <v>346</v>
      </c>
      <c r="Q135" s="513" t="s">
        <v>67</v>
      </c>
      <c r="R135" s="112">
        <v>5700</v>
      </c>
      <c r="S135" s="976" t="s">
        <v>378</v>
      </c>
      <c r="T135" s="949" t="s">
        <v>379</v>
      </c>
      <c r="U135" s="955" t="s">
        <v>380</v>
      </c>
      <c r="V135" s="401"/>
      <c r="W135" s="135"/>
      <c r="X135" s="135"/>
      <c r="Y135" s="135"/>
      <c r="Z135" s="135"/>
      <c r="AA135" s="135"/>
      <c r="AB135" s="135"/>
      <c r="AC135" s="135"/>
      <c r="AD135" s="135"/>
      <c r="AE135" s="135"/>
      <c r="AF135" s="207">
        <f>370000000-80000000+80000000</f>
        <v>370000000</v>
      </c>
      <c r="AG135" s="135"/>
      <c r="AH135" s="135"/>
      <c r="AI135" s="135"/>
      <c r="AJ135" s="136">
        <f t="shared" ref="AJ135:AJ142" si="61">+V135+W135+X135+Y135+Z135+AA135+AB135+AC135+AD135+AE135+AF135+AG135+AH135</f>
        <v>370000000</v>
      </c>
      <c r="AK135" s="136" t="s">
        <v>381</v>
      </c>
      <c r="AL135" s="60" t="s">
        <v>1552</v>
      </c>
      <c r="AM135" s="7"/>
    </row>
    <row r="136" spans="1:77" ht="135" customHeight="1" x14ac:dyDescent="0.2">
      <c r="A136" s="130"/>
      <c r="B136" s="78"/>
      <c r="C136" s="78"/>
      <c r="D136" s="78"/>
      <c r="E136" s="78"/>
      <c r="F136" s="74"/>
      <c r="G136" s="75"/>
      <c r="H136" s="515" t="s">
        <v>181</v>
      </c>
      <c r="I136" s="511">
        <v>3301073</v>
      </c>
      <c r="J136" s="506" t="s">
        <v>382</v>
      </c>
      <c r="K136" s="511">
        <v>3301073</v>
      </c>
      <c r="L136" s="506" t="s">
        <v>382</v>
      </c>
      <c r="M136" s="511">
        <v>330107301</v>
      </c>
      <c r="N136" s="505" t="s">
        <v>383</v>
      </c>
      <c r="O136" s="511">
        <v>330107301</v>
      </c>
      <c r="P136" s="505" t="s">
        <v>383</v>
      </c>
      <c r="Q136" s="513" t="s">
        <v>67</v>
      </c>
      <c r="R136" s="112">
        <v>500</v>
      </c>
      <c r="S136" s="976"/>
      <c r="T136" s="949"/>
      <c r="U136" s="955"/>
      <c r="V136" s="207">
        <f>919912475+183982494.6+176183734.3</f>
        <v>1280078703.8999999</v>
      </c>
      <c r="W136" s="135"/>
      <c r="X136" s="135"/>
      <c r="Y136" s="135"/>
      <c r="Z136" s="135"/>
      <c r="AA136" s="135"/>
      <c r="AB136" s="135"/>
      <c r="AC136" s="135"/>
      <c r="AD136" s="135"/>
      <c r="AE136" s="135"/>
      <c r="AF136" s="208">
        <f>150000000+24600000+30000000+50000000</f>
        <v>254600000</v>
      </c>
      <c r="AG136" s="135"/>
      <c r="AH136" s="135"/>
      <c r="AI136" s="135"/>
      <c r="AJ136" s="136">
        <f t="shared" si="61"/>
        <v>1534678703.8999999</v>
      </c>
      <c r="AK136" s="136" t="s">
        <v>381</v>
      </c>
      <c r="AL136" s="60" t="s">
        <v>1552</v>
      </c>
      <c r="AM136" s="7"/>
    </row>
    <row r="137" spans="1:77" ht="151.5" customHeight="1" x14ac:dyDescent="0.2">
      <c r="A137" s="130"/>
      <c r="B137" s="78"/>
      <c r="C137" s="78"/>
      <c r="D137" s="78"/>
      <c r="E137" s="78"/>
      <c r="F137" s="74"/>
      <c r="G137" s="75"/>
      <c r="H137" s="515" t="s">
        <v>384</v>
      </c>
      <c r="I137" s="69" t="s">
        <v>46</v>
      </c>
      <c r="J137" s="515" t="s">
        <v>385</v>
      </c>
      <c r="K137" s="71">
        <v>3301070</v>
      </c>
      <c r="L137" s="515" t="s">
        <v>386</v>
      </c>
      <c r="M137" s="69" t="s">
        <v>46</v>
      </c>
      <c r="N137" s="505" t="s">
        <v>387</v>
      </c>
      <c r="O137" s="71">
        <v>330107000</v>
      </c>
      <c r="P137" s="505" t="s">
        <v>97</v>
      </c>
      <c r="Q137" s="178" t="s">
        <v>67</v>
      </c>
      <c r="R137" s="112">
        <v>0.3</v>
      </c>
      <c r="S137" s="976"/>
      <c r="T137" s="949"/>
      <c r="U137" s="955"/>
      <c r="V137" s="402"/>
      <c r="W137" s="135"/>
      <c r="X137" s="135"/>
      <c r="Y137" s="135"/>
      <c r="Z137" s="135"/>
      <c r="AA137" s="135"/>
      <c r="AB137" s="135"/>
      <c r="AC137" s="135"/>
      <c r="AD137" s="135"/>
      <c r="AE137" s="135"/>
      <c r="AF137" s="207">
        <v>36000000</v>
      </c>
      <c r="AG137" s="135"/>
      <c r="AH137" s="135"/>
      <c r="AI137" s="135"/>
      <c r="AJ137" s="136">
        <f t="shared" si="61"/>
        <v>36000000</v>
      </c>
      <c r="AK137" s="136" t="s">
        <v>381</v>
      </c>
      <c r="AL137" s="60" t="s">
        <v>1552</v>
      </c>
      <c r="AM137" s="7"/>
    </row>
    <row r="138" spans="1:77" ht="96" customHeight="1" x14ac:dyDescent="0.2">
      <c r="A138" s="130"/>
      <c r="B138" s="78"/>
      <c r="C138" s="78"/>
      <c r="D138" s="78"/>
      <c r="E138" s="78"/>
      <c r="F138" s="74"/>
      <c r="G138" s="75"/>
      <c r="H138" s="515" t="s">
        <v>181</v>
      </c>
      <c r="I138" s="71">
        <v>3301099</v>
      </c>
      <c r="J138" s="515" t="s">
        <v>1517</v>
      </c>
      <c r="K138" s="71">
        <v>3301099</v>
      </c>
      <c r="L138" s="515" t="s">
        <v>1517</v>
      </c>
      <c r="M138" s="71">
        <v>330109900</v>
      </c>
      <c r="N138" s="505" t="s">
        <v>1518</v>
      </c>
      <c r="O138" s="71">
        <v>330109900</v>
      </c>
      <c r="P138" s="505" t="s">
        <v>1518</v>
      </c>
      <c r="Q138" s="178" t="s">
        <v>51</v>
      </c>
      <c r="R138" s="112">
        <v>1</v>
      </c>
      <c r="S138" s="976"/>
      <c r="T138" s="949"/>
      <c r="U138" s="955"/>
      <c r="V138" s="402"/>
      <c r="W138" s="135"/>
      <c r="X138" s="135"/>
      <c r="Y138" s="135"/>
      <c r="Z138" s="135"/>
      <c r="AA138" s="135"/>
      <c r="AB138" s="135"/>
      <c r="AC138" s="135"/>
      <c r="AD138" s="135"/>
      <c r="AE138" s="135"/>
      <c r="AF138" s="207">
        <f>30000000-24600000</f>
        <v>5400000</v>
      </c>
      <c r="AG138" s="135"/>
      <c r="AH138" s="135"/>
      <c r="AI138" s="135"/>
      <c r="AJ138" s="136">
        <f t="shared" si="61"/>
        <v>5400000</v>
      </c>
      <c r="AK138" s="136" t="s">
        <v>381</v>
      </c>
      <c r="AL138" s="60" t="s">
        <v>1552</v>
      </c>
      <c r="AM138" s="7"/>
    </row>
    <row r="139" spans="1:77" ht="139.5" customHeight="1" x14ac:dyDescent="0.2">
      <c r="A139" s="130"/>
      <c r="B139" s="78"/>
      <c r="C139" s="78"/>
      <c r="D139" s="78"/>
      <c r="E139" s="78"/>
      <c r="F139" s="74"/>
      <c r="G139" s="84"/>
      <c r="H139" s="515" t="s">
        <v>376</v>
      </c>
      <c r="I139" s="511">
        <v>3301052</v>
      </c>
      <c r="J139" s="509" t="s">
        <v>388</v>
      </c>
      <c r="K139" s="511">
        <v>3301052</v>
      </c>
      <c r="L139" s="509" t="s">
        <v>388</v>
      </c>
      <c r="M139" s="209">
        <v>330105203</v>
      </c>
      <c r="N139" s="505" t="s">
        <v>389</v>
      </c>
      <c r="O139" s="209">
        <v>330105203</v>
      </c>
      <c r="P139" s="505" t="s">
        <v>389</v>
      </c>
      <c r="Q139" s="178" t="s">
        <v>51</v>
      </c>
      <c r="R139" s="112">
        <v>135</v>
      </c>
      <c r="S139" s="976"/>
      <c r="T139" s="949"/>
      <c r="U139" s="955"/>
      <c r="V139" s="402"/>
      <c r="W139" s="135"/>
      <c r="X139" s="135"/>
      <c r="Y139" s="135"/>
      <c r="Z139" s="135"/>
      <c r="AA139" s="135"/>
      <c r="AB139" s="135"/>
      <c r="AC139" s="135"/>
      <c r="AD139" s="135"/>
      <c r="AE139" s="135"/>
      <c r="AF139" s="207">
        <v>18000000</v>
      </c>
      <c r="AG139" s="135"/>
      <c r="AH139" s="135"/>
      <c r="AI139" s="135"/>
      <c r="AJ139" s="136">
        <f t="shared" si="61"/>
        <v>18000000</v>
      </c>
      <c r="AK139" s="136" t="s">
        <v>381</v>
      </c>
      <c r="AL139" s="60" t="s">
        <v>1552</v>
      </c>
      <c r="AM139" s="7"/>
    </row>
    <row r="140" spans="1:77" ht="103.5" customHeight="1" x14ac:dyDescent="0.2">
      <c r="A140" s="130"/>
      <c r="B140" s="78"/>
      <c r="C140" s="78"/>
      <c r="D140" s="78"/>
      <c r="E140" s="78"/>
      <c r="F140" s="74"/>
      <c r="G140" s="505"/>
      <c r="H140" s="515" t="s">
        <v>390</v>
      </c>
      <c r="I140" s="511">
        <v>3301085</v>
      </c>
      <c r="J140" s="506" t="s">
        <v>391</v>
      </c>
      <c r="K140" s="511">
        <v>3301085</v>
      </c>
      <c r="L140" s="506" t="s">
        <v>391</v>
      </c>
      <c r="M140" s="511" t="s">
        <v>392</v>
      </c>
      <c r="N140" s="505" t="s">
        <v>393</v>
      </c>
      <c r="O140" s="511" t="s">
        <v>392</v>
      </c>
      <c r="P140" s="505" t="s">
        <v>393</v>
      </c>
      <c r="Q140" s="513" t="s">
        <v>67</v>
      </c>
      <c r="R140" s="112">
        <v>40000</v>
      </c>
      <c r="S140" s="976" t="s">
        <v>394</v>
      </c>
      <c r="T140" s="949" t="s">
        <v>395</v>
      </c>
      <c r="U140" s="971" t="s">
        <v>396</v>
      </c>
      <c r="V140" s="207">
        <f>80000000+75000000</f>
        <v>155000000</v>
      </c>
      <c r="W140" s="135"/>
      <c r="X140" s="135"/>
      <c r="Y140" s="135"/>
      <c r="Z140" s="135"/>
      <c r="AA140" s="135"/>
      <c r="AB140" s="135"/>
      <c r="AC140" s="135"/>
      <c r="AD140" s="135"/>
      <c r="AE140" s="135"/>
      <c r="AF140" s="208">
        <f>20000000</f>
        <v>20000000</v>
      </c>
      <c r="AG140" s="135"/>
      <c r="AH140" s="135"/>
      <c r="AI140" s="135"/>
      <c r="AJ140" s="136">
        <f t="shared" si="61"/>
        <v>175000000</v>
      </c>
      <c r="AK140" s="136" t="s">
        <v>381</v>
      </c>
      <c r="AL140" s="60" t="s">
        <v>1552</v>
      </c>
      <c r="AM140" s="7"/>
    </row>
    <row r="141" spans="1:77" ht="100.5" customHeight="1" x14ac:dyDescent="0.2">
      <c r="A141" s="130"/>
      <c r="B141" s="78"/>
      <c r="C141" s="78"/>
      <c r="D141" s="78"/>
      <c r="E141" s="78"/>
      <c r="F141" s="74"/>
      <c r="G141" s="505"/>
      <c r="H141" s="515" t="s">
        <v>390</v>
      </c>
      <c r="I141" s="511">
        <v>3301100</v>
      </c>
      <c r="J141" s="506" t="s">
        <v>397</v>
      </c>
      <c r="K141" s="511">
        <v>3301100</v>
      </c>
      <c r="L141" s="506" t="s">
        <v>397</v>
      </c>
      <c r="M141" s="210" t="s">
        <v>398</v>
      </c>
      <c r="N141" s="521" t="s">
        <v>399</v>
      </c>
      <c r="O141" s="210" t="s">
        <v>398</v>
      </c>
      <c r="P141" s="521" t="s">
        <v>399</v>
      </c>
      <c r="Q141" s="513" t="s">
        <v>67</v>
      </c>
      <c r="R141" s="112">
        <v>10</v>
      </c>
      <c r="S141" s="976"/>
      <c r="T141" s="949"/>
      <c r="U141" s="971"/>
      <c r="V141" s="207">
        <f>103982494.6+40030803</f>
        <v>144013297.59999999</v>
      </c>
      <c r="W141" s="135"/>
      <c r="X141" s="135"/>
      <c r="Y141" s="135"/>
      <c r="Z141" s="135"/>
      <c r="AA141" s="135"/>
      <c r="AB141" s="135"/>
      <c r="AC141" s="135"/>
      <c r="AD141" s="135"/>
      <c r="AE141" s="135"/>
      <c r="AF141" s="211">
        <f>18000000</f>
        <v>18000000</v>
      </c>
      <c r="AG141" s="135"/>
      <c r="AH141" s="135"/>
      <c r="AI141" s="135"/>
      <c r="AJ141" s="136">
        <f t="shared" si="61"/>
        <v>162013297.59999999</v>
      </c>
      <c r="AK141" s="136" t="s">
        <v>381</v>
      </c>
      <c r="AL141" s="60" t="s">
        <v>1552</v>
      </c>
      <c r="AM141" s="7"/>
    </row>
    <row r="142" spans="1:77" ht="148.5" customHeight="1" x14ac:dyDescent="0.2">
      <c r="A142" s="130"/>
      <c r="B142" s="78"/>
      <c r="C142" s="78"/>
      <c r="D142" s="78"/>
      <c r="E142" s="78"/>
      <c r="F142" s="74"/>
      <c r="G142" s="84"/>
      <c r="H142" s="515" t="s">
        <v>181</v>
      </c>
      <c r="I142" s="511">
        <v>3301095</v>
      </c>
      <c r="J142" s="506" t="s">
        <v>400</v>
      </c>
      <c r="K142" s="511">
        <v>3301095</v>
      </c>
      <c r="L142" s="506" t="s">
        <v>400</v>
      </c>
      <c r="M142" s="511" t="s">
        <v>401</v>
      </c>
      <c r="N142" s="505" t="s">
        <v>402</v>
      </c>
      <c r="O142" s="511" t="s">
        <v>401</v>
      </c>
      <c r="P142" s="505" t="s">
        <v>402</v>
      </c>
      <c r="Q142" s="232" t="s">
        <v>67</v>
      </c>
      <c r="R142" s="112">
        <v>150</v>
      </c>
      <c r="S142" s="514" t="s">
        <v>403</v>
      </c>
      <c r="T142" s="520" t="s">
        <v>404</v>
      </c>
      <c r="U142" s="520" t="s">
        <v>405</v>
      </c>
      <c r="V142" s="402">
        <f>183982494.6+1217244586.92</f>
        <v>1401227081.52</v>
      </c>
      <c r="W142" s="135"/>
      <c r="X142" s="135"/>
      <c r="Y142" s="135"/>
      <c r="Z142" s="135"/>
      <c r="AA142" s="135"/>
      <c r="AB142" s="135"/>
      <c r="AC142" s="135"/>
      <c r="AD142" s="135"/>
      <c r="AE142" s="135"/>
      <c r="AF142" s="207">
        <v>20000000</v>
      </c>
      <c r="AG142" s="135"/>
      <c r="AH142" s="135"/>
      <c r="AI142" s="135"/>
      <c r="AJ142" s="136">
        <f t="shared" si="61"/>
        <v>1421227081.52</v>
      </c>
      <c r="AK142" s="136" t="s">
        <v>381</v>
      </c>
      <c r="AL142" s="60" t="s">
        <v>1552</v>
      </c>
      <c r="AM142" s="7"/>
    </row>
    <row r="143" spans="1:77" ht="24" customHeight="1" x14ac:dyDescent="0.2">
      <c r="A143" s="130"/>
      <c r="B143" s="78"/>
      <c r="C143" s="78"/>
      <c r="D143" s="78"/>
      <c r="E143" s="78"/>
      <c r="F143" s="138">
        <v>3302</v>
      </c>
      <c r="G143" s="68" t="s">
        <v>406</v>
      </c>
      <c r="H143" s="68"/>
      <c r="I143" s="177"/>
      <c r="J143" s="595"/>
      <c r="K143" s="623"/>
      <c r="L143" s="595"/>
      <c r="M143" s="595"/>
      <c r="N143" s="590"/>
      <c r="O143" s="591"/>
      <c r="P143" s="590"/>
      <c r="Q143" s="624"/>
      <c r="R143" s="591"/>
      <c r="S143" s="625"/>
      <c r="T143" s="132"/>
      <c r="U143" s="132"/>
      <c r="V143" s="133">
        <f t="shared" ref="V143:AH143" si="62">SUM(V144:V145)</f>
        <v>0</v>
      </c>
      <c r="W143" s="133">
        <f t="shared" si="62"/>
        <v>0</v>
      </c>
      <c r="X143" s="133">
        <f t="shared" si="62"/>
        <v>0</v>
      </c>
      <c r="Y143" s="133">
        <f t="shared" si="62"/>
        <v>0</v>
      </c>
      <c r="Z143" s="133">
        <f t="shared" si="62"/>
        <v>0</v>
      </c>
      <c r="AA143" s="133">
        <f t="shared" si="62"/>
        <v>0</v>
      </c>
      <c r="AB143" s="133">
        <f t="shared" si="62"/>
        <v>0</v>
      </c>
      <c r="AC143" s="133">
        <f t="shared" si="62"/>
        <v>0</v>
      </c>
      <c r="AD143" s="133">
        <f t="shared" si="62"/>
        <v>0</v>
      </c>
      <c r="AE143" s="133">
        <f t="shared" si="62"/>
        <v>0</v>
      </c>
      <c r="AF143" s="133">
        <f>SUM(AF144:AF145)</f>
        <v>133000000</v>
      </c>
      <c r="AG143" s="133">
        <f>SUM(AG144:AG145)</f>
        <v>263072575.30000001</v>
      </c>
      <c r="AH143" s="133">
        <f t="shared" si="62"/>
        <v>0</v>
      </c>
      <c r="AI143" s="133"/>
      <c r="AJ143" s="133">
        <f>SUM(AJ144:AJ145)</f>
        <v>396072575.30000001</v>
      </c>
      <c r="AK143" s="133"/>
      <c r="AL143" s="140"/>
      <c r="AM143" s="7"/>
    </row>
    <row r="144" spans="1:77" ht="123" customHeight="1" x14ac:dyDescent="0.2">
      <c r="A144" s="130"/>
      <c r="B144" s="78"/>
      <c r="C144" s="78"/>
      <c r="D144" s="78"/>
      <c r="E144" s="78"/>
      <c r="F144" s="74"/>
      <c r="G144" s="84"/>
      <c r="H144" s="506" t="s">
        <v>407</v>
      </c>
      <c r="I144" s="73">
        <v>3302042</v>
      </c>
      <c r="J144" s="506" t="s">
        <v>408</v>
      </c>
      <c r="K144" s="73">
        <v>3302042</v>
      </c>
      <c r="L144" s="506" t="s">
        <v>408</v>
      </c>
      <c r="M144" s="511" t="s">
        <v>409</v>
      </c>
      <c r="N144" s="505" t="s">
        <v>410</v>
      </c>
      <c r="O144" s="511" t="s">
        <v>409</v>
      </c>
      <c r="P144" s="505" t="s">
        <v>410</v>
      </c>
      <c r="Q144" s="513" t="s">
        <v>67</v>
      </c>
      <c r="R144" s="112">
        <v>12</v>
      </c>
      <c r="S144" s="970" t="s">
        <v>411</v>
      </c>
      <c r="T144" s="951" t="s">
        <v>412</v>
      </c>
      <c r="U144" s="969" t="s">
        <v>413</v>
      </c>
      <c r="V144" s="135"/>
      <c r="W144" s="135"/>
      <c r="X144" s="135"/>
      <c r="Y144" s="135"/>
      <c r="Z144" s="135"/>
      <c r="AA144" s="135"/>
      <c r="AB144" s="135"/>
      <c r="AC144" s="135"/>
      <c r="AD144" s="135"/>
      <c r="AE144" s="135"/>
      <c r="AF144" s="145">
        <v>66500000</v>
      </c>
      <c r="AG144" s="211"/>
      <c r="AH144" s="192"/>
      <c r="AI144" s="192"/>
      <c r="AJ144" s="136">
        <f>+V144+W144+X144+Y144+Z144+AA144+AB144+AC144+AD144+AE144+AF144+AG144+AH144</f>
        <v>66500000</v>
      </c>
      <c r="AK144" s="136" t="s">
        <v>381</v>
      </c>
      <c r="AL144" s="60" t="s">
        <v>1552</v>
      </c>
      <c r="AM144" s="7"/>
    </row>
    <row r="145" spans="1:77" ht="130.5" customHeight="1" x14ac:dyDescent="0.2">
      <c r="A145" s="130"/>
      <c r="B145" s="78"/>
      <c r="C145" s="78"/>
      <c r="D145" s="78"/>
      <c r="E145" s="78"/>
      <c r="F145" s="74"/>
      <c r="G145" s="84"/>
      <c r="H145" s="506" t="s">
        <v>407</v>
      </c>
      <c r="I145" s="73">
        <v>3302070</v>
      </c>
      <c r="J145" s="506" t="s">
        <v>414</v>
      </c>
      <c r="K145" s="73">
        <v>3302070</v>
      </c>
      <c r="L145" s="506" t="s">
        <v>414</v>
      </c>
      <c r="M145" s="210" t="s">
        <v>415</v>
      </c>
      <c r="N145" s="521" t="s">
        <v>399</v>
      </c>
      <c r="O145" s="210" t="s">
        <v>415</v>
      </c>
      <c r="P145" s="521" t="s">
        <v>399</v>
      </c>
      <c r="Q145" s="513" t="s">
        <v>51</v>
      </c>
      <c r="R145" s="112">
        <v>4</v>
      </c>
      <c r="S145" s="970"/>
      <c r="T145" s="951"/>
      <c r="U145" s="969"/>
      <c r="V145" s="130"/>
      <c r="W145" s="135"/>
      <c r="X145" s="135"/>
      <c r="Y145" s="135"/>
      <c r="Z145" s="135"/>
      <c r="AA145" s="135"/>
      <c r="AB145" s="135"/>
      <c r="AC145" s="135"/>
      <c r="AD145" s="135"/>
      <c r="AE145" s="135"/>
      <c r="AF145" s="145">
        <v>66500000</v>
      </c>
      <c r="AG145" s="212">
        <f>263038142+34433.3</f>
        <v>263072575.30000001</v>
      </c>
      <c r="AH145" s="192"/>
      <c r="AI145" s="192"/>
      <c r="AJ145" s="136">
        <f>+V145+W145+X145+Y145+Z145+AA145+AB145+AC145+AD145+AE145+AF145+AG145+AH145</f>
        <v>329572575.30000001</v>
      </c>
      <c r="AK145" s="136" t="s">
        <v>381</v>
      </c>
      <c r="AL145" s="60" t="s">
        <v>1552</v>
      </c>
      <c r="AM145" s="7"/>
    </row>
    <row r="146" spans="1:77" s="436" customFormat="1" ht="16.5" customHeight="1" x14ac:dyDescent="0.25">
      <c r="A146" s="432"/>
      <c r="B146" s="432"/>
      <c r="C146" s="432"/>
      <c r="D146" s="432"/>
      <c r="E146" s="432"/>
      <c r="F146" s="432"/>
      <c r="G146" s="432"/>
      <c r="H146" s="433"/>
      <c r="I146" s="432"/>
      <c r="J146" s="432"/>
      <c r="K146" s="432"/>
      <c r="L146" s="432"/>
      <c r="M146" s="432"/>
      <c r="N146" s="432"/>
      <c r="O146" s="432"/>
      <c r="P146" s="432"/>
      <c r="Q146" s="434"/>
      <c r="R146" s="432"/>
      <c r="S146" s="434"/>
      <c r="T146" s="434"/>
      <c r="U146" s="434"/>
      <c r="V146" s="435"/>
      <c r="W146" s="435"/>
      <c r="X146" s="435"/>
      <c r="Y146" s="435"/>
      <c r="Z146" s="435"/>
      <c r="AA146" s="435"/>
      <c r="AB146" s="435"/>
      <c r="AC146" s="435"/>
      <c r="AD146" s="435"/>
      <c r="AE146" s="435"/>
      <c r="AF146" s="435"/>
      <c r="AG146" s="435"/>
      <c r="AH146" s="435"/>
      <c r="AI146" s="435"/>
      <c r="AJ146" s="435"/>
      <c r="AK146" s="435"/>
      <c r="AL146" s="435"/>
      <c r="AM146" s="7"/>
    </row>
    <row r="147" spans="1:77" s="365" customFormat="1" ht="24" customHeight="1" x14ac:dyDescent="0.2">
      <c r="A147" s="34" t="s">
        <v>416</v>
      </c>
      <c r="B147" s="34"/>
      <c r="C147" s="34"/>
      <c r="D147" s="34"/>
      <c r="E147" s="34"/>
      <c r="F147" s="35"/>
      <c r="G147" s="36"/>
      <c r="H147" s="357"/>
      <c r="I147" s="357"/>
      <c r="J147" s="357"/>
      <c r="K147" s="360"/>
      <c r="L147" s="357"/>
      <c r="M147" s="357"/>
      <c r="N147" s="362"/>
      <c r="O147" s="361"/>
      <c r="P147" s="362"/>
      <c r="Q147" s="363"/>
      <c r="R147" s="361"/>
      <c r="S147" s="36"/>
      <c r="T147" s="362"/>
      <c r="U147" s="362"/>
      <c r="V147" s="358">
        <f>V148</f>
        <v>0</v>
      </c>
      <c r="W147" s="358">
        <f t="shared" ref="W147:AH147" si="63">W148</f>
        <v>0</v>
      </c>
      <c r="X147" s="358">
        <f t="shared" si="63"/>
        <v>0</v>
      </c>
      <c r="Y147" s="358">
        <f t="shared" si="63"/>
        <v>0</v>
      </c>
      <c r="Z147" s="358">
        <f t="shared" si="63"/>
        <v>0</v>
      </c>
      <c r="AA147" s="358">
        <f t="shared" si="63"/>
        <v>0</v>
      </c>
      <c r="AB147" s="358">
        <f t="shared" si="63"/>
        <v>0</v>
      </c>
      <c r="AC147" s="358">
        <f t="shared" si="63"/>
        <v>0</v>
      </c>
      <c r="AD147" s="358">
        <f t="shared" si="63"/>
        <v>0</v>
      </c>
      <c r="AE147" s="358">
        <f t="shared" si="63"/>
        <v>0</v>
      </c>
      <c r="AF147" s="358">
        <f t="shared" si="63"/>
        <v>2261356036</v>
      </c>
      <c r="AG147" s="358">
        <f t="shared" si="63"/>
        <v>1005231673.61</v>
      </c>
      <c r="AH147" s="358">
        <f t="shared" si="63"/>
        <v>0</v>
      </c>
      <c r="AI147" s="358"/>
      <c r="AJ147" s="358">
        <f>AJ148</f>
        <v>3266587709.6100001</v>
      </c>
      <c r="AK147" s="358"/>
      <c r="AL147" s="359"/>
      <c r="AM147" s="7"/>
      <c r="AN147" s="364"/>
      <c r="AO147" s="364"/>
      <c r="AP147" s="364"/>
      <c r="AQ147" s="364"/>
      <c r="AR147" s="364"/>
      <c r="AS147" s="364"/>
      <c r="AT147" s="364"/>
      <c r="AU147" s="364"/>
      <c r="AV147" s="364"/>
      <c r="AW147" s="364"/>
      <c r="AX147" s="364"/>
      <c r="AY147" s="364"/>
      <c r="AZ147" s="364"/>
      <c r="BA147" s="364"/>
      <c r="BB147" s="364"/>
      <c r="BC147" s="364"/>
      <c r="BD147" s="364"/>
      <c r="BE147" s="364"/>
      <c r="BF147" s="364"/>
      <c r="BG147" s="364"/>
      <c r="BH147" s="364"/>
      <c r="BI147" s="364"/>
      <c r="BJ147" s="364"/>
      <c r="BK147" s="364"/>
      <c r="BL147" s="364"/>
      <c r="BM147" s="364"/>
      <c r="BN147" s="364"/>
      <c r="BO147" s="364"/>
      <c r="BP147" s="364"/>
      <c r="BQ147" s="364"/>
      <c r="BR147" s="364"/>
      <c r="BS147" s="364"/>
      <c r="BT147" s="364"/>
      <c r="BU147" s="364"/>
      <c r="BV147" s="364"/>
      <c r="BW147" s="364"/>
      <c r="BX147" s="364"/>
      <c r="BY147" s="364"/>
    </row>
    <row r="148" spans="1:77" ht="24" customHeight="1" x14ac:dyDescent="0.2">
      <c r="A148" s="130"/>
      <c r="B148" s="213">
        <v>2</v>
      </c>
      <c r="C148" s="213"/>
      <c r="D148" s="61" t="s">
        <v>417</v>
      </c>
      <c r="E148" s="63"/>
      <c r="F148" s="61"/>
      <c r="G148" s="163"/>
      <c r="H148" s="163"/>
      <c r="I148" s="366"/>
      <c r="J148" s="165"/>
      <c r="K148" s="164"/>
      <c r="L148" s="165"/>
      <c r="M148" s="165"/>
      <c r="N148" s="167"/>
      <c r="O148" s="166"/>
      <c r="P148" s="167"/>
      <c r="Q148" s="168"/>
      <c r="R148" s="166"/>
      <c r="S148" s="626"/>
      <c r="T148" s="118"/>
      <c r="U148" s="118"/>
      <c r="V148" s="119">
        <f t="shared" ref="V148:AJ148" si="64">V149+V159</f>
        <v>0</v>
      </c>
      <c r="W148" s="119">
        <f t="shared" si="64"/>
        <v>0</v>
      </c>
      <c r="X148" s="119">
        <f t="shared" si="64"/>
        <v>0</v>
      </c>
      <c r="Y148" s="119">
        <f t="shared" si="64"/>
        <v>0</v>
      </c>
      <c r="Z148" s="119">
        <f t="shared" si="64"/>
        <v>0</v>
      </c>
      <c r="AA148" s="119">
        <f t="shared" si="64"/>
        <v>0</v>
      </c>
      <c r="AB148" s="119">
        <f t="shared" si="64"/>
        <v>0</v>
      </c>
      <c r="AC148" s="119">
        <f t="shared" si="64"/>
        <v>0</v>
      </c>
      <c r="AD148" s="119">
        <f t="shared" si="64"/>
        <v>0</v>
      </c>
      <c r="AE148" s="119">
        <f t="shared" si="64"/>
        <v>0</v>
      </c>
      <c r="AF148" s="119">
        <f t="shared" si="64"/>
        <v>2261356036</v>
      </c>
      <c r="AG148" s="119">
        <f t="shared" si="64"/>
        <v>1005231673.61</v>
      </c>
      <c r="AH148" s="119">
        <f t="shared" si="64"/>
        <v>0</v>
      </c>
      <c r="AI148" s="119"/>
      <c r="AJ148" s="119">
        <f t="shared" si="64"/>
        <v>3266587709.6100001</v>
      </c>
      <c r="AK148" s="119"/>
      <c r="AL148" s="152"/>
      <c r="AM148" s="7"/>
    </row>
    <row r="149" spans="1:77" s="8" customFormat="1" ht="24" customHeight="1" x14ac:dyDescent="0.25">
      <c r="A149" s="115"/>
      <c r="B149" s="70"/>
      <c r="C149" s="70"/>
      <c r="D149" s="64">
        <v>35</v>
      </c>
      <c r="E149" s="62" t="s">
        <v>418</v>
      </c>
      <c r="F149" s="62"/>
      <c r="G149" s="120"/>
      <c r="H149" s="120"/>
      <c r="I149" s="121"/>
      <c r="J149" s="123"/>
      <c r="K149" s="122"/>
      <c r="L149" s="123"/>
      <c r="M149" s="123"/>
      <c r="N149" s="125"/>
      <c r="O149" s="124"/>
      <c r="P149" s="125"/>
      <c r="Q149" s="126"/>
      <c r="R149" s="124"/>
      <c r="S149" s="186"/>
      <c r="T149" s="128"/>
      <c r="U149" s="128"/>
      <c r="V149" s="129">
        <f>V150</f>
        <v>0</v>
      </c>
      <c r="W149" s="129">
        <f t="shared" ref="W149:AH149" si="65">W150</f>
        <v>0</v>
      </c>
      <c r="X149" s="129">
        <f t="shared" si="65"/>
        <v>0</v>
      </c>
      <c r="Y149" s="129">
        <f t="shared" si="65"/>
        <v>0</v>
      </c>
      <c r="Z149" s="129">
        <f t="shared" si="65"/>
        <v>0</v>
      </c>
      <c r="AA149" s="129">
        <f t="shared" si="65"/>
        <v>0</v>
      </c>
      <c r="AB149" s="129">
        <f t="shared" si="65"/>
        <v>0</v>
      </c>
      <c r="AC149" s="129">
        <f t="shared" si="65"/>
        <v>0</v>
      </c>
      <c r="AD149" s="129">
        <f t="shared" si="65"/>
        <v>0</v>
      </c>
      <c r="AE149" s="129">
        <f t="shared" si="65"/>
        <v>0</v>
      </c>
      <c r="AF149" s="129">
        <f t="shared" si="65"/>
        <v>2023856036</v>
      </c>
      <c r="AG149" s="129">
        <f t="shared" si="65"/>
        <v>1005231673.61</v>
      </c>
      <c r="AH149" s="129">
        <f t="shared" si="65"/>
        <v>0</v>
      </c>
      <c r="AI149" s="129"/>
      <c r="AJ149" s="129">
        <f>AJ150</f>
        <v>3029087709.6100001</v>
      </c>
      <c r="AK149" s="129"/>
      <c r="AL149" s="153"/>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row>
    <row r="150" spans="1:77" ht="24" customHeight="1" x14ac:dyDescent="0.2">
      <c r="A150" s="130"/>
      <c r="B150" s="74"/>
      <c r="C150" s="74"/>
      <c r="D150" s="74"/>
      <c r="E150" s="74"/>
      <c r="F150" s="131">
        <v>3502</v>
      </c>
      <c r="G150" s="68" t="s">
        <v>419</v>
      </c>
      <c r="H150" s="68"/>
      <c r="I150" s="177"/>
      <c r="J150" s="595"/>
      <c r="K150" s="623"/>
      <c r="L150" s="595"/>
      <c r="M150" s="595"/>
      <c r="N150" s="590"/>
      <c r="O150" s="591"/>
      <c r="P150" s="590"/>
      <c r="Q150" s="624"/>
      <c r="R150" s="591"/>
      <c r="S150" s="625"/>
      <c r="T150" s="132"/>
      <c r="U150" s="132"/>
      <c r="V150" s="133">
        <f t="shared" ref="V150:AK150" si="66">SUM(V151:V158)</f>
        <v>0</v>
      </c>
      <c r="W150" s="133">
        <f t="shared" si="66"/>
        <v>0</v>
      </c>
      <c r="X150" s="133">
        <f t="shared" si="66"/>
        <v>0</v>
      </c>
      <c r="Y150" s="133">
        <f t="shared" si="66"/>
        <v>0</v>
      </c>
      <c r="Z150" s="133">
        <f t="shared" si="66"/>
        <v>0</v>
      </c>
      <c r="AA150" s="133">
        <f t="shared" si="66"/>
        <v>0</v>
      </c>
      <c r="AB150" s="133">
        <f t="shared" si="66"/>
        <v>0</v>
      </c>
      <c r="AC150" s="133">
        <f t="shared" si="66"/>
        <v>0</v>
      </c>
      <c r="AD150" s="133">
        <f t="shared" si="66"/>
        <v>0</v>
      </c>
      <c r="AE150" s="133">
        <f t="shared" si="66"/>
        <v>0</v>
      </c>
      <c r="AF150" s="133">
        <f t="shared" si="66"/>
        <v>2023856036</v>
      </c>
      <c r="AG150" s="133">
        <f t="shared" si="66"/>
        <v>1005231673.61</v>
      </c>
      <c r="AH150" s="133">
        <f t="shared" si="66"/>
        <v>0</v>
      </c>
      <c r="AI150" s="133"/>
      <c r="AJ150" s="133">
        <f t="shared" si="66"/>
        <v>3029087709.6100001</v>
      </c>
      <c r="AK150" s="133">
        <f t="shared" si="66"/>
        <v>0</v>
      </c>
      <c r="AL150" s="744"/>
      <c r="AM150" s="7"/>
    </row>
    <row r="151" spans="1:77" ht="72.75" customHeight="1" x14ac:dyDescent="0.2">
      <c r="A151" s="130"/>
      <c r="B151" s="74"/>
      <c r="C151" s="74"/>
      <c r="D151" s="74"/>
      <c r="E151" s="74"/>
      <c r="F151" s="74"/>
      <c r="G151" s="102"/>
      <c r="H151" s="515" t="s">
        <v>420</v>
      </c>
      <c r="I151" s="76">
        <v>3502006</v>
      </c>
      <c r="J151" s="515" t="s">
        <v>421</v>
      </c>
      <c r="K151" s="76">
        <v>3502006</v>
      </c>
      <c r="L151" s="515" t="s">
        <v>421</v>
      </c>
      <c r="M151" s="71" t="s">
        <v>422</v>
      </c>
      <c r="N151" s="512" t="s">
        <v>423</v>
      </c>
      <c r="O151" s="71" t="s">
        <v>422</v>
      </c>
      <c r="P151" s="512" t="s">
        <v>423</v>
      </c>
      <c r="Q151" s="191" t="s">
        <v>67</v>
      </c>
      <c r="R151" s="112">
        <v>1</v>
      </c>
      <c r="S151" s="970" t="s">
        <v>424</v>
      </c>
      <c r="T151" s="951" t="s">
        <v>425</v>
      </c>
      <c r="U151" s="951" t="s">
        <v>426</v>
      </c>
      <c r="V151" s="214"/>
      <c r="W151" s="214"/>
      <c r="X151" s="214"/>
      <c r="Y151" s="214"/>
      <c r="Z151" s="214"/>
      <c r="AA151" s="214"/>
      <c r="AB151" s="214"/>
      <c r="AC151" s="214"/>
      <c r="AD151" s="214"/>
      <c r="AE151" s="214"/>
      <c r="AF151" s="215">
        <v>27000000</v>
      </c>
      <c r="AG151" s="214"/>
      <c r="AH151" s="135"/>
      <c r="AI151" s="135"/>
      <c r="AJ151" s="136">
        <f t="shared" ref="AJ151:AJ158" si="67">+V151+W151+X151+Y151+Z151+AA151+AB151+AC151+AD151+AE151+AF151+AG151+AH151</f>
        <v>27000000</v>
      </c>
      <c r="AK151" s="743" t="s">
        <v>427</v>
      </c>
      <c r="AL151" s="747" t="s">
        <v>1564</v>
      </c>
      <c r="AM151" s="7"/>
    </row>
    <row r="152" spans="1:77" ht="87" customHeight="1" x14ac:dyDescent="0.2">
      <c r="A152" s="130"/>
      <c r="B152" s="74"/>
      <c r="C152" s="74"/>
      <c r="D152" s="74"/>
      <c r="E152" s="74"/>
      <c r="F152" s="74"/>
      <c r="G152" s="198"/>
      <c r="H152" s="506" t="s">
        <v>420</v>
      </c>
      <c r="I152" s="76">
        <v>3502007</v>
      </c>
      <c r="J152" s="506" t="s">
        <v>428</v>
      </c>
      <c r="K152" s="76">
        <v>3502007</v>
      </c>
      <c r="L152" s="506" t="s">
        <v>428</v>
      </c>
      <c r="M152" s="511" t="s">
        <v>429</v>
      </c>
      <c r="N152" s="505" t="s">
        <v>430</v>
      </c>
      <c r="O152" s="511" t="s">
        <v>429</v>
      </c>
      <c r="P152" s="505" t="s">
        <v>430</v>
      </c>
      <c r="Q152" s="191" t="s">
        <v>51</v>
      </c>
      <c r="R152" s="112">
        <v>7</v>
      </c>
      <c r="S152" s="970"/>
      <c r="T152" s="951"/>
      <c r="U152" s="951"/>
      <c r="V152" s="135"/>
      <c r="W152" s="135"/>
      <c r="X152" s="135"/>
      <c r="Y152" s="135"/>
      <c r="Z152" s="135"/>
      <c r="AA152" s="135"/>
      <c r="AB152" s="135"/>
      <c r="AC152" s="135"/>
      <c r="AD152" s="135"/>
      <c r="AE152" s="135"/>
      <c r="AF152" s="145">
        <v>50000000</v>
      </c>
      <c r="AG152" s="135"/>
      <c r="AH152" s="135"/>
      <c r="AI152" s="135"/>
      <c r="AJ152" s="136">
        <f t="shared" si="67"/>
        <v>50000000</v>
      </c>
      <c r="AK152" s="740" t="s">
        <v>427</v>
      </c>
      <c r="AL152" s="747" t="s">
        <v>1564</v>
      </c>
      <c r="AM152" s="7"/>
    </row>
    <row r="153" spans="1:77" ht="60" customHeight="1" x14ac:dyDescent="0.2">
      <c r="A153" s="130"/>
      <c r="B153" s="74"/>
      <c r="C153" s="74"/>
      <c r="D153" s="74"/>
      <c r="E153" s="74"/>
      <c r="F153" s="74"/>
      <c r="G153" s="513"/>
      <c r="H153" s="515" t="s">
        <v>420</v>
      </c>
      <c r="I153" s="72">
        <v>3502022</v>
      </c>
      <c r="J153" s="506" t="s">
        <v>1519</v>
      </c>
      <c r="K153" s="72">
        <v>3502022</v>
      </c>
      <c r="L153" s="506" t="s">
        <v>1519</v>
      </c>
      <c r="M153" s="180" t="s">
        <v>431</v>
      </c>
      <c r="N153" s="521" t="s">
        <v>432</v>
      </c>
      <c r="O153" s="180" t="s">
        <v>431</v>
      </c>
      <c r="P153" s="521" t="s">
        <v>432</v>
      </c>
      <c r="Q153" s="232" t="s">
        <v>51</v>
      </c>
      <c r="R153" s="232">
        <v>14</v>
      </c>
      <c r="S153" s="970" t="s">
        <v>433</v>
      </c>
      <c r="T153" s="949" t="s">
        <v>434</v>
      </c>
      <c r="U153" s="949" t="s">
        <v>435</v>
      </c>
      <c r="V153" s="214"/>
      <c r="W153" s="214"/>
      <c r="X153" s="214"/>
      <c r="Y153" s="214"/>
      <c r="Z153" s="214"/>
      <c r="AA153" s="214"/>
      <c r="AB153" s="214"/>
      <c r="AC153" s="214"/>
      <c r="AD153" s="214"/>
      <c r="AE153" s="214"/>
      <c r="AF153" s="215">
        <v>90000000</v>
      </c>
      <c r="AG153" s="214"/>
      <c r="AH153" s="135"/>
      <c r="AI153" s="135"/>
      <c r="AJ153" s="136">
        <f t="shared" si="67"/>
        <v>90000000</v>
      </c>
      <c r="AK153" s="740" t="s">
        <v>427</v>
      </c>
      <c r="AL153" s="747" t="s">
        <v>1564</v>
      </c>
      <c r="AM153" s="7"/>
    </row>
    <row r="154" spans="1:77" ht="84.75" customHeight="1" x14ac:dyDescent="0.2">
      <c r="A154" s="130"/>
      <c r="B154" s="74"/>
      <c r="C154" s="74"/>
      <c r="D154" s="74"/>
      <c r="E154" s="74"/>
      <c r="F154" s="74"/>
      <c r="G154" s="513"/>
      <c r="H154" s="515" t="s">
        <v>420</v>
      </c>
      <c r="I154" s="72">
        <v>3502047</v>
      </c>
      <c r="J154" s="506" t="s">
        <v>248</v>
      </c>
      <c r="K154" s="72">
        <v>3502047</v>
      </c>
      <c r="L154" s="506" t="s">
        <v>248</v>
      </c>
      <c r="M154" s="180" t="s">
        <v>436</v>
      </c>
      <c r="N154" s="521" t="s">
        <v>250</v>
      </c>
      <c r="O154" s="180" t="s">
        <v>436</v>
      </c>
      <c r="P154" s="521" t="s">
        <v>250</v>
      </c>
      <c r="Q154" s="514" t="s">
        <v>67</v>
      </c>
      <c r="R154" s="232" t="s">
        <v>437</v>
      </c>
      <c r="S154" s="970"/>
      <c r="T154" s="949"/>
      <c r="U154" s="949"/>
      <c r="V154" s="135"/>
      <c r="W154" s="135"/>
      <c r="X154" s="135"/>
      <c r="Y154" s="135"/>
      <c r="Z154" s="135"/>
      <c r="AA154" s="135"/>
      <c r="AB154" s="135"/>
      <c r="AC154" s="135"/>
      <c r="AD154" s="135"/>
      <c r="AE154" s="135"/>
      <c r="AF154" s="148">
        <f>130000000+30000000</f>
        <v>160000000</v>
      </c>
      <c r="AG154" s="135"/>
      <c r="AH154" s="135"/>
      <c r="AI154" s="135"/>
      <c r="AJ154" s="136">
        <f t="shared" si="67"/>
        <v>160000000</v>
      </c>
      <c r="AK154" s="740" t="s">
        <v>427</v>
      </c>
      <c r="AL154" s="747" t="s">
        <v>1564</v>
      </c>
      <c r="AM154" s="7"/>
    </row>
    <row r="155" spans="1:77" ht="69.75" customHeight="1" x14ac:dyDescent="0.2">
      <c r="A155" s="130"/>
      <c r="B155" s="74"/>
      <c r="C155" s="74"/>
      <c r="D155" s="74"/>
      <c r="E155" s="74"/>
      <c r="F155" s="74"/>
      <c r="G155" s="513"/>
      <c r="H155" s="515" t="s">
        <v>438</v>
      </c>
      <c r="I155" s="72">
        <v>3502039</v>
      </c>
      <c r="J155" s="506" t="s">
        <v>439</v>
      </c>
      <c r="K155" s="72">
        <v>3502039</v>
      </c>
      <c r="L155" s="506" t="s">
        <v>439</v>
      </c>
      <c r="M155" s="511" t="s">
        <v>440</v>
      </c>
      <c r="N155" s="505" t="s">
        <v>116</v>
      </c>
      <c r="O155" s="511" t="s">
        <v>440</v>
      </c>
      <c r="P155" s="505" t="s">
        <v>116</v>
      </c>
      <c r="Q155" s="514" t="s">
        <v>51</v>
      </c>
      <c r="R155" s="232">
        <v>12</v>
      </c>
      <c r="S155" s="970" t="s">
        <v>441</v>
      </c>
      <c r="T155" s="949" t="s">
        <v>442</v>
      </c>
      <c r="U155" s="955" t="s">
        <v>443</v>
      </c>
      <c r="V155" s="135"/>
      <c r="W155" s="135"/>
      <c r="X155" s="135"/>
      <c r="Y155" s="135"/>
      <c r="Z155" s="135"/>
      <c r="AA155" s="135"/>
      <c r="AB155" s="135"/>
      <c r="AC155" s="135"/>
      <c r="AD155" s="135"/>
      <c r="AE155" s="135"/>
      <c r="AF155" s="145">
        <v>80000000</v>
      </c>
      <c r="AG155" s="135"/>
      <c r="AH155" s="135"/>
      <c r="AI155" s="135"/>
      <c r="AJ155" s="136">
        <f t="shared" si="67"/>
        <v>80000000</v>
      </c>
      <c r="AK155" s="740" t="s">
        <v>427</v>
      </c>
      <c r="AL155" s="747" t="s">
        <v>1564</v>
      </c>
      <c r="AM155" s="7"/>
    </row>
    <row r="156" spans="1:77" ht="76.5" customHeight="1" x14ac:dyDescent="0.2">
      <c r="A156" s="130"/>
      <c r="B156" s="74"/>
      <c r="C156" s="74"/>
      <c r="D156" s="74"/>
      <c r="E156" s="74"/>
      <c r="F156" s="74"/>
      <c r="G156" s="513"/>
      <c r="H156" s="515" t="s">
        <v>420</v>
      </c>
      <c r="I156" s="72">
        <v>3502047</v>
      </c>
      <c r="J156" s="506" t="s">
        <v>248</v>
      </c>
      <c r="K156" s="72">
        <v>3502047</v>
      </c>
      <c r="L156" s="506" t="s">
        <v>248</v>
      </c>
      <c r="M156" s="511" t="s">
        <v>436</v>
      </c>
      <c r="N156" s="505" t="s">
        <v>250</v>
      </c>
      <c r="O156" s="511" t="s">
        <v>436</v>
      </c>
      <c r="P156" s="505" t="s">
        <v>250</v>
      </c>
      <c r="Q156" s="514" t="s">
        <v>67</v>
      </c>
      <c r="R156" s="232" t="s">
        <v>437</v>
      </c>
      <c r="S156" s="970"/>
      <c r="T156" s="949"/>
      <c r="U156" s="955"/>
      <c r="V156" s="135"/>
      <c r="W156" s="135"/>
      <c r="X156" s="135"/>
      <c r="Y156" s="135"/>
      <c r="Z156" s="135"/>
      <c r="AA156" s="135"/>
      <c r="AB156" s="135"/>
      <c r="AC156" s="135"/>
      <c r="AD156" s="135"/>
      <c r="AE156" s="135"/>
      <c r="AF156" s="145">
        <v>18000000</v>
      </c>
      <c r="AG156" s="135"/>
      <c r="AH156" s="135"/>
      <c r="AI156" s="135"/>
      <c r="AJ156" s="136">
        <f t="shared" si="67"/>
        <v>18000000</v>
      </c>
      <c r="AK156" s="740" t="s">
        <v>427</v>
      </c>
      <c r="AL156" s="747" t="s">
        <v>1564</v>
      </c>
      <c r="AM156" s="7"/>
    </row>
    <row r="157" spans="1:77" s="3" customFormat="1" ht="85.5" customHeight="1" x14ac:dyDescent="0.2">
      <c r="A157" s="56"/>
      <c r="B157" s="99"/>
      <c r="C157" s="99"/>
      <c r="D157" s="99"/>
      <c r="E157" s="99"/>
      <c r="F157" s="99"/>
      <c r="G157" s="95"/>
      <c r="H157" s="515" t="s">
        <v>438</v>
      </c>
      <c r="I157" s="77">
        <v>3502039</v>
      </c>
      <c r="J157" s="515" t="s">
        <v>439</v>
      </c>
      <c r="K157" s="77">
        <v>3502039</v>
      </c>
      <c r="L157" s="515" t="s">
        <v>439</v>
      </c>
      <c r="M157" s="216">
        <v>350203910</v>
      </c>
      <c r="N157" s="203" t="s">
        <v>444</v>
      </c>
      <c r="O157" s="216">
        <v>350203910</v>
      </c>
      <c r="P157" s="203" t="s">
        <v>444</v>
      </c>
      <c r="Q157" s="514" t="s">
        <v>67</v>
      </c>
      <c r="R157" s="232">
        <v>1</v>
      </c>
      <c r="S157" s="970"/>
      <c r="T157" s="949"/>
      <c r="U157" s="955"/>
      <c r="V157" s="113"/>
      <c r="W157" s="113"/>
      <c r="X157" s="113"/>
      <c r="Y157" s="113"/>
      <c r="Z157" s="113"/>
      <c r="AA157" s="113"/>
      <c r="AB157" s="113"/>
      <c r="AC157" s="113"/>
      <c r="AD157" s="113"/>
      <c r="AE157" s="113"/>
      <c r="AF157" s="145">
        <f>100000000+1498856036</f>
        <v>1598856036</v>
      </c>
      <c r="AG157" s="135"/>
      <c r="AH157" s="113"/>
      <c r="AI157" s="113"/>
      <c r="AJ157" s="204">
        <f t="shared" si="67"/>
        <v>1598856036</v>
      </c>
      <c r="AK157" s="740" t="s">
        <v>427</v>
      </c>
      <c r="AL157" s="747" t="s">
        <v>1564</v>
      </c>
      <c r="AM157" s="7"/>
    </row>
    <row r="158" spans="1:77" s="20" customFormat="1" ht="117" customHeight="1" x14ac:dyDescent="0.25">
      <c r="A158" s="217"/>
      <c r="B158" s="74"/>
      <c r="C158" s="74"/>
      <c r="D158" s="74"/>
      <c r="E158" s="74"/>
      <c r="F158" s="74"/>
      <c r="G158" s="513"/>
      <c r="H158" s="506" t="s">
        <v>438</v>
      </c>
      <c r="I158" s="72">
        <v>3502046</v>
      </c>
      <c r="J158" s="506" t="s">
        <v>445</v>
      </c>
      <c r="K158" s="72">
        <v>3502046</v>
      </c>
      <c r="L158" s="506" t="s">
        <v>445</v>
      </c>
      <c r="M158" s="511" t="s">
        <v>446</v>
      </c>
      <c r="N158" s="505" t="s">
        <v>447</v>
      </c>
      <c r="O158" s="511" t="s">
        <v>446</v>
      </c>
      <c r="P158" s="505" t="s">
        <v>447</v>
      </c>
      <c r="Q158" s="513" t="s">
        <v>67</v>
      </c>
      <c r="R158" s="112">
        <v>1</v>
      </c>
      <c r="S158" s="218" t="s">
        <v>448</v>
      </c>
      <c r="T158" s="515" t="s">
        <v>449</v>
      </c>
      <c r="U158" s="515" t="s">
        <v>450</v>
      </c>
      <c r="V158" s="135"/>
      <c r="W158" s="135"/>
      <c r="X158" s="135"/>
      <c r="Y158" s="135"/>
      <c r="Z158" s="135"/>
      <c r="AA158" s="135"/>
      <c r="AB158" s="135"/>
      <c r="AC158" s="135"/>
      <c r="AD158" s="135"/>
      <c r="AE158" s="135"/>
      <c r="AF158" s="145"/>
      <c r="AG158" s="219">
        <f>664872303.76+340359369.85</f>
        <v>1005231673.61</v>
      </c>
      <c r="AH158" s="189"/>
      <c r="AI158" s="189"/>
      <c r="AJ158" s="136">
        <f t="shared" si="67"/>
        <v>1005231673.61</v>
      </c>
      <c r="AK158" s="740" t="s">
        <v>427</v>
      </c>
      <c r="AL158" s="747" t="s">
        <v>1564</v>
      </c>
      <c r="AM158" s="7"/>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row>
    <row r="159" spans="1:77" s="8" customFormat="1" ht="24" customHeight="1" x14ac:dyDescent="0.25">
      <c r="A159" s="115"/>
      <c r="B159" s="70"/>
      <c r="C159" s="70"/>
      <c r="D159" s="64">
        <v>36</v>
      </c>
      <c r="E159" s="183" t="s">
        <v>451</v>
      </c>
      <c r="F159" s="62"/>
      <c r="G159" s="120"/>
      <c r="H159" s="121"/>
      <c r="I159" s="121"/>
      <c r="J159" s="123"/>
      <c r="K159" s="122"/>
      <c r="L159" s="123"/>
      <c r="M159" s="123"/>
      <c r="N159" s="125"/>
      <c r="O159" s="124"/>
      <c r="P159" s="125"/>
      <c r="Q159" s="126"/>
      <c r="R159" s="124"/>
      <c r="S159" s="186"/>
      <c r="T159" s="128"/>
      <c r="U159" s="128"/>
      <c r="V159" s="129">
        <f>V160</f>
        <v>0</v>
      </c>
      <c r="W159" s="129">
        <f t="shared" ref="W159:AJ159" si="68">W160</f>
        <v>0</v>
      </c>
      <c r="X159" s="129">
        <f t="shared" si="68"/>
        <v>0</v>
      </c>
      <c r="Y159" s="129">
        <f t="shared" si="68"/>
        <v>0</v>
      </c>
      <c r="Z159" s="129">
        <f t="shared" si="68"/>
        <v>0</v>
      </c>
      <c r="AA159" s="129">
        <f t="shared" si="68"/>
        <v>0</v>
      </c>
      <c r="AB159" s="129">
        <f t="shared" si="68"/>
        <v>0</v>
      </c>
      <c r="AC159" s="129">
        <f t="shared" si="68"/>
        <v>0</v>
      </c>
      <c r="AD159" s="129">
        <f t="shared" si="68"/>
        <v>0</v>
      </c>
      <c r="AE159" s="129">
        <f t="shared" si="68"/>
        <v>0</v>
      </c>
      <c r="AF159" s="129">
        <f t="shared" si="68"/>
        <v>237500000</v>
      </c>
      <c r="AG159" s="129">
        <f t="shared" si="68"/>
        <v>0</v>
      </c>
      <c r="AH159" s="129">
        <f t="shared" si="68"/>
        <v>0</v>
      </c>
      <c r="AI159" s="129"/>
      <c r="AJ159" s="129">
        <f t="shared" si="68"/>
        <v>237500000</v>
      </c>
      <c r="AK159" s="741"/>
      <c r="AL159" s="153"/>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row>
    <row r="160" spans="1:77" ht="24" customHeight="1" x14ac:dyDescent="0.2">
      <c r="A160" s="130"/>
      <c r="B160" s="74"/>
      <c r="C160" s="74"/>
      <c r="D160" s="74"/>
      <c r="E160" s="74"/>
      <c r="F160" s="131">
        <v>3602</v>
      </c>
      <c r="G160" s="68" t="s">
        <v>452</v>
      </c>
      <c r="H160" s="177"/>
      <c r="I160" s="177"/>
      <c r="J160" s="595"/>
      <c r="K160" s="623"/>
      <c r="L160" s="595"/>
      <c r="M160" s="595"/>
      <c r="N160" s="590"/>
      <c r="O160" s="591"/>
      <c r="P160" s="590"/>
      <c r="Q160" s="624"/>
      <c r="R160" s="591"/>
      <c r="S160" s="625"/>
      <c r="T160" s="137"/>
      <c r="U160" s="137"/>
      <c r="V160" s="133">
        <f>SUM(V161:V164)</f>
        <v>0</v>
      </c>
      <c r="W160" s="133">
        <f t="shared" ref="W160:AJ160" si="69">SUM(W161:W164)</f>
        <v>0</v>
      </c>
      <c r="X160" s="133">
        <f t="shared" si="69"/>
        <v>0</v>
      </c>
      <c r="Y160" s="133">
        <f t="shared" si="69"/>
        <v>0</v>
      </c>
      <c r="Z160" s="133">
        <f t="shared" si="69"/>
        <v>0</v>
      </c>
      <c r="AA160" s="133">
        <f t="shared" si="69"/>
        <v>0</v>
      </c>
      <c r="AB160" s="133">
        <f t="shared" si="69"/>
        <v>0</v>
      </c>
      <c r="AC160" s="133">
        <f t="shared" si="69"/>
        <v>0</v>
      </c>
      <c r="AD160" s="133">
        <f t="shared" si="69"/>
        <v>0</v>
      </c>
      <c r="AE160" s="133">
        <f t="shared" si="69"/>
        <v>0</v>
      </c>
      <c r="AF160" s="133">
        <f t="shared" si="69"/>
        <v>237500000</v>
      </c>
      <c r="AG160" s="133">
        <f t="shared" si="69"/>
        <v>0</v>
      </c>
      <c r="AH160" s="133">
        <f t="shared" si="69"/>
        <v>0</v>
      </c>
      <c r="AI160" s="133"/>
      <c r="AJ160" s="133">
        <f t="shared" si="69"/>
        <v>237500000</v>
      </c>
      <c r="AK160" s="742"/>
      <c r="AL160" s="140"/>
      <c r="AM160" s="7"/>
    </row>
    <row r="161" spans="1:77" ht="71.25" customHeight="1" x14ac:dyDescent="0.2">
      <c r="A161" s="130"/>
      <c r="B161" s="74"/>
      <c r="C161" s="74"/>
      <c r="D161" s="74"/>
      <c r="E161" s="74"/>
      <c r="F161" s="74"/>
      <c r="G161" s="513"/>
      <c r="H161" s="515" t="s">
        <v>420</v>
      </c>
      <c r="I161" s="511">
        <v>3602018</v>
      </c>
      <c r="J161" s="506" t="s">
        <v>453</v>
      </c>
      <c r="K161" s="511">
        <v>3602018</v>
      </c>
      <c r="L161" s="506" t="s">
        <v>453</v>
      </c>
      <c r="M161" s="180" t="s">
        <v>454</v>
      </c>
      <c r="N161" s="521" t="s">
        <v>455</v>
      </c>
      <c r="O161" s="180" t="s">
        <v>454</v>
      </c>
      <c r="P161" s="521" t="s">
        <v>455</v>
      </c>
      <c r="Q161" s="112" t="s">
        <v>67</v>
      </c>
      <c r="R161" s="112">
        <v>3</v>
      </c>
      <c r="S161" s="970" t="s">
        <v>456</v>
      </c>
      <c r="T161" s="954" t="s">
        <v>457</v>
      </c>
      <c r="U161" s="954" t="s">
        <v>458</v>
      </c>
      <c r="V161" s="214"/>
      <c r="W161" s="214"/>
      <c r="X161" s="214"/>
      <c r="Y161" s="214"/>
      <c r="Z161" s="214"/>
      <c r="AA161" s="214"/>
      <c r="AB161" s="214"/>
      <c r="AC161" s="214"/>
      <c r="AD161" s="214"/>
      <c r="AE161" s="214"/>
      <c r="AF161" s="215">
        <v>120000000</v>
      </c>
      <c r="AG161" s="214"/>
      <c r="AH161" s="135"/>
      <c r="AI161" s="135"/>
      <c r="AJ161" s="136">
        <f>+V161+W161+X161+Y161+Z161+AA161+AB161+AC161+AD161+AE161+AF161+AG161+AH161</f>
        <v>120000000</v>
      </c>
      <c r="AK161" s="740" t="s">
        <v>427</v>
      </c>
      <c r="AL161" s="747" t="s">
        <v>1564</v>
      </c>
      <c r="AM161" s="7"/>
    </row>
    <row r="162" spans="1:77" ht="71.25" customHeight="1" x14ac:dyDescent="0.2">
      <c r="A162" s="130"/>
      <c r="B162" s="74"/>
      <c r="C162" s="74"/>
      <c r="D162" s="74"/>
      <c r="E162" s="74"/>
      <c r="F162" s="74"/>
      <c r="G162" s="513"/>
      <c r="H162" s="515" t="s">
        <v>420</v>
      </c>
      <c r="I162" s="76">
        <v>3602032</v>
      </c>
      <c r="J162" s="506" t="s">
        <v>459</v>
      </c>
      <c r="K162" s="76">
        <v>3602032</v>
      </c>
      <c r="L162" s="506" t="s">
        <v>459</v>
      </c>
      <c r="M162" s="180" t="s">
        <v>460</v>
      </c>
      <c r="N162" s="521" t="s">
        <v>461</v>
      </c>
      <c r="O162" s="180" t="s">
        <v>460</v>
      </c>
      <c r="P162" s="521" t="s">
        <v>461</v>
      </c>
      <c r="Q162" s="112" t="s">
        <v>51</v>
      </c>
      <c r="R162" s="112">
        <v>14</v>
      </c>
      <c r="S162" s="970"/>
      <c r="T162" s="954"/>
      <c r="U162" s="954"/>
      <c r="V162" s="214"/>
      <c r="W162" s="214"/>
      <c r="X162" s="214"/>
      <c r="Y162" s="214"/>
      <c r="Z162" s="214"/>
      <c r="AA162" s="214"/>
      <c r="AB162" s="214"/>
      <c r="AC162" s="214"/>
      <c r="AD162" s="214"/>
      <c r="AE162" s="214"/>
      <c r="AF162" s="215">
        <v>60000000</v>
      </c>
      <c r="AG162" s="214"/>
      <c r="AH162" s="135"/>
      <c r="AI162" s="135"/>
      <c r="AJ162" s="136">
        <f>+V162+W162+X162+Y162+Z162+AA162+AB162+AC162+AD162+AE162+AF162+AG162+AH162</f>
        <v>60000000</v>
      </c>
      <c r="AK162" s="740" t="s">
        <v>427</v>
      </c>
      <c r="AL162" s="747" t="s">
        <v>1564</v>
      </c>
      <c r="AM162" s="7"/>
    </row>
    <row r="163" spans="1:77" ht="71.25" customHeight="1" x14ac:dyDescent="0.2">
      <c r="A163" s="130"/>
      <c r="B163" s="74"/>
      <c r="C163" s="74"/>
      <c r="D163" s="74"/>
      <c r="E163" s="74"/>
      <c r="F163" s="74"/>
      <c r="G163" s="513"/>
      <c r="H163" s="515" t="s">
        <v>420</v>
      </c>
      <c r="I163" s="76">
        <v>3602029</v>
      </c>
      <c r="J163" s="506" t="s">
        <v>462</v>
      </c>
      <c r="K163" s="76">
        <v>3602029</v>
      </c>
      <c r="L163" s="506" t="s">
        <v>462</v>
      </c>
      <c r="M163" s="180" t="s">
        <v>463</v>
      </c>
      <c r="N163" s="521" t="s">
        <v>464</v>
      </c>
      <c r="O163" s="180" t="s">
        <v>463</v>
      </c>
      <c r="P163" s="521" t="s">
        <v>464</v>
      </c>
      <c r="Q163" s="112" t="s">
        <v>67</v>
      </c>
      <c r="R163" s="112">
        <v>12</v>
      </c>
      <c r="S163" s="970"/>
      <c r="T163" s="954"/>
      <c r="U163" s="954"/>
      <c r="V163" s="214"/>
      <c r="W163" s="214"/>
      <c r="X163" s="214"/>
      <c r="Y163" s="214"/>
      <c r="Z163" s="214"/>
      <c r="AA163" s="214"/>
      <c r="AB163" s="214"/>
      <c r="AC163" s="214"/>
      <c r="AD163" s="214"/>
      <c r="AE163" s="214"/>
      <c r="AF163" s="215">
        <v>22500000</v>
      </c>
      <c r="AG163" s="214"/>
      <c r="AH163" s="135"/>
      <c r="AI163" s="135"/>
      <c r="AJ163" s="136">
        <f>+V163+W163+X163+Y163+Z163+AA163+AB163+AC163+AD163+AE163+AF163+AG163+AH163</f>
        <v>22500000</v>
      </c>
      <c r="AK163" s="740" t="s">
        <v>427</v>
      </c>
      <c r="AL163" s="747" t="s">
        <v>1564</v>
      </c>
      <c r="AM163" s="7"/>
    </row>
    <row r="164" spans="1:77" ht="71.25" customHeight="1" x14ac:dyDescent="0.2">
      <c r="A164" s="130"/>
      <c r="B164" s="74"/>
      <c r="C164" s="74"/>
      <c r="D164" s="74"/>
      <c r="E164" s="74"/>
      <c r="F164" s="74"/>
      <c r="G164" s="513"/>
      <c r="H164" s="515" t="s">
        <v>420</v>
      </c>
      <c r="I164" s="76">
        <v>3602030</v>
      </c>
      <c r="J164" s="506" t="s">
        <v>465</v>
      </c>
      <c r="K164" s="76">
        <v>3602030</v>
      </c>
      <c r="L164" s="506" t="s">
        <v>465</v>
      </c>
      <c r="M164" s="180" t="s">
        <v>466</v>
      </c>
      <c r="N164" s="521" t="s">
        <v>467</v>
      </c>
      <c r="O164" s="180" t="s">
        <v>466</v>
      </c>
      <c r="P164" s="521" t="s">
        <v>467</v>
      </c>
      <c r="Q164" s="220" t="s">
        <v>67</v>
      </c>
      <c r="R164" s="112">
        <v>3</v>
      </c>
      <c r="S164" s="970"/>
      <c r="T164" s="954"/>
      <c r="U164" s="954"/>
      <c r="V164" s="214"/>
      <c r="W164" s="214"/>
      <c r="X164" s="214"/>
      <c r="Y164" s="214"/>
      <c r="Z164" s="214"/>
      <c r="AA164" s="214"/>
      <c r="AB164" s="214"/>
      <c r="AC164" s="214"/>
      <c r="AD164" s="214"/>
      <c r="AE164" s="214"/>
      <c r="AF164" s="215">
        <v>35000000</v>
      </c>
      <c r="AG164" s="214"/>
      <c r="AH164" s="135"/>
      <c r="AI164" s="135"/>
      <c r="AJ164" s="136">
        <f>+V164+W164+X164+Y164+Z164+AA164+AB164+AC164+AD164+AE164+AF164+AG164+AH164</f>
        <v>35000000</v>
      </c>
      <c r="AK164" s="740" t="s">
        <v>427</v>
      </c>
      <c r="AL164" s="747" t="s">
        <v>1564</v>
      </c>
      <c r="AM164" s="7"/>
    </row>
    <row r="165" spans="1:77" s="436" customFormat="1" ht="16.5" customHeight="1" x14ac:dyDescent="0.25">
      <c r="A165" s="432"/>
      <c r="B165" s="432"/>
      <c r="C165" s="432"/>
      <c r="D165" s="432"/>
      <c r="E165" s="432"/>
      <c r="F165" s="432"/>
      <c r="G165" s="432"/>
      <c r="H165" s="433"/>
      <c r="I165" s="432"/>
      <c r="J165" s="432"/>
      <c r="K165" s="432"/>
      <c r="L165" s="432"/>
      <c r="M165" s="432"/>
      <c r="N165" s="432"/>
      <c r="O165" s="432"/>
      <c r="P165" s="432"/>
      <c r="Q165" s="434"/>
      <c r="R165" s="432"/>
      <c r="S165" s="434"/>
      <c r="T165" s="434"/>
      <c r="U165" s="434"/>
      <c r="V165" s="435"/>
      <c r="W165" s="435"/>
      <c r="X165" s="435"/>
      <c r="Y165" s="435"/>
      <c r="Z165" s="435"/>
      <c r="AA165" s="435"/>
      <c r="AB165" s="435"/>
      <c r="AC165" s="435"/>
      <c r="AD165" s="435"/>
      <c r="AE165" s="435"/>
      <c r="AF165" s="435"/>
      <c r="AG165" s="435"/>
      <c r="AH165" s="435"/>
      <c r="AI165" s="435"/>
      <c r="AJ165" s="435"/>
      <c r="AK165" s="435"/>
      <c r="AL165" s="435"/>
      <c r="AM165" s="7"/>
    </row>
    <row r="166" spans="1:77" s="365" customFormat="1" ht="24" customHeight="1" x14ac:dyDescent="0.2">
      <c r="A166" s="34" t="s">
        <v>468</v>
      </c>
      <c r="B166" s="34"/>
      <c r="C166" s="34"/>
      <c r="D166" s="34"/>
      <c r="E166" s="34"/>
      <c r="F166" s="35"/>
      <c r="G166" s="578"/>
      <c r="H166" s="638"/>
      <c r="I166" s="600"/>
      <c r="J166" s="600"/>
      <c r="K166" s="601"/>
      <c r="L166" s="600"/>
      <c r="M166" s="600"/>
      <c r="N166" s="602"/>
      <c r="O166" s="603"/>
      <c r="P166" s="602"/>
      <c r="Q166" s="604"/>
      <c r="R166" s="603"/>
      <c r="S166" s="579"/>
      <c r="T166" s="362"/>
      <c r="U166" s="362"/>
      <c r="V166" s="358">
        <f t="shared" ref="V166:AJ166" si="70">V167+V201</f>
        <v>0</v>
      </c>
      <c r="W166" s="358">
        <f t="shared" si="70"/>
        <v>0</v>
      </c>
      <c r="X166" s="358">
        <f t="shared" si="70"/>
        <v>0</v>
      </c>
      <c r="Y166" s="358">
        <f t="shared" si="70"/>
        <v>0</v>
      </c>
      <c r="Z166" s="358">
        <f t="shared" si="70"/>
        <v>0</v>
      </c>
      <c r="AA166" s="358">
        <f t="shared" si="70"/>
        <v>0</v>
      </c>
      <c r="AB166" s="358">
        <f t="shared" si="70"/>
        <v>0</v>
      </c>
      <c r="AC166" s="358">
        <f t="shared" si="70"/>
        <v>0</v>
      </c>
      <c r="AD166" s="358">
        <f t="shared" si="70"/>
        <v>0</v>
      </c>
      <c r="AE166" s="358">
        <f t="shared" si="70"/>
        <v>0</v>
      </c>
      <c r="AF166" s="358">
        <f t="shared" si="70"/>
        <v>3198683915.9700003</v>
      </c>
      <c r="AG166" s="358">
        <f t="shared" si="70"/>
        <v>0</v>
      </c>
      <c r="AH166" s="358">
        <f t="shared" si="70"/>
        <v>0</v>
      </c>
      <c r="AI166" s="358">
        <f t="shared" ref="AI166" si="71">AI167+AI201</f>
        <v>655606585.65999997</v>
      </c>
      <c r="AJ166" s="358">
        <f t="shared" si="70"/>
        <v>3854290501.6300001</v>
      </c>
      <c r="AK166" s="358"/>
      <c r="AL166" s="358"/>
      <c r="AM166" s="7"/>
      <c r="AN166" s="364"/>
      <c r="AO166" s="364"/>
      <c r="AP166" s="364"/>
      <c r="AQ166" s="364"/>
      <c r="AR166" s="364"/>
      <c r="AS166" s="364"/>
      <c r="AT166" s="364"/>
      <c r="AU166" s="364"/>
      <c r="AV166" s="364"/>
      <c r="AW166" s="364"/>
      <c r="AX166" s="364"/>
      <c r="AY166" s="364"/>
      <c r="AZ166" s="364"/>
      <c r="BA166" s="364"/>
      <c r="BB166" s="364"/>
      <c r="BC166" s="364"/>
      <c r="BD166" s="364"/>
      <c r="BE166" s="364"/>
      <c r="BF166" s="364"/>
      <c r="BG166" s="364"/>
      <c r="BH166" s="364"/>
      <c r="BI166" s="364"/>
      <c r="BJ166" s="364"/>
      <c r="BK166" s="364"/>
      <c r="BL166" s="364"/>
      <c r="BM166" s="364"/>
      <c r="BN166" s="364"/>
      <c r="BO166" s="364"/>
      <c r="BP166" s="364"/>
      <c r="BQ166" s="364"/>
      <c r="BR166" s="364"/>
      <c r="BS166" s="364"/>
      <c r="BT166" s="364"/>
      <c r="BU166" s="364"/>
      <c r="BV166" s="364"/>
      <c r="BW166" s="364"/>
      <c r="BX166" s="364"/>
      <c r="BY166" s="364"/>
    </row>
    <row r="167" spans="1:77" ht="24" customHeight="1" x14ac:dyDescent="0.2">
      <c r="A167" s="130"/>
      <c r="B167" s="116">
        <v>2</v>
      </c>
      <c r="C167" s="116"/>
      <c r="D167" s="63" t="s">
        <v>417</v>
      </c>
      <c r="E167" s="157"/>
      <c r="F167" s="61"/>
      <c r="G167" s="163"/>
      <c r="H167" s="163"/>
      <c r="I167" s="366"/>
      <c r="J167" s="165"/>
      <c r="K167" s="164"/>
      <c r="L167" s="165"/>
      <c r="M167" s="165"/>
      <c r="N167" s="167"/>
      <c r="O167" s="166"/>
      <c r="P167" s="167"/>
      <c r="Q167" s="168"/>
      <c r="R167" s="166"/>
      <c r="S167" s="626"/>
      <c r="T167" s="118"/>
      <c r="U167" s="118"/>
      <c r="V167" s="119">
        <f>V168+V197</f>
        <v>0</v>
      </c>
      <c r="W167" s="119">
        <f t="shared" ref="W167:AH167" si="72">W168+W197</f>
        <v>0</v>
      </c>
      <c r="X167" s="119">
        <f t="shared" si="72"/>
        <v>0</v>
      </c>
      <c r="Y167" s="119">
        <f t="shared" si="72"/>
        <v>0</v>
      </c>
      <c r="Z167" s="119">
        <f t="shared" si="72"/>
        <v>0</v>
      </c>
      <c r="AA167" s="119">
        <f t="shared" si="72"/>
        <v>0</v>
      </c>
      <c r="AB167" s="119">
        <f t="shared" si="72"/>
        <v>0</v>
      </c>
      <c r="AC167" s="119">
        <f t="shared" si="72"/>
        <v>0</v>
      </c>
      <c r="AD167" s="119">
        <f t="shared" si="72"/>
        <v>0</v>
      </c>
      <c r="AE167" s="119">
        <f t="shared" si="72"/>
        <v>0</v>
      </c>
      <c r="AF167" s="119">
        <f t="shared" si="72"/>
        <v>1561052526.97</v>
      </c>
      <c r="AG167" s="119">
        <f t="shared" si="72"/>
        <v>0</v>
      </c>
      <c r="AH167" s="119">
        <f t="shared" si="72"/>
        <v>0</v>
      </c>
      <c r="AI167" s="119">
        <f>AI168+AI197</f>
        <v>655606585.65999997</v>
      </c>
      <c r="AJ167" s="119">
        <f>AJ168+AJ197</f>
        <v>2216659112.6300001</v>
      </c>
      <c r="AK167" s="119"/>
      <c r="AL167" s="119"/>
      <c r="AM167" s="7"/>
    </row>
    <row r="168" spans="1:77" s="8" customFormat="1" ht="24" customHeight="1" x14ac:dyDescent="0.25">
      <c r="A168" s="115"/>
      <c r="B168" s="70"/>
      <c r="C168" s="70"/>
      <c r="D168" s="64">
        <v>17</v>
      </c>
      <c r="E168" s="62" t="s">
        <v>469</v>
      </c>
      <c r="F168" s="62"/>
      <c r="G168" s="120"/>
      <c r="H168" s="120"/>
      <c r="I168" s="121"/>
      <c r="J168" s="123"/>
      <c r="K168" s="122"/>
      <c r="L168" s="123"/>
      <c r="M168" s="123"/>
      <c r="N168" s="125"/>
      <c r="O168" s="124"/>
      <c r="P168" s="125"/>
      <c r="Q168" s="126"/>
      <c r="R168" s="124"/>
      <c r="S168" s="186"/>
      <c r="T168" s="128"/>
      <c r="U168" s="128"/>
      <c r="V168" s="129">
        <f>V169+V181+V183+V186+V188+V190+V193</f>
        <v>0</v>
      </c>
      <c r="W168" s="129">
        <f t="shared" ref="W168:AJ168" si="73">W169+W181+W183+W186+W188+W190+W193</f>
        <v>0</v>
      </c>
      <c r="X168" s="129">
        <f t="shared" si="73"/>
        <v>0</v>
      </c>
      <c r="Y168" s="129">
        <f t="shared" si="73"/>
        <v>0</v>
      </c>
      <c r="Z168" s="129">
        <f t="shared" si="73"/>
        <v>0</v>
      </c>
      <c r="AA168" s="129">
        <f t="shared" si="73"/>
        <v>0</v>
      </c>
      <c r="AB168" s="129">
        <f t="shared" si="73"/>
        <v>0</v>
      </c>
      <c r="AC168" s="129">
        <f t="shared" si="73"/>
        <v>0</v>
      </c>
      <c r="AD168" s="129">
        <f t="shared" si="73"/>
        <v>0</v>
      </c>
      <c r="AE168" s="129">
        <f t="shared" si="73"/>
        <v>0</v>
      </c>
      <c r="AF168" s="129">
        <f t="shared" si="73"/>
        <v>1525052526.97</v>
      </c>
      <c r="AG168" s="129">
        <f t="shared" si="73"/>
        <v>0</v>
      </c>
      <c r="AH168" s="129">
        <f t="shared" si="73"/>
        <v>0</v>
      </c>
      <c r="AI168" s="129">
        <f t="shared" ref="AI168" si="74">AI169+AI181+AI183+AI186+AI188+AI190+AI193</f>
        <v>655606585.65999997</v>
      </c>
      <c r="AJ168" s="129">
        <f t="shared" si="73"/>
        <v>2180659112.6300001</v>
      </c>
      <c r="AK168" s="129"/>
      <c r="AL168" s="129"/>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c r="BX168" s="7"/>
      <c r="BY168" s="7"/>
    </row>
    <row r="169" spans="1:77" ht="24" customHeight="1" x14ac:dyDescent="0.2">
      <c r="A169" s="130"/>
      <c r="B169" s="78"/>
      <c r="C169" s="78"/>
      <c r="D169" s="78"/>
      <c r="E169" s="78"/>
      <c r="F169" s="138">
        <v>1702</v>
      </c>
      <c r="G169" s="68" t="s">
        <v>470</v>
      </c>
      <c r="H169" s="68"/>
      <c r="I169" s="177"/>
      <c r="J169" s="595"/>
      <c r="K169" s="623"/>
      <c r="L169" s="595"/>
      <c r="M169" s="595"/>
      <c r="N169" s="590"/>
      <c r="O169" s="591"/>
      <c r="P169" s="590"/>
      <c r="Q169" s="624"/>
      <c r="R169" s="591"/>
      <c r="S169" s="625"/>
      <c r="T169" s="132"/>
      <c r="U169" s="132"/>
      <c r="V169" s="133">
        <f>SUM(V170:V180)</f>
        <v>0</v>
      </c>
      <c r="W169" s="133">
        <f t="shared" ref="W169:AJ169" si="75">SUM(W170:W180)</f>
        <v>0</v>
      </c>
      <c r="X169" s="133">
        <f t="shared" si="75"/>
        <v>0</v>
      </c>
      <c r="Y169" s="133">
        <f t="shared" si="75"/>
        <v>0</v>
      </c>
      <c r="Z169" s="133">
        <f t="shared" si="75"/>
        <v>0</v>
      </c>
      <c r="AA169" s="133">
        <f t="shared" si="75"/>
        <v>0</v>
      </c>
      <c r="AB169" s="133">
        <f t="shared" si="75"/>
        <v>0</v>
      </c>
      <c r="AC169" s="133">
        <f t="shared" si="75"/>
        <v>0</v>
      </c>
      <c r="AD169" s="133">
        <f t="shared" si="75"/>
        <v>0</v>
      </c>
      <c r="AE169" s="133">
        <f t="shared" si="75"/>
        <v>0</v>
      </c>
      <c r="AF169" s="133">
        <f t="shared" si="75"/>
        <v>1169052526.97</v>
      </c>
      <c r="AG169" s="133">
        <f t="shared" si="75"/>
        <v>0</v>
      </c>
      <c r="AH169" s="133">
        <f t="shared" si="75"/>
        <v>0</v>
      </c>
      <c r="AI169" s="133">
        <f t="shared" ref="AI169" si="76">SUM(AI170:AI180)</f>
        <v>405606585.65999997</v>
      </c>
      <c r="AJ169" s="133">
        <f t="shared" si="75"/>
        <v>1574659112.6300001</v>
      </c>
      <c r="AK169" s="133"/>
      <c r="AL169" s="133"/>
      <c r="AM169" s="7"/>
    </row>
    <row r="170" spans="1:77" ht="88.5" customHeight="1" x14ac:dyDescent="0.2">
      <c r="A170" s="130"/>
      <c r="B170" s="78"/>
      <c r="C170" s="78"/>
      <c r="D170" s="78"/>
      <c r="E170" s="78"/>
      <c r="F170" s="74"/>
      <c r="G170" s="513"/>
      <c r="H170" s="506" t="s">
        <v>471</v>
      </c>
      <c r="I170" s="72">
        <v>1702011</v>
      </c>
      <c r="J170" s="506" t="s">
        <v>472</v>
      </c>
      <c r="K170" s="72">
        <v>1702011</v>
      </c>
      <c r="L170" s="506" t="s">
        <v>472</v>
      </c>
      <c r="M170" s="511" t="s">
        <v>473</v>
      </c>
      <c r="N170" s="505" t="s">
        <v>474</v>
      </c>
      <c r="O170" s="511" t="s">
        <v>473</v>
      </c>
      <c r="P170" s="505" t="s">
        <v>474</v>
      </c>
      <c r="Q170" s="513" t="s">
        <v>51</v>
      </c>
      <c r="R170" s="112">
        <v>30</v>
      </c>
      <c r="S170" s="970" t="s">
        <v>475</v>
      </c>
      <c r="T170" s="955" t="s">
        <v>476</v>
      </c>
      <c r="U170" s="955" t="s">
        <v>477</v>
      </c>
      <c r="V170" s="135"/>
      <c r="W170" s="135"/>
      <c r="X170" s="135"/>
      <c r="Y170" s="135"/>
      <c r="Z170" s="135"/>
      <c r="AA170" s="135"/>
      <c r="AB170" s="135"/>
      <c r="AC170" s="135"/>
      <c r="AD170" s="135"/>
      <c r="AE170" s="135"/>
      <c r="AF170" s="207">
        <v>226000000</v>
      </c>
      <c r="AG170" s="221"/>
      <c r="AH170" s="221"/>
      <c r="AI170" s="221"/>
      <c r="AJ170" s="136">
        <f>+V170+W170+X170+Y170+Z170+AA170+AB170+AC170+AD170+AE170+AF170+AG170+AH170</f>
        <v>226000000</v>
      </c>
      <c r="AK170" s="222" t="s">
        <v>478</v>
      </c>
      <c r="AL170" s="221" t="s">
        <v>479</v>
      </c>
      <c r="AM170" s="7"/>
    </row>
    <row r="171" spans="1:77" ht="64.5" customHeight="1" x14ac:dyDescent="0.2">
      <c r="A171" s="130"/>
      <c r="B171" s="78"/>
      <c r="C171" s="78"/>
      <c r="D171" s="78"/>
      <c r="E171" s="78"/>
      <c r="F171" s="74"/>
      <c r="G171" s="179"/>
      <c r="H171" s="506" t="s">
        <v>471</v>
      </c>
      <c r="I171" s="72">
        <v>1702007</v>
      </c>
      <c r="J171" s="506" t="s">
        <v>480</v>
      </c>
      <c r="K171" s="72">
        <v>1702007</v>
      </c>
      <c r="L171" s="506" t="s">
        <v>480</v>
      </c>
      <c r="M171" s="180" t="s">
        <v>481</v>
      </c>
      <c r="N171" s="521" t="s">
        <v>482</v>
      </c>
      <c r="O171" s="180" t="s">
        <v>481</v>
      </c>
      <c r="P171" s="521" t="s">
        <v>482</v>
      </c>
      <c r="Q171" s="102" t="s">
        <v>67</v>
      </c>
      <c r="R171" s="112">
        <v>4</v>
      </c>
      <c r="S171" s="970"/>
      <c r="T171" s="955"/>
      <c r="U171" s="955"/>
      <c r="V171" s="160"/>
      <c r="W171" s="160"/>
      <c r="X171" s="160"/>
      <c r="Y171" s="160"/>
      <c r="Z171" s="160"/>
      <c r="AA171" s="160"/>
      <c r="AB171" s="160"/>
      <c r="AC171" s="160"/>
      <c r="AD171" s="160"/>
      <c r="AE171" s="160"/>
      <c r="AF171" s="207">
        <v>123000000</v>
      </c>
      <c r="AG171" s="221"/>
      <c r="AH171" s="221"/>
      <c r="AI171" s="221"/>
      <c r="AJ171" s="136">
        <f>+V171+W171+X171+Y171+Z171+AA171+AB171+AC171+AD171+AE171+AF171+AG171+AH171</f>
        <v>123000000</v>
      </c>
      <c r="AK171" s="222" t="s">
        <v>478</v>
      </c>
      <c r="AL171" s="221" t="s">
        <v>479</v>
      </c>
      <c r="AM171" s="7"/>
    </row>
    <row r="172" spans="1:77" ht="78" customHeight="1" x14ac:dyDescent="0.2">
      <c r="A172" s="130"/>
      <c r="B172" s="78"/>
      <c r="C172" s="78"/>
      <c r="D172" s="78"/>
      <c r="E172" s="78"/>
      <c r="F172" s="74"/>
      <c r="G172" s="513"/>
      <c r="H172" s="506" t="s">
        <v>471</v>
      </c>
      <c r="I172" s="72">
        <v>1702009</v>
      </c>
      <c r="J172" s="506" t="s">
        <v>483</v>
      </c>
      <c r="K172" s="72">
        <v>1702009</v>
      </c>
      <c r="L172" s="506" t="s">
        <v>483</v>
      </c>
      <c r="M172" s="180" t="s">
        <v>484</v>
      </c>
      <c r="N172" s="521" t="s">
        <v>485</v>
      </c>
      <c r="O172" s="180" t="s">
        <v>484</v>
      </c>
      <c r="P172" s="521" t="s">
        <v>485</v>
      </c>
      <c r="Q172" s="503" t="s">
        <v>67</v>
      </c>
      <c r="R172" s="380">
        <v>168</v>
      </c>
      <c r="S172" s="970"/>
      <c r="T172" s="955"/>
      <c r="U172" s="955"/>
      <c r="V172" s="160"/>
      <c r="W172" s="160"/>
      <c r="X172" s="160"/>
      <c r="Y172" s="160"/>
      <c r="Z172" s="160"/>
      <c r="AA172" s="160"/>
      <c r="AB172" s="160"/>
      <c r="AC172" s="160"/>
      <c r="AD172" s="160"/>
      <c r="AE172" s="160"/>
      <c r="AF172" s="207">
        <v>90000000</v>
      </c>
      <c r="AG172" s="221"/>
      <c r="AH172" s="221"/>
      <c r="AI172" s="207">
        <v>300000000</v>
      </c>
      <c r="AJ172" s="136">
        <f>+V172+W172+X172+Y172+Z172+AA172+AB172+AC172+AD172+AE172+AF172+AG172+AH172+AI172</f>
        <v>390000000</v>
      </c>
      <c r="AK172" s="222" t="s">
        <v>478</v>
      </c>
      <c r="AL172" s="221" t="s">
        <v>479</v>
      </c>
      <c r="AM172" s="7"/>
    </row>
    <row r="173" spans="1:77" ht="102" customHeight="1" x14ac:dyDescent="0.2">
      <c r="A173" s="130"/>
      <c r="B173" s="78"/>
      <c r="C173" s="78"/>
      <c r="D173" s="78"/>
      <c r="E173" s="78"/>
      <c r="F173" s="74"/>
      <c r="G173" s="513"/>
      <c r="H173" s="506" t="s">
        <v>471</v>
      </c>
      <c r="I173" s="79">
        <v>1702017</v>
      </c>
      <c r="J173" s="506" t="s">
        <v>486</v>
      </c>
      <c r="K173" s="79">
        <v>1702017</v>
      </c>
      <c r="L173" s="506" t="s">
        <v>486</v>
      </c>
      <c r="M173" s="180" t="s">
        <v>487</v>
      </c>
      <c r="N173" s="521" t="s">
        <v>488</v>
      </c>
      <c r="O173" s="180" t="s">
        <v>487</v>
      </c>
      <c r="P173" s="521" t="s">
        <v>488</v>
      </c>
      <c r="Q173" s="224" t="s">
        <v>67</v>
      </c>
      <c r="R173" s="112">
        <v>750</v>
      </c>
      <c r="S173" s="976" t="s">
        <v>489</v>
      </c>
      <c r="T173" s="965" t="s">
        <v>490</v>
      </c>
      <c r="U173" s="965" t="s">
        <v>491</v>
      </c>
      <c r="V173" s="160"/>
      <c r="W173" s="160"/>
      <c r="X173" s="160"/>
      <c r="Y173" s="160"/>
      <c r="Z173" s="160"/>
      <c r="AA173" s="160"/>
      <c r="AB173" s="160"/>
      <c r="AC173" s="160"/>
      <c r="AD173" s="160"/>
      <c r="AE173" s="160"/>
      <c r="AF173" s="207">
        <f>130000000+335052526.97</f>
        <v>465052526.97000003</v>
      </c>
      <c r="AG173" s="221"/>
      <c r="AH173" s="221"/>
      <c r="AI173" s="221"/>
      <c r="AJ173" s="136">
        <f>+V173+W173+X173+Y173+Z173+AA173+AB173+AC173+AD173+AE173+AF173+AG173+AH173</f>
        <v>465052526.97000003</v>
      </c>
      <c r="AK173" s="222" t="s">
        <v>478</v>
      </c>
      <c r="AL173" s="221" t="s">
        <v>479</v>
      </c>
      <c r="AM173" s="7"/>
    </row>
    <row r="174" spans="1:77" ht="96" customHeight="1" x14ac:dyDescent="0.2">
      <c r="A174" s="130"/>
      <c r="B174" s="78"/>
      <c r="C174" s="78"/>
      <c r="D174" s="78"/>
      <c r="E174" s="78"/>
      <c r="F174" s="74"/>
      <c r="G174" s="513"/>
      <c r="H174" s="506" t="s">
        <v>471</v>
      </c>
      <c r="I174" s="72">
        <v>1702014</v>
      </c>
      <c r="J174" s="506" t="s">
        <v>492</v>
      </c>
      <c r="K174" s="72">
        <v>1702014</v>
      </c>
      <c r="L174" s="506" t="s">
        <v>492</v>
      </c>
      <c r="M174" s="180" t="s">
        <v>493</v>
      </c>
      <c r="N174" s="521" t="s">
        <v>494</v>
      </c>
      <c r="O174" s="180" t="s">
        <v>493</v>
      </c>
      <c r="P174" s="521" t="s">
        <v>494</v>
      </c>
      <c r="Q174" s="178" t="s">
        <v>67</v>
      </c>
      <c r="R174" s="202">
        <v>25</v>
      </c>
      <c r="S174" s="976"/>
      <c r="T174" s="965"/>
      <c r="U174" s="965"/>
      <c r="V174" s="160"/>
      <c r="W174" s="160"/>
      <c r="X174" s="160"/>
      <c r="Y174" s="160"/>
      <c r="Z174" s="160"/>
      <c r="AA174" s="160"/>
      <c r="AB174" s="160"/>
      <c r="AC174" s="160"/>
      <c r="AD174" s="160"/>
      <c r="AE174" s="160"/>
      <c r="AF174" s="207">
        <v>45000000</v>
      </c>
      <c r="AG174" s="221"/>
      <c r="AH174" s="221"/>
      <c r="AI174" s="221"/>
      <c r="AJ174" s="136">
        <f>+V174+W174+X174+Y174+Z174+AA174+AB174+AC174+AD174+AE174+AF174+AG174+AH174</f>
        <v>45000000</v>
      </c>
      <c r="AK174" s="222" t="s">
        <v>478</v>
      </c>
      <c r="AL174" s="221" t="s">
        <v>479</v>
      </c>
      <c r="AM174" s="7"/>
    </row>
    <row r="175" spans="1:77" ht="85.5" customHeight="1" x14ac:dyDescent="0.2">
      <c r="A175" s="130"/>
      <c r="B175" s="78"/>
      <c r="C175" s="78"/>
      <c r="D175" s="78"/>
      <c r="E175" s="78"/>
      <c r="F175" s="74"/>
      <c r="G175" s="513"/>
      <c r="H175" s="506" t="s">
        <v>471</v>
      </c>
      <c r="I175" s="72">
        <v>1702021</v>
      </c>
      <c r="J175" s="506" t="s">
        <v>495</v>
      </c>
      <c r="K175" s="72">
        <v>1702021</v>
      </c>
      <c r="L175" s="506" t="s">
        <v>495</v>
      </c>
      <c r="M175" s="180" t="s">
        <v>496</v>
      </c>
      <c r="N175" s="521" t="s">
        <v>497</v>
      </c>
      <c r="O175" s="180" t="s">
        <v>496</v>
      </c>
      <c r="P175" s="521" t="s">
        <v>497</v>
      </c>
      <c r="Q175" s="178" t="s">
        <v>67</v>
      </c>
      <c r="R175" s="112">
        <v>150</v>
      </c>
      <c r="S175" s="976"/>
      <c r="T175" s="965"/>
      <c r="U175" s="965"/>
      <c r="V175" s="160"/>
      <c r="W175" s="160"/>
      <c r="X175" s="160"/>
      <c r="Y175" s="160"/>
      <c r="Z175" s="160"/>
      <c r="AA175" s="160"/>
      <c r="AB175" s="160"/>
      <c r="AC175" s="160"/>
      <c r="AD175" s="160"/>
      <c r="AE175" s="160"/>
      <c r="AF175" s="207">
        <v>20000000</v>
      </c>
      <c r="AG175" s="221"/>
      <c r="AH175" s="221"/>
      <c r="AI175" s="221"/>
      <c r="AJ175" s="136">
        <f>+V175+W175+X175+Y175+Z175+AA175+AB175+AC175+AD175+AE175+AF175+AG175+AH175</f>
        <v>20000000</v>
      </c>
      <c r="AK175" s="222" t="s">
        <v>478</v>
      </c>
      <c r="AL175" s="221" t="s">
        <v>479</v>
      </c>
      <c r="AM175" s="7"/>
    </row>
    <row r="176" spans="1:77" ht="65.25" customHeight="1" x14ac:dyDescent="0.2">
      <c r="A176" s="130"/>
      <c r="B176" s="78"/>
      <c r="C176" s="78"/>
      <c r="D176" s="78"/>
      <c r="E176" s="78"/>
      <c r="F176" s="74"/>
      <c r="G176" s="513"/>
      <c r="H176" s="506" t="s">
        <v>471</v>
      </c>
      <c r="I176" s="72">
        <v>1702038</v>
      </c>
      <c r="J176" s="506" t="s">
        <v>498</v>
      </c>
      <c r="K176" s="72">
        <v>1702038</v>
      </c>
      <c r="L176" s="506" t="s">
        <v>498</v>
      </c>
      <c r="M176" s="511" t="s">
        <v>499</v>
      </c>
      <c r="N176" s="505" t="s">
        <v>500</v>
      </c>
      <c r="O176" s="511" t="s">
        <v>499</v>
      </c>
      <c r="P176" s="505" t="s">
        <v>500</v>
      </c>
      <c r="Q176" s="178" t="s">
        <v>51</v>
      </c>
      <c r="R176" s="112">
        <v>30</v>
      </c>
      <c r="S176" s="970" t="s">
        <v>501</v>
      </c>
      <c r="T176" s="949" t="s">
        <v>502</v>
      </c>
      <c r="U176" s="952" t="s">
        <v>503</v>
      </c>
      <c r="V176" s="160"/>
      <c r="W176" s="160"/>
      <c r="X176" s="160"/>
      <c r="Y176" s="160"/>
      <c r="Z176" s="160"/>
      <c r="AA176" s="160"/>
      <c r="AB176" s="160"/>
      <c r="AC176" s="160"/>
      <c r="AD176" s="160"/>
      <c r="AE176" s="160"/>
      <c r="AF176" s="207">
        <v>65000000</v>
      </c>
      <c r="AG176" s="779"/>
      <c r="AH176" s="221"/>
      <c r="AI176" s="207">
        <v>105606585.66</v>
      </c>
      <c r="AJ176" s="136">
        <f>+V176+W176+X176+Y176+Z176+AA176+AB176+AC176+AD176+AE176+AF176+AG176+AH176+AI176</f>
        <v>170606585.66</v>
      </c>
      <c r="AK176" s="222" t="s">
        <v>478</v>
      </c>
      <c r="AL176" s="221" t="s">
        <v>479</v>
      </c>
      <c r="AM176" s="7"/>
    </row>
    <row r="177" spans="1:39" ht="129.75" customHeight="1" x14ac:dyDescent="0.2">
      <c r="A177" s="130"/>
      <c r="B177" s="78"/>
      <c r="C177" s="78"/>
      <c r="D177" s="78"/>
      <c r="E177" s="78"/>
      <c r="F177" s="74"/>
      <c r="G177" s="513"/>
      <c r="H177" s="506" t="s">
        <v>471</v>
      </c>
      <c r="I177" s="72">
        <v>1702038</v>
      </c>
      <c r="J177" s="506" t="s">
        <v>498</v>
      </c>
      <c r="K177" s="72">
        <v>1702038</v>
      </c>
      <c r="L177" s="506" t="s">
        <v>498</v>
      </c>
      <c r="M177" s="511" t="s">
        <v>504</v>
      </c>
      <c r="N177" s="505" t="s">
        <v>505</v>
      </c>
      <c r="O177" s="511" t="s">
        <v>504</v>
      </c>
      <c r="P177" s="505" t="s">
        <v>505</v>
      </c>
      <c r="Q177" s="178" t="s">
        <v>67</v>
      </c>
      <c r="R177" s="112">
        <v>80</v>
      </c>
      <c r="S177" s="970"/>
      <c r="T177" s="949"/>
      <c r="U177" s="953"/>
      <c r="V177" s="160"/>
      <c r="W177" s="160"/>
      <c r="X177" s="160"/>
      <c r="Y177" s="160"/>
      <c r="Z177" s="160"/>
      <c r="AA177" s="160"/>
      <c r="AB177" s="160"/>
      <c r="AC177" s="160"/>
      <c r="AD177" s="160"/>
      <c r="AE177" s="160"/>
      <c r="AF177" s="207">
        <v>18000000</v>
      </c>
      <c r="AG177" s="221"/>
      <c r="AH177" s="221"/>
      <c r="AI177" s="221"/>
      <c r="AJ177" s="136">
        <f>+V177+W177+X177+Y177+Z177+AA177+AB177+AC177+AD177+AE177+AF177+AG177+AH177</f>
        <v>18000000</v>
      </c>
      <c r="AK177" s="222" t="s">
        <v>478</v>
      </c>
      <c r="AL177" s="221" t="s">
        <v>479</v>
      </c>
      <c r="AM177" s="7"/>
    </row>
    <row r="178" spans="1:39" ht="74.25" customHeight="1" x14ac:dyDescent="0.2">
      <c r="A178" s="130"/>
      <c r="B178" s="78"/>
      <c r="C178" s="78"/>
      <c r="D178" s="78"/>
      <c r="E178" s="78"/>
      <c r="F178" s="74"/>
      <c r="G178" s="513"/>
      <c r="H178" s="506" t="s">
        <v>471</v>
      </c>
      <c r="I178" s="72">
        <v>1702023</v>
      </c>
      <c r="J178" s="506" t="s">
        <v>248</v>
      </c>
      <c r="K178" s="72">
        <v>1702023</v>
      </c>
      <c r="L178" s="506" t="s">
        <v>248</v>
      </c>
      <c r="M178" s="511" t="s">
        <v>506</v>
      </c>
      <c r="N178" s="505" t="s">
        <v>507</v>
      </c>
      <c r="O178" s="511" t="s">
        <v>506</v>
      </c>
      <c r="P178" s="505" t="s">
        <v>507</v>
      </c>
      <c r="Q178" s="198" t="s">
        <v>51</v>
      </c>
      <c r="R178" s="112">
        <v>1</v>
      </c>
      <c r="S178" s="976" t="s">
        <v>508</v>
      </c>
      <c r="T178" s="949" t="s">
        <v>509</v>
      </c>
      <c r="U178" s="955" t="s">
        <v>510</v>
      </c>
      <c r="V178" s="160"/>
      <c r="W178" s="160"/>
      <c r="X178" s="160"/>
      <c r="Y178" s="160"/>
      <c r="Z178" s="160"/>
      <c r="AA178" s="160"/>
      <c r="AB178" s="160"/>
      <c r="AC178" s="160"/>
      <c r="AD178" s="160"/>
      <c r="AE178" s="160"/>
      <c r="AF178" s="207">
        <v>45000000</v>
      </c>
      <c r="AG178" s="221"/>
      <c r="AH178" s="221"/>
      <c r="AI178" s="221"/>
      <c r="AJ178" s="136">
        <f>+V178+W178+X178+Y178+Z178+AA178+AB178+AC178+AD178+AE178+AF178+AG178+AH178</f>
        <v>45000000</v>
      </c>
      <c r="AK178" s="222" t="s">
        <v>478</v>
      </c>
      <c r="AL178" s="221" t="s">
        <v>479</v>
      </c>
      <c r="AM178" s="7"/>
    </row>
    <row r="179" spans="1:39" ht="108" customHeight="1" x14ac:dyDescent="0.2">
      <c r="A179" s="130"/>
      <c r="B179" s="78"/>
      <c r="C179" s="78"/>
      <c r="D179" s="78"/>
      <c r="E179" s="78"/>
      <c r="F179" s="74"/>
      <c r="G179" s="513"/>
      <c r="H179" s="506" t="s">
        <v>471</v>
      </c>
      <c r="I179" s="72">
        <v>1702024</v>
      </c>
      <c r="J179" s="506" t="s">
        <v>511</v>
      </c>
      <c r="K179" s="72">
        <v>1702024</v>
      </c>
      <c r="L179" s="506" t="s">
        <v>511</v>
      </c>
      <c r="M179" s="180" t="s">
        <v>512</v>
      </c>
      <c r="N179" s="521" t="s">
        <v>513</v>
      </c>
      <c r="O179" s="180" t="s">
        <v>512</v>
      </c>
      <c r="P179" s="521" t="s">
        <v>513</v>
      </c>
      <c r="Q179" s="198" t="s">
        <v>51</v>
      </c>
      <c r="R179" s="112">
        <v>12</v>
      </c>
      <c r="S179" s="976"/>
      <c r="T179" s="949"/>
      <c r="U179" s="955"/>
      <c r="V179" s="160"/>
      <c r="W179" s="160"/>
      <c r="X179" s="160"/>
      <c r="Y179" s="160"/>
      <c r="Z179" s="160"/>
      <c r="AA179" s="160"/>
      <c r="AB179" s="160"/>
      <c r="AC179" s="160"/>
      <c r="AD179" s="160"/>
      <c r="AE179" s="160"/>
      <c r="AF179" s="207">
        <v>45000000</v>
      </c>
      <c r="AG179" s="221"/>
      <c r="AH179" s="221"/>
      <c r="AI179" s="221"/>
      <c r="AJ179" s="136">
        <f>+V179+W179+X179+Y179+Z179+AA179+AB179+AC179+AD179+AE179+AF179+AG179+AH179</f>
        <v>45000000</v>
      </c>
      <c r="AK179" s="222" t="s">
        <v>478</v>
      </c>
      <c r="AL179" s="221" t="s">
        <v>479</v>
      </c>
      <c r="AM179" s="7"/>
    </row>
    <row r="180" spans="1:39" ht="171.75" customHeight="1" x14ac:dyDescent="0.2">
      <c r="A180" s="130"/>
      <c r="B180" s="78"/>
      <c r="C180" s="78"/>
      <c r="D180" s="78"/>
      <c r="E180" s="78"/>
      <c r="F180" s="74"/>
      <c r="G180" s="513"/>
      <c r="H180" s="506" t="s">
        <v>471</v>
      </c>
      <c r="I180" s="72">
        <v>1702025</v>
      </c>
      <c r="J180" s="506" t="s">
        <v>514</v>
      </c>
      <c r="K180" s="72">
        <v>1702025</v>
      </c>
      <c r="L180" s="506" t="s">
        <v>514</v>
      </c>
      <c r="M180" s="180" t="s">
        <v>515</v>
      </c>
      <c r="N180" s="521" t="s">
        <v>516</v>
      </c>
      <c r="O180" s="180" t="s">
        <v>515</v>
      </c>
      <c r="P180" s="521" t="s">
        <v>516</v>
      </c>
      <c r="Q180" s="198" t="s">
        <v>67</v>
      </c>
      <c r="R180" s="112">
        <v>25</v>
      </c>
      <c r="S180" s="514" t="s">
        <v>517</v>
      </c>
      <c r="T180" s="505" t="s">
        <v>518</v>
      </c>
      <c r="U180" s="506" t="s">
        <v>519</v>
      </c>
      <c r="V180" s="160"/>
      <c r="W180" s="160"/>
      <c r="X180" s="160"/>
      <c r="Y180" s="160"/>
      <c r="Z180" s="160"/>
      <c r="AA180" s="160"/>
      <c r="AB180" s="160"/>
      <c r="AC180" s="160"/>
      <c r="AD180" s="160"/>
      <c r="AE180" s="160"/>
      <c r="AF180" s="207">
        <v>27000000</v>
      </c>
      <c r="AG180" s="221"/>
      <c r="AH180" s="221"/>
      <c r="AI180" s="221"/>
      <c r="AJ180" s="136">
        <f>+V180+W180+X180+Y180+Z180+AA180+AB180+AC180+AD180+AE180+AF180+AG180+AH180</f>
        <v>27000000</v>
      </c>
      <c r="AK180" s="222" t="s">
        <v>478</v>
      </c>
      <c r="AL180" s="221" t="s">
        <v>479</v>
      </c>
      <c r="AM180" s="7"/>
    </row>
    <row r="181" spans="1:39" ht="24" customHeight="1" x14ac:dyDescent="0.2">
      <c r="A181" s="130"/>
      <c r="B181" s="78"/>
      <c r="C181" s="78"/>
      <c r="D181" s="78"/>
      <c r="E181" s="78"/>
      <c r="F181" s="138">
        <v>1703</v>
      </c>
      <c r="G181" s="68" t="s">
        <v>520</v>
      </c>
      <c r="H181" s="68"/>
      <c r="I181" s="177"/>
      <c r="J181" s="595"/>
      <c r="K181" s="623"/>
      <c r="L181" s="595"/>
      <c r="M181" s="595"/>
      <c r="N181" s="590"/>
      <c r="O181" s="591"/>
      <c r="P181" s="590"/>
      <c r="Q181" s="624"/>
      <c r="R181" s="591"/>
      <c r="S181" s="625"/>
      <c r="T181" s="132"/>
      <c r="U181" s="132"/>
      <c r="V181" s="133">
        <f>SUM(V182)</f>
        <v>0</v>
      </c>
      <c r="W181" s="133">
        <f t="shared" ref="W181:AJ181" si="77">SUM(W182)</f>
        <v>0</v>
      </c>
      <c r="X181" s="133">
        <f t="shared" si="77"/>
        <v>0</v>
      </c>
      <c r="Y181" s="133">
        <f t="shared" si="77"/>
        <v>0</v>
      </c>
      <c r="Z181" s="133">
        <f t="shared" si="77"/>
        <v>0</v>
      </c>
      <c r="AA181" s="133">
        <f t="shared" si="77"/>
        <v>0</v>
      </c>
      <c r="AB181" s="133">
        <f t="shared" si="77"/>
        <v>0</v>
      </c>
      <c r="AC181" s="133">
        <f t="shared" si="77"/>
        <v>0</v>
      </c>
      <c r="AD181" s="133">
        <f t="shared" si="77"/>
        <v>0</v>
      </c>
      <c r="AE181" s="133">
        <f t="shared" si="77"/>
        <v>0</v>
      </c>
      <c r="AF181" s="193">
        <f t="shared" si="77"/>
        <v>75000000</v>
      </c>
      <c r="AG181" s="133">
        <f t="shared" si="77"/>
        <v>0</v>
      </c>
      <c r="AH181" s="133">
        <f t="shared" si="77"/>
        <v>0</v>
      </c>
      <c r="AI181" s="193">
        <f t="shared" si="77"/>
        <v>250000000</v>
      </c>
      <c r="AJ181" s="193">
        <f t="shared" si="77"/>
        <v>325000000</v>
      </c>
      <c r="AK181" s="133" t="s">
        <v>0</v>
      </c>
      <c r="AL181" s="140"/>
      <c r="AM181" s="7"/>
    </row>
    <row r="182" spans="1:39" ht="187.5" customHeight="1" x14ac:dyDescent="0.2">
      <c r="A182" s="130"/>
      <c r="B182" s="78"/>
      <c r="C182" s="78"/>
      <c r="D182" s="78"/>
      <c r="E182" s="78"/>
      <c r="F182" s="74"/>
      <c r="G182" s="513"/>
      <c r="H182" s="506" t="s">
        <v>471</v>
      </c>
      <c r="I182" s="72">
        <v>1703013</v>
      </c>
      <c r="J182" s="506" t="s">
        <v>521</v>
      </c>
      <c r="K182" s="72">
        <v>1703013</v>
      </c>
      <c r="L182" s="506" t="s">
        <v>521</v>
      </c>
      <c r="M182" s="180" t="s">
        <v>522</v>
      </c>
      <c r="N182" s="521" t="s">
        <v>523</v>
      </c>
      <c r="O182" s="180" t="s">
        <v>522</v>
      </c>
      <c r="P182" s="521" t="s">
        <v>523</v>
      </c>
      <c r="Q182" s="198" t="s">
        <v>67</v>
      </c>
      <c r="R182" s="112">
        <v>100</v>
      </c>
      <c r="S182" s="514" t="s">
        <v>524</v>
      </c>
      <c r="T182" s="505" t="s">
        <v>525</v>
      </c>
      <c r="U182" s="506" t="s">
        <v>526</v>
      </c>
      <c r="V182" s="160"/>
      <c r="W182" s="160"/>
      <c r="X182" s="160"/>
      <c r="Y182" s="160"/>
      <c r="Z182" s="160"/>
      <c r="AA182" s="160"/>
      <c r="AB182" s="160"/>
      <c r="AC182" s="160"/>
      <c r="AD182" s="160"/>
      <c r="AE182" s="160"/>
      <c r="AF182" s="207">
        <v>75000000</v>
      </c>
      <c r="AG182" s="745"/>
      <c r="AH182" s="221"/>
      <c r="AI182" s="207">
        <v>250000000</v>
      </c>
      <c r="AJ182" s="136">
        <f>+V182+W182+X182+Y182+Z182+AA182+AB182+AC182+AD182+AE182+AF182+AG182+AH182+AI182</f>
        <v>325000000</v>
      </c>
      <c r="AK182" s="222" t="s">
        <v>478</v>
      </c>
      <c r="AL182" s="221" t="s">
        <v>479</v>
      </c>
      <c r="AM182" s="7"/>
    </row>
    <row r="183" spans="1:39" ht="24" customHeight="1" x14ac:dyDescent="0.2">
      <c r="A183" s="130"/>
      <c r="B183" s="78"/>
      <c r="C183" s="78"/>
      <c r="D183" s="78"/>
      <c r="E183" s="78"/>
      <c r="F183" s="138">
        <v>1704</v>
      </c>
      <c r="G183" s="68" t="s">
        <v>527</v>
      </c>
      <c r="H183" s="68"/>
      <c r="I183" s="177"/>
      <c r="J183" s="595"/>
      <c r="K183" s="645"/>
      <c r="L183" s="595"/>
      <c r="M183" s="595"/>
      <c r="N183" s="646"/>
      <c r="O183" s="645"/>
      <c r="P183" s="646"/>
      <c r="Q183" s="646"/>
      <c r="R183" s="646"/>
      <c r="S183" s="648"/>
      <c r="T183" s="225"/>
      <c r="U183" s="225"/>
      <c r="V183" s="226">
        <f>SUM(V184:V185)</f>
        <v>0</v>
      </c>
      <c r="W183" s="226">
        <f t="shared" ref="W183:AJ183" si="78">SUM(W184:W185)</f>
        <v>0</v>
      </c>
      <c r="X183" s="226">
        <f t="shared" si="78"/>
        <v>0</v>
      </c>
      <c r="Y183" s="226">
        <f t="shared" si="78"/>
        <v>0</v>
      </c>
      <c r="Z183" s="226">
        <f t="shared" si="78"/>
        <v>0</v>
      </c>
      <c r="AA183" s="226">
        <f t="shared" si="78"/>
        <v>0</v>
      </c>
      <c r="AB183" s="226">
        <f t="shared" si="78"/>
        <v>0</v>
      </c>
      <c r="AC183" s="226">
        <f t="shared" si="78"/>
        <v>0</v>
      </c>
      <c r="AD183" s="226">
        <f t="shared" si="78"/>
        <v>0</v>
      </c>
      <c r="AE183" s="226">
        <f t="shared" si="78"/>
        <v>0</v>
      </c>
      <c r="AF183" s="534">
        <f>SUM(AF184:AF185)</f>
        <v>70000000</v>
      </c>
      <c r="AG183" s="227">
        <f t="shared" si="78"/>
        <v>0</v>
      </c>
      <c r="AH183" s="227">
        <f t="shared" si="78"/>
        <v>0</v>
      </c>
      <c r="AI183" s="227"/>
      <c r="AJ183" s="534">
        <f t="shared" si="78"/>
        <v>70000000</v>
      </c>
      <c r="AK183" s="227"/>
      <c r="AL183" s="228"/>
      <c r="AM183" s="7"/>
    </row>
    <row r="184" spans="1:39" ht="80.25" customHeight="1" x14ac:dyDescent="0.2">
      <c r="A184" s="130"/>
      <c r="B184" s="83"/>
      <c r="C184" s="83"/>
      <c r="D184" s="83"/>
      <c r="E184" s="83"/>
      <c r="F184" s="76"/>
      <c r="G184" s="229"/>
      <c r="H184" s="506" t="s">
        <v>471</v>
      </c>
      <c r="I184" s="72">
        <v>1704002</v>
      </c>
      <c r="J184" s="506" t="s">
        <v>95</v>
      </c>
      <c r="K184" s="72">
        <v>1704002</v>
      </c>
      <c r="L184" s="506" t="s">
        <v>95</v>
      </c>
      <c r="M184" s="511" t="s">
        <v>528</v>
      </c>
      <c r="N184" s="505" t="s">
        <v>529</v>
      </c>
      <c r="O184" s="511" t="s">
        <v>528</v>
      </c>
      <c r="P184" s="505" t="s">
        <v>529</v>
      </c>
      <c r="Q184" s="178" t="s">
        <v>51</v>
      </c>
      <c r="R184" s="112">
        <v>1</v>
      </c>
      <c r="S184" s="976" t="s">
        <v>530</v>
      </c>
      <c r="T184" s="949" t="s">
        <v>531</v>
      </c>
      <c r="U184" s="955" t="s">
        <v>532</v>
      </c>
      <c r="V184" s="130"/>
      <c r="W184" s="130"/>
      <c r="X184" s="130"/>
      <c r="Y184" s="130"/>
      <c r="Z184" s="130"/>
      <c r="AA184" s="130"/>
      <c r="AB184" s="130"/>
      <c r="AC184" s="130"/>
      <c r="AD184" s="130"/>
      <c r="AE184" s="130"/>
      <c r="AF184" s="533">
        <v>42000000</v>
      </c>
      <c r="AG184" s="221"/>
      <c r="AH184" s="221"/>
      <c r="AI184" s="221"/>
      <c r="AJ184" s="136">
        <f>+V184+W184+X184+Y184+Z184+AA184+AB184+AC184+AD184+AE184+AF184+AG184+AH184</f>
        <v>42000000</v>
      </c>
      <c r="AK184" s="222" t="s">
        <v>478</v>
      </c>
      <c r="AL184" s="221" t="s">
        <v>479</v>
      </c>
      <c r="AM184" s="7"/>
    </row>
    <row r="185" spans="1:39" ht="105" customHeight="1" x14ac:dyDescent="0.2">
      <c r="A185" s="130"/>
      <c r="B185" s="83"/>
      <c r="C185" s="83"/>
      <c r="D185" s="83"/>
      <c r="E185" s="83"/>
      <c r="F185" s="76"/>
      <c r="G185" s="229"/>
      <c r="H185" s="506" t="s">
        <v>471</v>
      </c>
      <c r="I185" s="72">
        <v>1704017</v>
      </c>
      <c r="J185" s="506" t="s">
        <v>533</v>
      </c>
      <c r="K185" s="72">
        <v>1704017</v>
      </c>
      <c r="L185" s="506" t="s">
        <v>533</v>
      </c>
      <c r="M185" s="511" t="s">
        <v>534</v>
      </c>
      <c r="N185" s="505" t="s">
        <v>535</v>
      </c>
      <c r="O185" s="511" t="s">
        <v>534</v>
      </c>
      <c r="P185" s="505" t="s">
        <v>535</v>
      </c>
      <c r="Q185" s="178" t="s">
        <v>67</v>
      </c>
      <c r="R185" s="112">
        <v>150</v>
      </c>
      <c r="S185" s="976"/>
      <c r="T185" s="949"/>
      <c r="U185" s="955"/>
      <c r="V185" s="130"/>
      <c r="W185" s="130"/>
      <c r="X185" s="130"/>
      <c r="Y185" s="130"/>
      <c r="Z185" s="130"/>
      <c r="AA185" s="130"/>
      <c r="AB185" s="130"/>
      <c r="AC185" s="130"/>
      <c r="AD185" s="130"/>
      <c r="AE185" s="130"/>
      <c r="AF185" s="533">
        <v>28000000</v>
      </c>
      <c r="AG185" s="221"/>
      <c r="AH185" s="221"/>
      <c r="AI185" s="221"/>
      <c r="AJ185" s="136">
        <f>+V185+W185+X185+Y185+Z185+AA185+AB185+AC185+AD185+AE185+AF185+AG185+AH185</f>
        <v>28000000</v>
      </c>
      <c r="AK185" s="222" t="s">
        <v>478</v>
      </c>
      <c r="AL185" s="221" t="s">
        <v>479</v>
      </c>
      <c r="AM185" s="7"/>
    </row>
    <row r="186" spans="1:39" ht="24" customHeight="1" x14ac:dyDescent="0.2">
      <c r="A186" s="130"/>
      <c r="B186" s="78"/>
      <c r="C186" s="78"/>
      <c r="D186" s="78"/>
      <c r="E186" s="78"/>
      <c r="F186" s="138">
        <v>1706</v>
      </c>
      <c r="G186" s="68" t="s">
        <v>536</v>
      </c>
      <c r="H186" s="68"/>
      <c r="I186" s="177"/>
      <c r="J186" s="595"/>
      <c r="K186" s="623"/>
      <c r="L186" s="595"/>
      <c r="M186" s="595"/>
      <c r="N186" s="590"/>
      <c r="O186" s="591"/>
      <c r="P186" s="590"/>
      <c r="Q186" s="624"/>
      <c r="R186" s="591"/>
      <c r="S186" s="625"/>
      <c r="T186" s="132"/>
      <c r="U186" s="132"/>
      <c r="V186" s="133">
        <f>SUM(V187)</f>
        <v>0</v>
      </c>
      <c r="W186" s="133">
        <f t="shared" ref="W186:AJ186" si="79">SUM(W187)</f>
        <v>0</v>
      </c>
      <c r="X186" s="133">
        <f t="shared" si="79"/>
        <v>0</v>
      </c>
      <c r="Y186" s="133">
        <f t="shared" si="79"/>
        <v>0</v>
      </c>
      <c r="Z186" s="133">
        <f t="shared" si="79"/>
        <v>0</v>
      </c>
      <c r="AA186" s="133">
        <f t="shared" si="79"/>
        <v>0</v>
      </c>
      <c r="AB186" s="133">
        <f t="shared" si="79"/>
        <v>0</v>
      </c>
      <c r="AC186" s="133">
        <f t="shared" si="79"/>
        <v>0</v>
      </c>
      <c r="AD186" s="133">
        <f t="shared" si="79"/>
        <v>0</v>
      </c>
      <c r="AE186" s="133">
        <f t="shared" si="79"/>
        <v>0</v>
      </c>
      <c r="AF186" s="193">
        <f t="shared" si="79"/>
        <v>20000000</v>
      </c>
      <c r="AG186" s="133">
        <f t="shared" si="79"/>
        <v>0</v>
      </c>
      <c r="AH186" s="133">
        <f t="shared" si="79"/>
        <v>0</v>
      </c>
      <c r="AI186" s="133"/>
      <c r="AJ186" s="193">
        <f t="shared" si="79"/>
        <v>20000000</v>
      </c>
      <c r="AK186" s="133"/>
      <c r="AL186" s="140"/>
      <c r="AM186" s="7"/>
    </row>
    <row r="187" spans="1:39" ht="148.5" customHeight="1" x14ac:dyDescent="0.2">
      <c r="A187" s="130"/>
      <c r="B187" s="78"/>
      <c r="C187" s="78"/>
      <c r="D187" s="78"/>
      <c r="E187" s="78"/>
      <c r="F187" s="74"/>
      <c r="G187" s="198"/>
      <c r="H187" s="506" t="s">
        <v>471</v>
      </c>
      <c r="I187" s="72">
        <v>1706004</v>
      </c>
      <c r="J187" s="506" t="s">
        <v>537</v>
      </c>
      <c r="K187" s="72">
        <v>1706004</v>
      </c>
      <c r="L187" s="506" t="s">
        <v>537</v>
      </c>
      <c r="M187" s="511" t="s">
        <v>538</v>
      </c>
      <c r="N187" s="505" t="s">
        <v>539</v>
      </c>
      <c r="O187" s="511" t="s">
        <v>538</v>
      </c>
      <c r="P187" s="505" t="s">
        <v>539</v>
      </c>
      <c r="Q187" s="178" t="s">
        <v>51</v>
      </c>
      <c r="R187" s="112">
        <v>10</v>
      </c>
      <c r="S187" s="514" t="s">
        <v>540</v>
      </c>
      <c r="T187" s="505" t="s">
        <v>541</v>
      </c>
      <c r="U187" s="505" t="s">
        <v>542</v>
      </c>
      <c r="V187" s="135"/>
      <c r="W187" s="135"/>
      <c r="X187" s="135"/>
      <c r="Y187" s="135"/>
      <c r="Z187" s="135"/>
      <c r="AA187" s="135"/>
      <c r="AB187" s="135"/>
      <c r="AC187" s="135"/>
      <c r="AD187" s="135"/>
      <c r="AE187" s="135"/>
      <c r="AF187" s="533">
        <v>20000000</v>
      </c>
      <c r="AG187" s="221"/>
      <c r="AH187" s="221"/>
      <c r="AI187" s="221"/>
      <c r="AJ187" s="136">
        <f>+V187+W187+X187+Y187+Z187+AA187+AB187+AC187+AD187+AE187+AF187+AG187+AH187</f>
        <v>20000000</v>
      </c>
      <c r="AK187" s="222" t="s">
        <v>478</v>
      </c>
      <c r="AL187" s="221" t="s">
        <v>479</v>
      </c>
      <c r="AM187" s="7"/>
    </row>
    <row r="188" spans="1:39" ht="24" customHeight="1" x14ac:dyDescent="0.2">
      <c r="A188" s="130"/>
      <c r="B188" s="78"/>
      <c r="C188" s="78"/>
      <c r="D188" s="78"/>
      <c r="E188" s="78"/>
      <c r="F188" s="138">
        <v>1707</v>
      </c>
      <c r="G188" s="68" t="s">
        <v>543</v>
      </c>
      <c r="H188" s="68"/>
      <c r="I188" s="177"/>
      <c r="J188" s="595"/>
      <c r="K188" s="623"/>
      <c r="L188" s="595"/>
      <c r="M188" s="595"/>
      <c r="N188" s="590"/>
      <c r="O188" s="591"/>
      <c r="P188" s="590"/>
      <c r="Q188" s="624"/>
      <c r="R188" s="591"/>
      <c r="S188" s="625"/>
      <c r="T188" s="132"/>
      <c r="U188" s="132"/>
      <c r="V188" s="133">
        <f>SUM(V189)</f>
        <v>0</v>
      </c>
      <c r="W188" s="133">
        <f t="shared" ref="W188:AJ188" si="80">SUM(W189)</f>
        <v>0</v>
      </c>
      <c r="X188" s="133">
        <f t="shared" si="80"/>
        <v>0</v>
      </c>
      <c r="Y188" s="133">
        <f t="shared" si="80"/>
        <v>0</v>
      </c>
      <c r="Z188" s="133">
        <f t="shared" si="80"/>
        <v>0</v>
      </c>
      <c r="AA188" s="133">
        <f t="shared" si="80"/>
        <v>0</v>
      </c>
      <c r="AB188" s="133">
        <f t="shared" si="80"/>
        <v>0</v>
      </c>
      <c r="AC188" s="133">
        <f t="shared" si="80"/>
        <v>0</v>
      </c>
      <c r="AD188" s="133">
        <f t="shared" si="80"/>
        <v>0</v>
      </c>
      <c r="AE188" s="133">
        <f t="shared" si="80"/>
        <v>0</v>
      </c>
      <c r="AF188" s="193">
        <f>SUM(AF189)</f>
        <v>43000000</v>
      </c>
      <c r="AG188" s="133">
        <f t="shared" si="80"/>
        <v>0</v>
      </c>
      <c r="AH188" s="133">
        <f t="shared" si="80"/>
        <v>0</v>
      </c>
      <c r="AI188" s="133"/>
      <c r="AJ188" s="193">
        <f t="shared" si="80"/>
        <v>43000000</v>
      </c>
      <c r="AK188" s="133"/>
      <c r="AL188" s="140"/>
      <c r="AM188" s="7"/>
    </row>
    <row r="189" spans="1:39" ht="156" customHeight="1" x14ac:dyDescent="0.2">
      <c r="A189" s="130"/>
      <c r="B189" s="78"/>
      <c r="C189" s="78"/>
      <c r="D189" s="78"/>
      <c r="E189" s="78"/>
      <c r="F189" s="74"/>
      <c r="G189" s="513"/>
      <c r="H189" s="506" t="s">
        <v>471</v>
      </c>
      <c r="I189" s="72">
        <v>1707069</v>
      </c>
      <c r="J189" s="506" t="s">
        <v>544</v>
      </c>
      <c r="K189" s="72">
        <v>1707069</v>
      </c>
      <c r="L189" s="506" t="s">
        <v>544</v>
      </c>
      <c r="M189" s="511" t="s">
        <v>545</v>
      </c>
      <c r="N189" s="505" t="s">
        <v>546</v>
      </c>
      <c r="O189" s="511" t="s">
        <v>545</v>
      </c>
      <c r="P189" s="505" t="s">
        <v>546</v>
      </c>
      <c r="Q189" s="178" t="s">
        <v>67</v>
      </c>
      <c r="R189" s="112">
        <v>5</v>
      </c>
      <c r="S189" s="514" t="s">
        <v>547</v>
      </c>
      <c r="T189" s="505" t="s">
        <v>548</v>
      </c>
      <c r="U189" s="506" t="s">
        <v>549</v>
      </c>
      <c r="V189" s="160"/>
      <c r="W189" s="160"/>
      <c r="X189" s="160"/>
      <c r="Y189" s="160"/>
      <c r="Z189" s="160"/>
      <c r="AA189" s="160"/>
      <c r="AB189" s="160"/>
      <c r="AC189" s="160"/>
      <c r="AD189" s="160"/>
      <c r="AE189" s="160"/>
      <c r="AF189" s="207">
        <v>43000000</v>
      </c>
      <c r="AG189" s="221"/>
      <c r="AH189" s="221"/>
      <c r="AI189" s="221"/>
      <c r="AJ189" s="136">
        <f>+V189+W189+X189+Y189+Z189+AA189+AB189+AC189+AD189+AE189+AF189+AG189+AH189</f>
        <v>43000000</v>
      </c>
      <c r="AK189" s="222" t="s">
        <v>478</v>
      </c>
      <c r="AL189" s="221" t="s">
        <v>479</v>
      </c>
      <c r="AM189" s="7"/>
    </row>
    <row r="190" spans="1:39" ht="24" customHeight="1" x14ac:dyDescent="0.2">
      <c r="A190" s="130"/>
      <c r="B190" s="78"/>
      <c r="C190" s="78"/>
      <c r="D190" s="78"/>
      <c r="E190" s="78"/>
      <c r="F190" s="138">
        <v>1708</v>
      </c>
      <c r="G190" s="68" t="s">
        <v>550</v>
      </c>
      <c r="H190" s="68"/>
      <c r="I190" s="177"/>
      <c r="J190" s="595"/>
      <c r="K190" s="623"/>
      <c r="L190" s="595"/>
      <c r="M190" s="595"/>
      <c r="N190" s="590"/>
      <c r="O190" s="591"/>
      <c r="P190" s="590"/>
      <c r="Q190" s="624"/>
      <c r="R190" s="591"/>
      <c r="S190" s="625"/>
      <c r="T190" s="132"/>
      <c r="U190" s="132"/>
      <c r="V190" s="133">
        <f>SUM(V191:V192)</f>
        <v>0</v>
      </c>
      <c r="W190" s="133">
        <f t="shared" ref="W190:AJ190" si="81">SUM(W191:W192)</f>
        <v>0</v>
      </c>
      <c r="X190" s="133">
        <f t="shared" si="81"/>
        <v>0</v>
      </c>
      <c r="Y190" s="133">
        <f t="shared" si="81"/>
        <v>0</v>
      </c>
      <c r="Z190" s="133">
        <f t="shared" si="81"/>
        <v>0</v>
      </c>
      <c r="AA190" s="133">
        <f t="shared" si="81"/>
        <v>0</v>
      </c>
      <c r="AB190" s="133">
        <f t="shared" si="81"/>
        <v>0</v>
      </c>
      <c r="AC190" s="133">
        <f t="shared" si="81"/>
        <v>0</v>
      </c>
      <c r="AD190" s="133">
        <f t="shared" si="81"/>
        <v>0</v>
      </c>
      <c r="AE190" s="133">
        <f t="shared" si="81"/>
        <v>0</v>
      </c>
      <c r="AF190" s="193">
        <f t="shared" si="81"/>
        <v>40000000</v>
      </c>
      <c r="AG190" s="133">
        <f t="shared" si="81"/>
        <v>0</v>
      </c>
      <c r="AH190" s="133">
        <f t="shared" si="81"/>
        <v>0</v>
      </c>
      <c r="AI190" s="133"/>
      <c r="AJ190" s="193">
        <f t="shared" si="81"/>
        <v>40000000</v>
      </c>
      <c r="AK190" s="133"/>
      <c r="AL190" s="140"/>
      <c r="AM190" s="7"/>
    </row>
    <row r="191" spans="1:39" ht="88.5" customHeight="1" x14ac:dyDescent="0.2">
      <c r="A191" s="130"/>
      <c r="B191" s="78"/>
      <c r="C191" s="78"/>
      <c r="D191" s="78"/>
      <c r="E191" s="78"/>
      <c r="F191" s="74"/>
      <c r="G191" s="198"/>
      <c r="H191" s="506" t="s">
        <v>471</v>
      </c>
      <c r="I191" s="72">
        <v>1708016</v>
      </c>
      <c r="J191" s="506" t="s">
        <v>95</v>
      </c>
      <c r="K191" s="72">
        <v>1708016</v>
      </c>
      <c r="L191" s="506" t="s">
        <v>95</v>
      </c>
      <c r="M191" s="180" t="s">
        <v>551</v>
      </c>
      <c r="N191" s="521" t="s">
        <v>552</v>
      </c>
      <c r="O191" s="180" t="s">
        <v>551</v>
      </c>
      <c r="P191" s="521" t="s">
        <v>552</v>
      </c>
      <c r="Q191" s="178" t="s">
        <v>51</v>
      </c>
      <c r="R191" s="112">
        <v>2</v>
      </c>
      <c r="S191" s="976" t="s">
        <v>553</v>
      </c>
      <c r="T191" s="949" t="s">
        <v>554</v>
      </c>
      <c r="U191" s="952" t="s">
        <v>555</v>
      </c>
      <c r="V191" s="135"/>
      <c r="W191" s="135"/>
      <c r="X191" s="135"/>
      <c r="Y191" s="135"/>
      <c r="Z191" s="135"/>
      <c r="AA191" s="135"/>
      <c r="AB191" s="135"/>
      <c r="AC191" s="135"/>
      <c r="AD191" s="135"/>
      <c r="AE191" s="135"/>
      <c r="AF191" s="533">
        <v>20000000</v>
      </c>
      <c r="AG191" s="221"/>
      <c r="AH191" s="221"/>
      <c r="AI191" s="221"/>
      <c r="AJ191" s="136">
        <f>+V191+W191+X191+Y191+Z191+AA191+AB191+AC191+AD191+AE191+AF191+AG191+AH191</f>
        <v>20000000</v>
      </c>
      <c r="AK191" s="222" t="s">
        <v>478</v>
      </c>
      <c r="AL191" s="221" t="s">
        <v>479</v>
      </c>
      <c r="AM191" s="7"/>
    </row>
    <row r="192" spans="1:39" ht="187.5" customHeight="1" x14ac:dyDescent="0.2">
      <c r="A192" s="130"/>
      <c r="B192" s="78"/>
      <c r="C192" s="78"/>
      <c r="D192" s="78"/>
      <c r="E192" s="78"/>
      <c r="F192" s="74"/>
      <c r="G192" s="513"/>
      <c r="H192" s="506" t="s">
        <v>471</v>
      </c>
      <c r="I192" s="72">
        <v>1708051</v>
      </c>
      <c r="J192" s="506" t="s">
        <v>556</v>
      </c>
      <c r="K192" s="72">
        <v>1708051</v>
      </c>
      <c r="L192" s="506" t="s">
        <v>556</v>
      </c>
      <c r="M192" s="180" t="s">
        <v>557</v>
      </c>
      <c r="N192" s="521" t="s">
        <v>558</v>
      </c>
      <c r="O192" s="180" t="s">
        <v>557</v>
      </c>
      <c r="P192" s="521" t="s">
        <v>558</v>
      </c>
      <c r="Q192" s="513" t="s">
        <v>51</v>
      </c>
      <c r="R192" s="112">
        <v>1</v>
      </c>
      <c r="S192" s="976"/>
      <c r="T192" s="949"/>
      <c r="U192" s="953"/>
      <c r="V192" s="135"/>
      <c r="W192" s="135"/>
      <c r="X192" s="135"/>
      <c r="Y192" s="135"/>
      <c r="Z192" s="135"/>
      <c r="AA192" s="135"/>
      <c r="AB192" s="135"/>
      <c r="AC192" s="135"/>
      <c r="AD192" s="135"/>
      <c r="AE192" s="135"/>
      <c r="AF192" s="533">
        <v>20000000</v>
      </c>
      <c r="AG192" s="221"/>
      <c r="AH192" s="221"/>
      <c r="AI192" s="221"/>
      <c r="AJ192" s="136">
        <f>+V192+W192+X192+Y192+Z192+AA192+AB192+AC192+AD192+AE192+AF192+AG192+AH192</f>
        <v>20000000</v>
      </c>
      <c r="AK192" s="222" t="s">
        <v>478</v>
      </c>
      <c r="AL192" s="221" t="s">
        <v>479</v>
      </c>
      <c r="AM192" s="7"/>
    </row>
    <row r="193" spans="1:77" ht="24" customHeight="1" x14ac:dyDescent="0.2">
      <c r="A193" s="130"/>
      <c r="B193" s="78"/>
      <c r="C193" s="78"/>
      <c r="D193" s="78"/>
      <c r="E193" s="78"/>
      <c r="F193" s="138">
        <v>1709</v>
      </c>
      <c r="G193" s="68" t="s">
        <v>559</v>
      </c>
      <c r="H193" s="68"/>
      <c r="I193" s="177"/>
      <c r="J193" s="595"/>
      <c r="K193" s="645"/>
      <c r="L193" s="595"/>
      <c r="M193" s="595"/>
      <c r="N193" s="646"/>
      <c r="O193" s="645"/>
      <c r="P193" s="646"/>
      <c r="Q193" s="646"/>
      <c r="R193" s="646"/>
      <c r="S193" s="647"/>
      <c r="T193" s="225"/>
      <c r="U193" s="225"/>
      <c r="V193" s="226">
        <f>SUM(V194:V196)</f>
        <v>0</v>
      </c>
      <c r="W193" s="226">
        <f t="shared" ref="W193:AJ193" si="82">SUM(W194:W196)</f>
        <v>0</v>
      </c>
      <c r="X193" s="226">
        <f t="shared" si="82"/>
        <v>0</v>
      </c>
      <c r="Y193" s="226">
        <f t="shared" si="82"/>
        <v>0</v>
      </c>
      <c r="Z193" s="226">
        <f t="shared" si="82"/>
        <v>0</v>
      </c>
      <c r="AA193" s="226">
        <f t="shared" si="82"/>
        <v>0</v>
      </c>
      <c r="AB193" s="226">
        <f t="shared" si="82"/>
        <v>0</v>
      </c>
      <c r="AC193" s="226">
        <f t="shared" si="82"/>
        <v>0</v>
      </c>
      <c r="AD193" s="226">
        <f t="shared" si="82"/>
        <v>0</v>
      </c>
      <c r="AE193" s="226">
        <f t="shared" si="82"/>
        <v>0</v>
      </c>
      <c r="AF193" s="534">
        <f>SUM(AF194:AF196)</f>
        <v>108000000</v>
      </c>
      <c r="AG193" s="227">
        <f t="shared" si="82"/>
        <v>0</v>
      </c>
      <c r="AH193" s="227">
        <f t="shared" si="82"/>
        <v>0</v>
      </c>
      <c r="AI193" s="227"/>
      <c r="AJ193" s="534">
        <f t="shared" si="82"/>
        <v>108000000</v>
      </c>
      <c r="AK193" s="227"/>
      <c r="AL193" s="228"/>
      <c r="AM193" s="7"/>
    </row>
    <row r="194" spans="1:77" ht="75" customHeight="1" x14ac:dyDescent="0.2">
      <c r="A194" s="130"/>
      <c r="B194" s="83"/>
      <c r="C194" s="83"/>
      <c r="D194" s="83"/>
      <c r="E194" s="83"/>
      <c r="F194" s="76"/>
      <c r="G194" s="229"/>
      <c r="H194" s="506" t="s">
        <v>471</v>
      </c>
      <c r="I194" s="72">
        <v>1709019</v>
      </c>
      <c r="J194" s="506" t="s">
        <v>560</v>
      </c>
      <c r="K194" s="72">
        <v>1709019</v>
      </c>
      <c r="L194" s="506" t="s">
        <v>560</v>
      </c>
      <c r="M194" s="180">
        <v>170901900</v>
      </c>
      <c r="N194" s="521" t="s">
        <v>560</v>
      </c>
      <c r="O194" s="180">
        <v>170901900</v>
      </c>
      <c r="P194" s="521" t="s">
        <v>560</v>
      </c>
      <c r="Q194" s="178" t="s">
        <v>67</v>
      </c>
      <c r="R194" s="112">
        <v>4</v>
      </c>
      <c r="S194" s="979" t="s">
        <v>561</v>
      </c>
      <c r="T194" s="949" t="s">
        <v>562</v>
      </c>
      <c r="U194" s="955" t="s">
        <v>563</v>
      </c>
      <c r="V194" s="130"/>
      <c r="W194" s="130"/>
      <c r="X194" s="130"/>
      <c r="Y194" s="130"/>
      <c r="Z194" s="130"/>
      <c r="AA194" s="130"/>
      <c r="AB194" s="130"/>
      <c r="AC194" s="130"/>
      <c r="AD194" s="130"/>
      <c r="AE194" s="130"/>
      <c r="AF194" s="533">
        <v>43000000</v>
      </c>
      <c r="AG194" s="221"/>
      <c r="AH194" s="221"/>
      <c r="AI194" s="221"/>
      <c r="AJ194" s="136">
        <f>+V194+W194+X194+Y194+Z194+AA194+AB194+AC194+AD194+AE194+AF194+AG194+AH194</f>
        <v>43000000</v>
      </c>
      <c r="AK194" s="222" t="s">
        <v>478</v>
      </c>
      <c r="AL194" s="221" t="s">
        <v>479</v>
      </c>
      <c r="AM194" s="7"/>
    </row>
    <row r="195" spans="1:77" ht="48.75" customHeight="1" x14ac:dyDescent="0.2">
      <c r="A195" s="130"/>
      <c r="B195" s="83"/>
      <c r="C195" s="83"/>
      <c r="D195" s="83"/>
      <c r="E195" s="83"/>
      <c r="F195" s="76"/>
      <c r="G195" s="229"/>
      <c r="H195" s="506" t="s">
        <v>471</v>
      </c>
      <c r="I195" s="72">
        <v>1709034</v>
      </c>
      <c r="J195" s="506" t="s">
        <v>564</v>
      </c>
      <c r="K195" s="72">
        <v>1709034</v>
      </c>
      <c r="L195" s="506" t="s">
        <v>564</v>
      </c>
      <c r="M195" s="180" t="s">
        <v>565</v>
      </c>
      <c r="N195" s="521" t="s">
        <v>564</v>
      </c>
      <c r="O195" s="180" t="s">
        <v>565</v>
      </c>
      <c r="P195" s="521" t="s">
        <v>564</v>
      </c>
      <c r="Q195" s="178" t="s">
        <v>67</v>
      </c>
      <c r="R195" s="112">
        <v>3</v>
      </c>
      <c r="S195" s="979"/>
      <c r="T195" s="949"/>
      <c r="U195" s="955"/>
      <c r="V195" s="130"/>
      <c r="W195" s="130"/>
      <c r="X195" s="130"/>
      <c r="Y195" s="130"/>
      <c r="Z195" s="130"/>
      <c r="AA195" s="130"/>
      <c r="AB195" s="130"/>
      <c r="AC195" s="130"/>
      <c r="AD195" s="130"/>
      <c r="AE195" s="130"/>
      <c r="AF195" s="533">
        <v>43000000</v>
      </c>
      <c r="AG195" s="221"/>
      <c r="AH195" s="221"/>
      <c r="AI195" s="221"/>
      <c r="AJ195" s="136">
        <f>+V195+W195+X195+Y195+Z195+AA195+AB195+AC195+AD195+AE195+AF195+AG195+AH195</f>
        <v>43000000</v>
      </c>
      <c r="AK195" s="222" t="s">
        <v>478</v>
      </c>
      <c r="AL195" s="221" t="s">
        <v>479</v>
      </c>
      <c r="AM195" s="7"/>
    </row>
    <row r="196" spans="1:77" ht="77.25" customHeight="1" x14ac:dyDescent="0.2">
      <c r="A196" s="130"/>
      <c r="B196" s="83"/>
      <c r="C196" s="83"/>
      <c r="D196" s="83"/>
      <c r="E196" s="83"/>
      <c r="F196" s="76"/>
      <c r="G196" s="229"/>
      <c r="H196" s="506" t="s">
        <v>471</v>
      </c>
      <c r="I196" s="72">
        <v>1709093</v>
      </c>
      <c r="J196" s="506" t="s">
        <v>566</v>
      </c>
      <c r="K196" s="72">
        <v>1709093</v>
      </c>
      <c r="L196" s="506" t="s">
        <v>566</v>
      </c>
      <c r="M196" s="511" t="s">
        <v>567</v>
      </c>
      <c r="N196" s="505" t="s">
        <v>568</v>
      </c>
      <c r="O196" s="511" t="s">
        <v>567</v>
      </c>
      <c r="P196" s="505" t="s">
        <v>568</v>
      </c>
      <c r="Q196" s="178" t="s">
        <v>67</v>
      </c>
      <c r="R196" s="112">
        <v>2</v>
      </c>
      <c r="S196" s="979"/>
      <c r="T196" s="949"/>
      <c r="U196" s="955"/>
      <c r="V196" s="130"/>
      <c r="W196" s="130"/>
      <c r="X196" s="130"/>
      <c r="Y196" s="130"/>
      <c r="Z196" s="130"/>
      <c r="AA196" s="130"/>
      <c r="AB196" s="130"/>
      <c r="AC196" s="130"/>
      <c r="AD196" s="130"/>
      <c r="AE196" s="130"/>
      <c r="AF196" s="533">
        <v>22000000</v>
      </c>
      <c r="AG196" s="221"/>
      <c r="AH196" s="221"/>
      <c r="AI196" s="221"/>
      <c r="AJ196" s="136">
        <f>+V196+W196+X196+Y196+Z196+AA196+AB196+AC196+AD196+AE196+AF196+AG196+AH196</f>
        <v>22000000</v>
      </c>
      <c r="AK196" s="222" t="s">
        <v>478</v>
      </c>
      <c r="AL196" s="221" t="s">
        <v>479</v>
      </c>
      <c r="AM196" s="7"/>
    </row>
    <row r="197" spans="1:77" s="8" customFormat="1" ht="24" customHeight="1" x14ac:dyDescent="0.25">
      <c r="A197" s="115"/>
      <c r="B197" s="70"/>
      <c r="C197" s="70"/>
      <c r="D197" s="64">
        <v>35</v>
      </c>
      <c r="E197" s="62" t="s">
        <v>418</v>
      </c>
      <c r="F197" s="62"/>
      <c r="G197" s="120"/>
      <c r="H197" s="121"/>
      <c r="I197" s="121"/>
      <c r="J197" s="123"/>
      <c r="K197" s="122"/>
      <c r="L197" s="123"/>
      <c r="M197" s="123"/>
      <c r="N197" s="125"/>
      <c r="O197" s="124"/>
      <c r="P197" s="125"/>
      <c r="Q197" s="126"/>
      <c r="R197" s="124"/>
      <c r="S197" s="186"/>
      <c r="T197" s="128"/>
      <c r="U197" s="128"/>
      <c r="V197" s="129">
        <f>V198</f>
        <v>0</v>
      </c>
      <c r="W197" s="129">
        <f t="shared" ref="W197:AJ197" si="83">W198</f>
        <v>0</v>
      </c>
      <c r="X197" s="129">
        <f t="shared" si="83"/>
        <v>0</v>
      </c>
      <c r="Y197" s="129">
        <f t="shared" si="83"/>
        <v>0</v>
      </c>
      <c r="Z197" s="129">
        <f t="shared" si="83"/>
        <v>0</v>
      </c>
      <c r="AA197" s="129">
        <f t="shared" si="83"/>
        <v>0</v>
      </c>
      <c r="AB197" s="129">
        <f t="shared" si="83"/>
        <v>0</v>
      </c>
      <c r="AC197" s="129">
        <f t="shared" si="83"/>
        <v>0</v>
      </c>
      <c r="AD197" s="129">
        <f t="shared" si="83"/>
        <v>0</v>
      </c>
      <c r="AE197" s="129">
        <f t="shared" si="83"/>
        <v>0</v>
      </c>
      <c r="AF197" s="129">
        <f t="shared" si="83"/>
        <v>36000000</v>
      </c>
      <c r="AG197" s="129">
        <f t="shared" si="83"/>
        <v>0</v>
      </c>
      <c r="AH197" s="129">
        <f t="shared" si="83"/>
        <v>0</v>
      </c>
      <c r="AI197" s="129"/>
      <c r="AJ197" s="535">
        <f t="shared" si="83"/>
        <v>36000000</v>
      </c>
      <c r="AK197" s="129"/>
      <c r="AL197" s="153"/>
      <c r="AM197" s="7"/>
      <c r="AN197" s="7"/>
      <c r="AO197" s="7"/>
      <c r="AP197" s="7"/>
      <c r="AQ197" s="7"/>
      <c r="AR197" s="7"/>
      <c r="AS197" s="7"/>
      <c r="AT197" s="7"/>
      <c r="AU197" s="7"/>
      <c r="AV197" s="7"/>
      <c r="AW197" s="7"/>
      <c r="AX197" s="7"/>
      <c r="AY197" s="7"/>
      <c r="AZ197" s="7"/>
      <c r="BA197" s="7"/>
      <c r="BB197" s="7"/>
      <c r="BC197" s="7"/>
      <c r="BD197" s="7"/>
      <c r="BE197" s="7"/>
      <c r="BF197" s="7"/>
      <c r="BG197" s="7"/>
      <c r="BH197" s="7"/>
      <c r="BI197" s="7"/>
      <c r="BJ197" s="7"/>
      <c r="BK197" s="7"/>
      <c r="BL197" s="7"/>
      <c r="BM197" s="7"/>
      <c r="BN197" s="7"/>
      <c r="BO197" s="7"/>
      <c r="BP197" s="7"/>
      <c r="BQ197" s="7"/>
      <c r="BR197" s="7"/>
      <c r="BS197" s="7"/>
      <c r="BT197" s="7"/>
      <c r="BU197" s="7"/>
      <c r="BV197" s="7"/>
      <c r="BW197" s="7"/>
      <c r="BX197" s="7"/>
      <c r="BY197" s="7"/>
    </row>
    <row r="198" spans="1:77" ht="24" customHeight="1" x14ac:dyDescent="0.2">
      <c r="A198" s="130"/>
      <c r="B198" s="78"/>
      <c r="C198" s="78"/>
      <c r="D198" s="78"/>
      <c r="E198" s="78"/>
      <c r="F198" s="138">
        <v>3502</v>
      </c>
      <c r="G198" s="68" t="s">
        <v>419</v>
      </c>
      <c r="H198" s="177"/>
      <c r="I198" s="177"/>
      <c r="J198" s="595"/>
      <c r="K198" s="623"/>
      <c r="L198" s="595"/>
      <c r="M198" s="595"/>
      <c r="N198" s="590"/>
      <c r="O198" s="591"/>
      <c r="P198" s="590"/>
      <c r="Q198" s="624"/>
      <c r="R198" s="591"/>
      <c r="S198" s="625"/>
      <c r="T198" s="132"/>
      <c r="U198" s="132"/>
      <c r="V198" s="133">
        <f>SUM(V199:V200)</f>
        <v>0</v>
      </c>
      <c r="W198" s="133">
        <f t="shared" ref="W198:AJ198" si="84">SUM(W199:W200)</f>
        <v>0</v>
      </c>
      <c r="X198" s="133">
        <f t="shared" si="84"/>
        <v>0</v>
      </c>
      <c r="Y198" s="133">
        <f t="shared" si="84"/>
        <v>0</v>
      </c>
      <c r="Z198" s="133">
        <f t="shared" si="84"/>
        <v>0</v>
      </c>
      <c r="AA198" s="133">
        <f t="shared" si="84"/>
        <v>0</v>
      </c>
      <c r="AB198" s="133">
        <f t="shared" si="84"/>
        <v>0</v>
      </c>
      <c r="AC198" s="133">
        <f t="shared" si="84"/>
        <v>0</v>
      </c>
      <c r="AD198" s="133">
        <f t="shared" si="84"/>
        <v>0</v>
      </c>
      <c r="AE198" s="133">
        <f t="shared" si="84"/>
        <v>0</v>
      </c>
      <c r="AF198" s="133">
        <f t="shared" si="84"/>
        <v>36000000</v>
      </c>
      <c r="AG198" s="133">
        <f t="shared" si="84"/>
        <v>0</v>
      </c>
      <c r="AH198" s="133">
        <f t="shared" si="84"/>
        <v>0</v>
      </c>
      <c r="AI198" s="133"/>
      <c r="AJ198" s="193">
        <f t="shared" si="84"/>
        <v>36000000</v>
      </c>
      <c r="AK198" s="133"/>
      <c r="AL198" s="140"/>
      <c r="AM198" s="7"/>
    </row>
    <row r="199" spans="1:77" ht="90.75" customHeight="1" x14ac:dyDescent="0.2">
      <c r="A199" s="130"/>
      <c r="B199" s="78"/>
      <c r="C199" s="78"/>
      <c r="D199" s="78"/>
      <c r="E199" s="78"/>
      <c r="F199" s="511"/>
      <c r="G199" s="513"/>
      <c r="H199" s="506" t="s">
        <v>569</v>
      </c>
      <c r="I199" s="72">
        <v>3502017</v>
      </c>
      <c r="J199" s="506" t="s">
        <v>570</v>
      </c>
      <c r="K199" s="72">
        <v>3502017</v>
      </c>
      <c r="L199" s="506" t="s">
        <v>570</v>
      </c>
      <c r="M199" s="180" t="s">
        <v>571</v>
      </c>
      <c r="N199" s="521" t="s">
        <v>572</v>
      </c>
      <c r="O199" s="180" t="s">
        <v>571</v>
      </c>
      <c r="P199" s="521" t="s">
        <v>572</v>
      </c>
      <c r="Q199" s="112" t="s">
        <v>51</v>
      </c>
      <c r="R199" s="112">
        <v>6</v>
      </c>
      <c r="S199" s="970" t="s">
        <v>573</v>
      </c>
      <c r="T199" s="949" t="s">
        <v>574</v>
      </c>
      <c r="U199" s="955" t="s">
        <v>575</v>
      </c>
      <c r="V199" s="135"/>
      <c r="W199" s="135"/>
      <c r="X199" s="135"/>
      <c r="Y199" s="135"/>
      <c r="Z199" s="135"/>
      <c r="AA199" s="135"/>
      <c r="AB199" s="135"/>
      <c r="AC199" s="135"/>
      <c r="AD199" s="135"/>
      <c r="AE199" s="135"/>
      <c r="AF199" s="533">
        <v>18000000</v>
      </c>
      <c r="AG199" s="533"/>
      <c r="AH199" s="221"/>
      <c r="AI199" s="221"/>
      <c r="AJ199" s="136">
        <f>+V199+W199+X199+Y199+Z199+AA199+AB199+AC199+AD199+AE199+AF199+AG199+AH199</f>
        <v>18000000</v>
      </c>
      <c r="AK199" s="222" t="s">
        <v>478</v>
      </c>
      <c r="AL199" s="221" t="s">
        <v>479</v>
      </c>
      <c r="AM199" s="7"/>
    </row>
    <row r="200" spans="1:77" s="8" customFormat="1" ht="130.5" customHeight="1" x14ac:dyDescent="0.25">
      <c r="A200" s="115"/>
      <c r="B200" s="87"/>
      <c r="C200" s="87"/>
      <c r="D200" s="87"/>
      <c r="E200" s="87"/>
      <c r="F200" s="511"/>
      <c r="G200" s="513"/>
      <c r="H200" s="506" t="s">
        <v>569</v>
      </c>
      <c r="I200" s="72">
        <v>3502007</v>
      </c>
      <c r="J200" s="506" t="s">
        <v>576</v>
      </c>
      <c r="K200" s="72">
        <v>3502007</v>
      </c>
      <c r="L200" s="506" t="s">
        <v>576</v>
      </c>
      <c r="M200" s="511" t="s">
        <v>429</v>
      </c>
      <c r="N200" s="505" t="s">
        <v>430</v>
      </c>
      <c r="O200" s="511" t="s">
        <v>429</v>
      </c>
      <c r="P200" s="505" t="s">
        <v>430</v>
      </c>
      <c r="Q200" s="95" t="s">
        <v>51</v>
      </c>
      <c r="R200" s="71">
        <v>5</v>
      </c>
      <c r="S200" s="970"/>
      <c r="T200" s="949"/>
      <c r="U200" s="955"/>
      <c r="V200" s="135"/>
      <c r="W200" s="135"/>
      <c r="X200" s="135"/>
      <c r="Y200" s="135"/>
      <c r="Z200" s="135"/>
      <c r="AA200" s="135"/>
      <c r="AB200" s="135"/>
      <c r="AC200" s="135"/>
      <c r="AD200" s="135"/>
      <c r="AE200" s="135"/>
      <c r="AF200" s="533">
        <v>18000000</v>
      </c>
      <c r="AG200" s="533"/>
      <c r="AH200" s="221"/>
      <c r="AI200" s="221"/>
      <c r="AJ200" s="136">
        <f>+V200+W200+X200+Y200+Z200+AA200+AB200+AC200+AD200+AE200+AF200+AG200+AH200</f>
        <v>18000000</v>
      </c>
      <c r="AK200" s="222" t="s">
        <v>478</v>
      </c>
      <c r="AL200" s="221" t="s">
        <v>479</v>
      </c>
      <c r="AM200" s="7"/>
      <c r="AN200" s="7"/>
      <c r="AO200" s="7"/>
      <c r="AP200" s="7"/>
      <c r="AQ200" s="7"/>
      <c r="AR200" s="7"/>
      <c r="AS200" s="7"/>
      <c r="AT200" s="7"/>
      <c r="AU200" s="7"/>
      <c r="AV200" s="7"/>
      <c r="AW200" s="7"/>
      <c r="AX200" s="7"/>
      <c r="AY200" s="7"/>
      <c r="AZ200" s="7"/>
      <c r="BA200" s="7"/>
      <c r="BB200" s="7"/>
      <c r="BC200" s="7"/>
      <c r="BD200" s="7"/>
      <c r="BE200" s="7"/>
      <c r="BF200" s="7"/>
      <c r="BG200" s="7"/>
      <c r="BH200" s="7"/>
      <c r="BI200" s="7"/>
      <c r="BJ200" s="7"/>
      <c r="BK200" s="7"/>
      <c r="BL200" s="7"/>
      <c r="BM200" s="7"/>
      <c r="BN200" s="7"/>
      <c r="BO200" s="7"/>
      <c r="BP200" s="7"/>
      <c r="BQ200" s="7"/>
      <c r="BR200" s="7"/>
      <c r="BS200" s="7"/>
      <c r="BT200" s="7"/>
      <c r="BU200" s="7"/>
      <c r="BV200" s="7"/>
      <c r="BW200" s="7"/>
      <c r="BX200" s="7"/>
      <c r="BY200" s="7"/>
    </row>
    <row r="201" spans="1:77" ht="24" customHeight="1" x14ac:dyDescent="0.2">
      <c r="A201" s="130"/>
      <c r="B201" s="116">
        <v>3</v>
      </c>
      <c r="C201" s="116"/>
      <c r="D201" s="63" t="s">
        <v>199</v>
      </c>
      <c r="E201" s="157"/>
      <c r="F201" s="163"/>
      <c r="G201" s="366"/>
      <c r="H201" s="366"/>
      <c r="I201" s="366"/>
      <c r="J201" s="165"/>
      <c r="K201" s="164"/>
      <c r="L201" s="165"/>
      <c r="M201" s="165"/>
      <c r="N201" s="167"/>
      <c r="O201" s="166"/>
      <c r="P201" s="167"/>
      <c r="Q201" s="168"/>
      <c r="R201" s="166"/>
      <c r="S201" s="626"/>
      <c r="T201" s="118"/>
      <c r="U201" s="118"/>
      <c r="V201" s="119">
        <f>V202</f>
        <v>0</v>
      </c>
      <c r="W201" s="119">
        <f t="shared" ref="W201:AH201" si="85">W202</f>
        <v>0</v>
      </c>
      <c r="X201" s="119">
        <f t="shared" si="85"/>
        <v>0</v>
      </c>
      <c r="Y201" s="119">
        <f t="shared" si="85"/>
        <v>0</v>
      </c>
      <c r="Z201" s="119">
        <f t="shared" si="85"/>
        <v>0</v>
      </c>
      <c r="AA201" s="119">
        <f t="shared" si="85"/>
        <v>0</v>
      </c>
      <c r="AB201" s="119">
        <f t="shared" si="85"/>
        <v>0</v>
      </c>
      <c r="AC201" s="119">
        <f t="shared" si="85"/>
        <v>0</v>
      </c>
      <c r="AD201" s="119">
        <f t="shared" si="85"/>
        <v>0</v>
      </c>
      <c r="AE201" s="119">
        <f t="shared" si="85"/>
        <v>0</v>
      </c>
      <c r="AF201" s="119">
        <f t="shared" si="85"/>
        <v>1637631389</v>
      </c>
      <c r="AG201" s="119">
        <f t="shared" si="85"/>
        <v>0</v>
      </c>
      <c r="AH201" s="119">
        <f t="shared" si="85"/>
        <v>0</v>
      </c>
      <c r="AI201" s="119"/>
      <c r="AJ201" s="536">
        <f>AJ202</f>
        <v>1637631389</v>
      </c>
      <c r="AK201" s="119"/>
      <c r="AL201" s="152"/>
      <c r="AM201" s="7"/>
    </row>
    <row r="202" spans="1:77" s="8" customFormat="1" ht="24" customHeight="1" x14ac:dyDescent="0.25">
      <c r="A202" s="115"/>
      <c r="B202" s="70"/>
      <c r="C202" s="70"/>
      <c r="D202" s="64">
        <v>32</v>
      </c>
      <c r="E202" s="62" t="s">
        <v>221</v>
      </c>
      <c r="F202" s="120"/>
      <c r="G202" s="121"/>
      <c r="H202" s="121"/>
      <c r="I202" s="121"/>
      <c r="J202" s="123"/>
      <c r="K202" s="122"/>
      <c r="L202" s="123"/>
      <c r="M202" s="123"/>
      <c r="N202" s="125"/>
      <c r="O202" s="124"/>
      <c r="P202" s="125"/>
      <c r="Q202" s="126"/>
      <c r="R202" s="124"/>
      <c r="S202" s="186"/>
      <c r="T202" s="128"/>
      <c r="U202" s="128"/>
      <c r="V202" s="129">
        <f>V203+V206+V213+V219+V215</f>
        <v>0</v>
      </c>
      <c r="W202" s="129">
        <f t="shared" ref="W202:AJ202" si="86">W203+W206+W213+W219+W215</f>
        <v>0</v>
      </c>
      <c r="X202" s="129">
        <f t="shared" si="86"/>
        <v>0</v>
      </c>
      <c r="Y202" s="129">
        <f t="shared" si="86"/>
        <v>0</v>
      </c>
      <c r="Z202" s="129">
        <f t="shared" si="86"/>
        <v>0</v>
      </c>
      <c r="AA202" s="129">
        <f t="shared" si="86"/>
        <v>0</v>
      </c>
      <c r="AB202" s="129">
        <f t="shared" si="86"/>
        <v>0</v>
      </c>
      <c r="AC202" s="129">
        <f t="shared" si="86"/>
        <v>0</v>
      </c>
      <c r="AD202" s="129">
        <f t="shared" si="86"/>
        <v>0</v>
      </c>
      <c r="AE202" s="129">
        <f t="shared" si="86"/>
        <v>0</v>
      </c>
      <c r="AF202" s="129">
        <f t="shared" si="86"/>
        <v>1637631389</v>
      </c>
      <c r="AG202" s="129">
        <f t="shared" si="86"/>
        <v>0</v>
      </c>
      <c r="AH202" s="129">
        <f t="shared" si="86"/>
        <v>0</v>
      </c>
      <c r="AI202" s="129"/>
      <c r="AJ202" s="535">
        <f t="shared" si="86"/>
        <v>1637631389</v>
      </c>
      <c r="AK202" s="129"/>
      <c r="AL202" s="153"/>
      <c r="AM202" s="7"/>
      <c r="AN202" s="7"/>
      <c r="AO202" s="7"/>
      <c r="AP202" s="7"/>
      <c r="AQ202" s="7"/>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c r="BR202" s="7"/>
      <c r="BS202" s="7"/>
      <c r="BT202" s="7"/>
      <c r="BU202" s="7"/>
      <c r="BV202" s="7"/>
      <c r="BW202" s="7"/>
      <c r="BX202" s="7"/>
      <c r="BY202" s="7"/>
    </row>
    <row r="203" spans="1:77" ht="24" customHeight="1" x14ac:dyDescent="0.2">
      <c r="A203" s="130"/>
      <c r="B203" s="78"/>
      <c r="C203" s="78"/>
      <c r="D203" s="78"/>
      <c r="E203" s="78"/>
      <c r="F203" s="644" t="s">
        <v>577</v>
      </c>
      <c r="G203" s="177" t="s">
        <v>578</v>
      </c>
      <c r="H203" s="177"/>
      <c r="I203" s="177"/>
      <c r="J203" s="595"/>
      <c r="K203" s="623"/>
      <c r="L203" s="595"/>
      <c r="M203" s="595"/>
      <c r="N203" s="590"/>
      <c r="O203" s="591"/>
      <c r="P203" s="590"/>
      <c r="Q203" s="624"/>
      <c r="R203" s="591"/>
      <c r="S203" s="625"/>
      <c r="T203" s="132"/>
      <c r="U203" s="132"/>
      <c r="V203" s="133">
        <f>SUM(V204:V205)</f>
        <v>0</v>
      </c>
      <c r="W203" s="133">
        <f t="shared" ref="W203:AJ203" si="87">SUM(W204:W205)</f>
        <v>0</v>
      </c>
      <c r="X203" s="133">
        <f t="shared" si="87"/>
        <v>0</v>
      </c>
      <c r="Y203" s="133">
        <f t="shared" si="87"/>
        <v>0</v>
      </c>
      <c r="Z203" s="133">
        <f t="shared" si="87"/>
        <v>0</v>
      </c>
      <c r="AA203" s="133">
        <f t="shared" si="87"/>
        <v>0</v>
      </c>
      <c r="AB203" s="133">
        <f t="shared" si="87"/>
        <v>0</v>
      </c>
      <c r="AC203" s="133">
        <f t="shared" si="87"/>
        <v>0</v>
      </c>
      <c r="AD203" s="133">
        <f t="shared" si="87"/>
        <v>0</v>
      </c>
      <c r="AE203" s="133">
        <f t="shared" si="87"/>
        <v>0</v>
      </c>
      <c r="AF203" s="133">
        <f t="shared" si="87"/>
        <v>82000000</v>
      </c>
      <c r="AG203" s="133">
        <f t="shared" si="87"/>
        <v>0</v>
      </c>
      <c r="AH203" s="133">
        <f t="shared" si="87"/>
        <v>0</v>
      </c>
      <c r="AI203" s="133"/>
      <c r="AJ203" s="193">
        <f t="shared" si="87"/>
        <v>82000000</v>
      </c>
      <c r="AK203" s="133"/>
      <c r="AL203" s="140"/>
      <c r="AM203" s="7"/>
    </row>
    <row r="204" spans="1:77" ht="131.25" customHeight="1" x14ac:dyDescent="0.2">
      <c r="A204" s="130"/>
      <c r="B204" s="78"/>
      <c r="C204" s="78"/>
      <c r="D204" s="78"/>
      <c r="E204" s="78"/>
      <c r="F204" s="230"/>
      <c r="G204" s="231"/>
      <c r="H204" s="506" t="s">
        <v>223</v>
      </c>
      <c r="I204" s="72">
        <v>3201013</v>
      </c>
      <c r="J204" s="506" t="s">
        <v>579</v>
      </c>
      <c r="K204" s="72">
        <v>3201013</v>
      </c>
      <c r="L204" s="506" t="s">
        <v>579</v>
      </c>
      <c r="M204" s="180" t="s">
        <v>580</v>
      </c>
      <c r="N204" s="521" t="s">
        <v>581</v>
      </c>
      <c r="O204" s="180" t="s">
        <v>580</v>
      </c>
      <c r="P204" s="521" t="s">
        <v>581</v>
      </c>
      <c r="Q204" s="232" t="s">
        <v>67</v>
      </c>
      <c r="R204" s="112">
        <v>1</v>
      </c>
      <c r="S204" s="979" t="s">
        <v>582</v>
      </c>
      <c r="T204" s="966" t="s">
        <v>583</v>
      </c>
      <c r="U204" s="950" t="s">
        <v>584</v>
      </c>
      <c r="V204" s="233"/>
      <c r="W204" s="233"/>
      <c r="X204" s="233"/>
      <c r="Y204" s="233"/>
      <c r="Z204" s="233"/>
      <c r="AA204" s="233"/>
      <c r="AB204" s="233"/>
      <c r="AC204" s="233"/>
      <c r="AD204" s="233"/>
      <c r="AE204" s="233"/>
      <c r="AF204" s="533">
        <v>32000000</v>
      </c>
      <c r="AG204" s="221"/>
      <c r="AH204" s="221"/>
      <c r="AI204" s="221"/>
      <c r="AJ204" s="136">
        <f>+V204+W204+X204+Y204+Z204+AA204+AB204+AC204+AD204+AE204+AF204+AG204+AH204</f>
        <v>32000000</v>
      </c>
      <c r="AK204" s="222" t="s">
        <v>478</v>
      </c>
      <c r="AL204" s="221" t="s">
        <v>479</v>
      </c>
      <c r="AM204" s="7"/>
    </row>
    <row r="205" spans="1:77" ht="86.25" customHeight="1" x14ac:dyDescent="0.2">
      <c r="A205" s="130"/>
      <c r="B205" s="78"/>
      <c r="C205" s="78"/>
      <c r="D205" s="78"/>
      <c r="E205" s="78"/>
      <c r="F205" s="230"/>
      <c r="G205" s="231"/>
      <c r="H205" s="506" t="s">
        <v>223</v>
      </c>
      <c r="I205" s="72">
        <v>3201008</v>
      </c>
      <c r="J205" s="506" t="s">
        <v>585</v>
      </c>
      <c r="K205" s="72">
        <v>3201008</v>
      </c>
      <c r="L205" s="506" t="s">
        <v>585</v>
      </c>
      <c r="M205" s="180" t="s">
        <v>586</v>
      </c>
      <c r="N205" s="521" t="s">
        <v>587</v>
      </c>
      <c r="O205" s="180" t="s">
        <v>586</v>
      </c>
      <c r="P205" s="521" t="s">
        <v>587</v>
      </c>
      <c r="Q205" s="178" t="s">
        <v>67</v>
      </c>
      <c r="R205" s="112">
        <v>2</v>
      </c>
      <c r="S205" s="979"/>
      <c r="T205" s="966"/>
      <c r="U205" s="950"/>
      <c r="V205" s="233"/>
      <c r="W205" s="233"/>
      <c r="X205" s="233"/>
      <c r="Y205" s="233"/>
      <c r="Z205" s="233"/>
      <c r="AA205" s="233"/>
      <c r="AB205" s="233"/>
      <c r="AC205" s="233"/>
      <c r="AD205" s="233"/>
      <c r="AE205" s="233"/>
      <c r="AF205" s="533">
        <v>50000000</v>
      </c>
      <c r="AG205" s="221"/>
      <c r="AH205" s="221"/>
      <c r="AI205" s="221"/>
      <c r="AJ205" s="136">
        <f>+V205+W205+X205+Y205+Z205+AA205+AB205+AC205+AD205+AE205+AF205+AG205+AH205</f>
        <v>50000000</v>
      </c>
      <c r="AK205" s="222" t="s">
        <v>478</v>
      </c>
      <c r="AL205" s="221" t="s">
        <v>479</v>
      </c>
      <c r="AM205" s="7"/>
    </row>
    <row r="206" spans="1:77" ht="24" customHeight="1" x14ac:dyDescent="0.2">
      <c r="A206" s="130"/>
      <c r="B206" s="78"/>
      <c r="C206" s="78"/>
      <c r="D206" s="78"/>
      <c r="E206" s="78"/>
      <c r="F206" s="138">
        <v>3202</v>
      </c>
      <c r="G206" s="68" t="s">
        <v>588</v>
      </c>
      <c r="H206" s="177"/>
      <c r="I206" s="177"/>
      <c r="J206" s="595"/>
      <c r="K206" s="623"/>
      <c r="L206" s="595"/>
      <c r="M206" s="595"/>
      <c r="N206" s="590"/>
      <c r="O206" s="591"/>
      <c r="P206" s="590"/>
      <c r="Q206" s="624"/>
      <c r="R206" s="591"/>
      <c r="S206" s="625"/>
      <c r="T206" s="132"/>
      <c r="U206" s="132"/>
      <c r="V206" s="133">
        <f>SUM(V207:V212)</f>
        <v>0</v>
      </c>
      <c r="W206" s="133">
        <f t="shared" ref="W206:AH206" si="88">SUM(W207:W212)</f>
        <v>0</v>
      </c>
      <c r="X206" s="133">
        <f t="shared" si="88"/>
        <v>0</v>
      </c>
      <c r="Y206" s="133">
        <f t="shared" si="88"/>
        <v>0</v>
      </c>
      <c r="Z206" s="133">
        <f t="shared" si="88"/>
        <v>0</v>
      </c>
      <c r="AA206" s="133">
        <f t="shared" si="88"/>
        <v>0</v>
      </c>
      <c r="AB206" s="133">
        <f t="shared" si="88"/>
        <v>0</v>
      </c>
      <c r="AC206" s="133">
        <f t="shared" si="88"/>
        <v>0</v>
      </c>
      <c r="AD206" s="133">
        <f t="shared" si="88"/>
        <v>0</v>
      </c>
      <c r="AE206" s="133">
        <f t="shared" si="88"/>
        <v>0</v>
      </c>
      <c r="AF206" s="133">
        <f t="shared" si="88"/>
        <v>1235631389</v>
      </c>
      <c r="AG206" s="133">
        <f t="shared" si="88"/>
        <v>0</v>
      </c>
      <c r="AH206" s="133">
        <f t="shared" si="88"/>
        <v>0</v>
      </c>
      <c r="AI206" s="133"/>
      <c r="AJ206" s="193">
        <f>SUM(AJ207:AJ212)</f>
        <v>1235631389</v>
      </c>
      <c r="AK206" s="133">
        <f>SUM(AK207:AK212)</f>
        <v>0</v>
      </c>
      <c r="AL206" s="140">
        <f>SUM(AL207:AL212)</f>
        <v>0</v>
      </c>
      <c r="AM206" s="7"/>
    </row>
    <row r="207" spans="1:77" ht="48.75" customHeight="1" x14ac:dyDescent="0.2">
      <c r="A207" s="130"/>
      <c r="B207" s="78"/>
      <c r="C207" s="78"/>
      <c r="D207" s="78"/>
      <c r="E207" s="78"/>
      <c r="F207" s="74"/>
      <c r="G207" s="513"/>
      <c r="H207" s="506" t="s">
        <v>223</v>
      </c>
      <c r="I207" s="72" t="s">
        <v>589</v>
      </c>
      <c r="J207" s="506" t="s">
        <v>590</v>
      </c>
      <c r="K207" s="72" t="s">
        <v>589</v>
      </c>
      <c r="L207" s="506" t="s">
        <v>590</v>
      </c>
      <c r="M207" s="180" t="s">
        <v>591</v>
      </c>
      <c r="N207" s="521" t="s">
        <v>592</v>
      </c>
      <c r="O207" s="180" t="s">
        <v>591</v>
      </c>
      <c r="P207" s="521" t="s">
        <v>592</v>
      </c>
      <c r="Q207" s="178" t="s">
        <v>67</v>
      </c>
      <c r="R207" s="112">
        <v>600</v>
      </c>
      <c r="S207" s="970" t="s">
        <v>593</v>
      </c>
      <c r="T207" s="955" t="s">
        <v>594</v>
      </c>
      <c r="U207" s="955" t="s">
        <v>595</v>
      </c>
      <c r="V207" s="135"/>
      <c r="W207" s="135"/>
      <c r="X207" s="135"/>
      <c r="Y207" s="135"/>
      <c r="Z207" s="135"/>
      <c r="AA207" s="135"/>
      <c r="AB207" s="135"/>
      <c r="AC207" s="135"/>
      <c r="AD207" s="135"/>
      <c r="AE207" s="135"/>
      <c r="AF207" s="537">
        <f>200000000+20000000</f>
        <v>220000000</v>
      </c>
      <c r="AG207" s="221"/>
      <c r="AH207" s="221"/>
      <c r="AI207" s="221"/>
      <c r="AJ207" s="136">
        <f t="shared" ref="AJ207:AJ212" si="89">+V207+W207+X207+Y207+Z207+AA207+AB207+AC207+AD207+AE207+AF207+AG207+AH207</f>
        <v>220000000</v>
      </c>
      <c r="AK207" s="222" t="s">
        <v>478</v>
      </c>
      <c r="AL207" s="221" t="s">
        <v>479</v>
      </c>
      <c r="AM207" s="7"/>
    </row>
    <row r="208" spans="1:77" ht="75.75" customHeight="1" x14ac:dyDescent="0.2">
      <c r="A208" s="130"/>
      <c r="B208" s="78"/>
      <c r="C208" s="78"/>
      <c r="D208" s="78"/>
      <c r="E208" s="78"/>
      <c r="F208" s="74"/>
      <c r="G208" s="513"/>
      <c r="H208" s="506" t="s">
        <v>223</v>
      </c>
      <c r="I208" s="72">
        <v>3202037</v>
      </c>
      <c r="J208" s="506" t="s">
        <v>596</v>
      </c>
      <c r="K208" s="72">
        <v>3202037</v>
      </c>
      <c r="L208" s="506" t="s">
        <v>596</v>
      </c>
      <c r="M208" s="180" t="s">
        <v>597</v>
      </c>
      <c r="N208" s="521" t="s">
        <v>598</v>
      </c>
      <c r="O208" s="180" t="s">
        <v>597</v>
      </c>
      <c r="P208" s="521" t="s">
        <v>598</v>
      </c>
      <c r="Q208" s="178" t="s">
        <v>67</v>
      </c>
      <c r="R208" s="112">
        <v>40</v>
      </c>
      <c r="S208" s="970"/>
      <c r="T208" s="955"/>
      <c r="U208" s="955"/>
      <c r="V208" s="135"/>
      <c r="W208" s="135"/>
      <c r="X208" s="135"/>
      <c r="Y208" s="135"/>
      <c r="Z208" s="135"/>
      <c r="AA208" s="135"/>
      <c r="AB208" s="135"/>
      <c r="AC208" s="135"/>
      <c r="AD208" s="135"/>
      <c r="AE208" s="135"/>
      <c r="AF208" s="537">
        <f>82575952+12672234</f>
        <v>95248186</v>
      </c>
      <c r="AG208" s="221"/>
      <c r="AH208" s="221"/>
      <c r="AI208" s="221"/>
      <c r="AJ208" s="136">
        <f t="shared" si="89"/>
        <v>95248186</v>
      </c>
      <c r="AK208" s="222" t="s">
        <v>478</v>
      </c>
      <c r="AL208" s="221" t="s">
        <v>479</v>
      </c>
      <c r="AM208" s="7"/>
    </row>
    <row r="209" spans="1:77" s="37" customFormat="1" ht="99" customHeight="1" x14ac:dyDescent="0.2">
      <c r="A209" s="311"/>
      <c r="B209" s="70"/>
      <c r="C209" s="70"/>
      <c r="D209" s="70"/>
      <c r="E209" s="70"/>
      <c r="F209" s="312"/>
      <c r="G209" s="514"/>
      <c r="H209" s="509" t="s">
        <v>223</v>
      </c>
      <c r="I209" s="423" t="s">
        <v>46</v>
      </c>
      <c r="J209" s="509" t="s">
        <v>599</v>
      </c>
      <c r="K209" s="316">
        <v>3202037</v>
      </c>
      <c r="L209" s="509" t="s">
        <v>596</v>
      </c>
      <c r="M209" s="423" t="s">
        <v>46</v>
      </c>
      <c r="N209" s="80" t="s">
        <v>600</v>
      </c>
      <c r="O209" s="316">
        <v>320203700</v>
      </c>
      <c r="P209" s="80" t="s">
        <v>601</v>
      </c>
      <c r="Q209" s="232" t="s">
        <v>67</v>
      </c>
      <c r="R209" s="232">
        <v>60</v>
      </c>
      <c r="S209" s="970"/>
      <c r="T209" s="955"/>
      <c r="U209" s="955"/>
      <c r="V209" s="135"/>
      <c r="W209" s="135"/>
      <c r="X209" s="135"/>
      <c r="Y209" s="135"/>
      <c r="Z209" s="135"/>
      <c r="AA209" s="135"/>
      <c r="AB209" s="135"/>
      <c r="AC209" s="135"/>
      <c r="AD209" s="135"/>
      <c r="AE209" s="135"/>
      <c r="AF209" s="533">
        <f>400000000+20000000+290383203</f>
        <v>710383203</v>
      </c>
      <c r="AG209" s="221"/>
      <c r="AH209" s="221"/>
      <c r="AI209" s="221"/>
      <c r="AJ209" s="136">
        <f t="shared" si="89"/>
        <v>710383203</v>
      </c>
      <c r="AK209" s="222" t="s">
        <v>478</v>
      </c>
      <c r="AL209" s="221" t="s">
        <v>479</v>
      </c>
      <c r="AM209" s="7"/>
    </row>
    <row r="210" spans="1:77" s="37" customFormat="1" ht="85.5" customHeight="1" x14ac:dyDescent="0.2">
      <c r="A210" s="311"/>
      <c r="B210" s="70"/>
      <c r="C210" s="70"/>
      <c r="D210" s="70"/>
      <c r="E210" s="70"/>
      <c r="F210" s="312"/>
      <c r="G210" s="514"/>
      <c r="H210" s="509" t="s">
        <v>223</v>
      </c>
      <c r="I210" s="69">
        <v>3202017</v>
      </c>
      <c r="J210" s="509" t="s">
        <v>602</v>
      </c>
      <c r="K210" s="72">
        <v>3202043</v>
      </c>
      <c r="L210" s="509" t="s">
        <v>603</v>
      </c>
      <c r="M210" s="69" t="s">
        <v>604</v>
      </c>
      <c r="N210" s="80" t="s">
        <v>605</v>
      </c>
      <c r="O210" s="180">
        <v>320204300</v>
      </c>
      <c r="P210" s="80" t="s">
        <v>606</v>
      </c>
      <c r="Q210" s="232" t="s">
        <v>51</v>
      </c>
      <c r="R210" s="317">
        <v>1</v>
      </c>
      <c r="S210" s="970"/>
      <c r="T210" s="955"/>
      <c r="U210" s="955"/>
      <c r="V210" s="135"/>
      <c r="W210" s="135"/>
      <c r="X210" s="135"/>
      <c r="Y210" s="135"/>
      <c r="Z210" s="135"/>
      <c r="AA210" s="135"/>
      <c r="AB210" s="135"/>
      <c r="AC210" s="135"/>
      <c r="AD210" s="135"/>
      <c r="AE210" s="135"/>
      <c r="AF210" s="533">
        <f>100000000+20000000</f>
        <v>120000000</v>
      </c>
      <c r="AG210" s="221"/>
      <c r="AH210" s="221"/>
      <c r="AI210" s="221"/>
      <c r="AJ210" s="136">
        <f t="shared" si="89"/>
        <v>120000000</v>
      </c>
      <c r="AK210" s="222" t="s">
        <v>478</v>
      </c>
      <c r="AL210" s="221" t="s">
        <v>479</v>
      </c>
      <c r="AM210" s="7"/>
    </row>
    <row r="211" spans="1:77" s="37" customFormat="1" ht="216.75" customHeight="1" x14ac:dyDescent="0.2">
      <c r="A211" s="311"/>
      <c r="B211" s="70"/>
      <c r="C211" s="70"/>
      <c r="D211" s="70"/>
      <c r="E211" s="70"/>
      <c r="F211" s="312"/>
      <c r="G211" s="514"/>
      <c r="H211" s="509" t="s">
        <v>223</v>
      </c>
      <c r="I211" s="422" t="s">
        <v>46</v>
      </c>
      <c r="J211" s="509" t="s">
        <v>607</v>
      </c>
      <c r="K211" s="72">
        <v>3202014</v>
      </c>
      <c r="L211" s="509" t="s">
        <v>1520</v>
      </c>
      <c r="M211" s="424" t="s">
        <v>46</v>
      </c>
      <c r="N211" s="80" t="s">
        <v>608</v>
      </c>
      <c r="O211" s="180">
        <v>320201402</v>
      </c>
      <c r="P211" s="80" t="s">
        <v>609</v>
      </c>
      <c r="Q211" s="232" t="s">
        <v>51</v>
      </c>
      <c r="R211" s="317">
        <v>1</v>
      </c>
      <c r="S211" s="514" t="s">
        <v>610</v>
      </c>
      <c r="T211" s="504" t="s">
        <v>611</v>
      </c>
      <c r="U211" s="509" t="s">
        <v>612</v>
      </c>
      <c r="V211" s="135"/>
      <c r="W211" s="135"/>
      <c r="X211" s="135"/>
      <c r="Y211" s="135"/>
      <c r="Z211" s="135"/>
      <c r="AA211" s="135"/>
      <c r="AB211" s="135"/>
      <c r="AC211" s="135"/>
      <c r="AD211" s="135"/>
      <c r="AE211" s="135"/>
      <c r="AF211" s="533">
        <v>36000000</v>
      </c>
      <c r="AG211" s="221"/>
      <c r="AH211" s="221"/>
      <c r="AI211" s="221"/>
      <c r="AJ211" s="136">
        <f t="shared" si="89"/>
        <v>36000000</v>
      </c>
      <c r="AK211" s="222" t="s">
        <v>478</v>
      </c>
      <c r="AL211" s="221" t="s">
        <v>479</v>
      </c>
      <c r="AM211" s="7"/>
    </row>
    <row r="212" spans="1:77" s="37" customFormat="1" ht="204" customHeight="1" x14ac:dyDescent="0.2">
      <c r="A212" s="311"/>
      <c r="B212" s="70"/>
      <c r="C212" s="70"/>
      <c r="D212" s="70"/>
      <c r="E212" s="70"/>
      <c r="F212" s="312"/>
      <c r="G212" s="568"/>
      <c r="H212" s="641" t="s">
        <v>223</v>
      </c>
      <c r="I212" s="424" t="s">
        <v>46</v>
      </c>
      <c r="J212" s="641" t="s">
        <v>613</v>
      </c>
      <c r="K212" s="424">
        <v>3202014</v>
      </c>
      <c r="L212" s="641" t="s">
        <v>1520</v>
      </c>
      <c r="M212" s="424" t="s">
        <v>46</v>
      </c>
      <c r="N212" s="642" t="s">
        <v>614</v>
      </c>
      <c r="O212" s="424">
        <v>320201402</v>
      </c>
      <c r="P212" s="642" t="s">
        <v>609</v>
      </c>
      <c r="Q212" s="380" t="s">
        <v>67</v>
      </c>
      <c r="R212" s="643">
        <v>1</v>
      </c>
      <c r="S212" s="568" t="s">
        <v>615</v>
      </c>
      <c r="T212" s="504" t="s">
        <v>616</v>
      </c>
      <c r="U212" s="509" t="s">
        <v>617</v>
      </c>
      <c r="V212" s="135"/>
      <c r="W212" s="135"/>
      <c r="X212" s="135"/>
      <c r="Y212" s="135"/>
      <c r="Z212" s="135"/>
      <c r="AA212" s="135"/>
      <c r="AB212" s="135"/>
      <c r="AC212" s="135"/>
      <c r="AD212" s="135"/>
      <c r="AE212" s="135"/>
      <c r="AF212" s="533">
        <v>54000000</v>
      </c>
      <c r="AG212" s="221"/>
      <c r="AH212" s="221"/>
      <c r="AI212" s="221"/>
      <c r="AJ212" s="136">
        <f t="shared" si="89"/>
        <v>54000000</v>
      </c>
      <c r="AK212" s="222" t="s">
        <v>478</v>
      </c>
      <c r="AL212" s="221" t="s">
        <v>479</v>
      </c>
      <c r="AM212" s="7"/>
    </row>
    <row r="213" spans="1:77" ht="24" customHeight="1" x14ac:dyDescent="0.2">
      <c r="A213" s="130"/>
      <c r="B213" s="78"/>
      <c r="C213" s="78"/>
      <c r="D213" s="78"/>
      <c r="E213" s="78"/>
      <c r="F213" s="138" t="s">
        <v>618</v>
      </c>
      <c r="G213" s="68" t="s">
        <v>619</v>
      </c>
      <c r="H213" s="177"/>
      <c r="I213" s="177"/>
      <c r="J213" s="595"/>
      <c r="K213" s="623"/>
      <c r="L213" s="595"/>
      <c r="M213" s="595"/>
      <c r="N213" s="590"/>
      <c r="O213" s="591"/>
      <c r="P213" s="590"/>
      <c r="Q213" s="624"/>
      <c r="R213" s="591"/>
      <c r="S213" s="625"/>
      <c r="T213" s="132"/>
      <c r="U213" s="132"/>
      <c r="V213" s="133">
        <f t="shared" ref="V213:AH213" si="90">SUM(V214:V214)</f>
        <v>0</v>
      </c>
      <c r="W213" s="133">
        <f t="shared" si="90"/>
        <v>0</v>
      </c>
      <c r="X213" s="133">
        <f t="shared" si="90"/>
        <v>0</v>
      </c>
      <c r="Y213" s="133">
        <f t="shared" si="90"/>
        <v>0</v>
      </c>
      <c r="Z213" s="133">
        <f t="shared" si="90"/>
        <v>0</v>
      </c>
      <c r="AA213" s="133">
        <f t="shared" si="90"/>
        <v>0</v>
      </c>
      <c r="AB213" s="133">
        <f t="shared" si="90"/>
        <v>0</v>
      </c>
      <c r="AC213" s="133">
        <f t="shared" si="90"/>
        <v>0</v>
      </c>
      <c r="AD213" s="133">
        <f t="shared" si="90"/>
        <v>0</v>
      </c>
      <c r="AE213" s="133">
        <f t="shared" si="90"/>
        <v>0</v>
      </c>
      <c r="AF213" s="193">
        <f>SUM(AF214:AF214)</f>
        <v>120000000</v>
      </c>
      <c r="AG213" s="133">
        <f t="shared" si="90"/>
        <v>0</v>
      </c>
      <c r="AH213" s="133">
        <f t="shared" si="90"/>
        <v>0</v>
      </c>
      <c r="AI213" s="133"/>
      <c r="AJ213" s="193">
        <f>SUM(AJ214:AJ214)</f>
        <v>120000000</v>
      </c>
      <c r="AK213" s="133"/>
      <c r="AL213" s="140"/>
      <c r="AM213" s="7"/>
    </row>
    <row r="214" spans="1:77" ht="206.25" customHeight="1" x14ac:dyDescent="0.2">
      <c r="A214" s="130"/>
      <c r="B214" s="78"/>
      <c r="C214" s="78"/>
      <c r="D214" s="78"/>
      <c r="E214" s="78"/>
      <c r="F214" s="74"/>
      <c r="G214" s="513"/>
      <c r="H214" s="506" t="s">
        <v>223</v>
      </c>
      <c r="I214" s="72">
        <v>3204012</v>
      </c>
      <c r="J214" s="506" t="s">
        <v>620</v>
      </c>
      <c r="K214" s="72">
        <v>3204012</v>
      </c>
      <c r="L214" s="506" t="s">
        <v>620</v>
      </c>
      <c r="M214" s="180" t="s">
        <v>621</v>
      </c>
      <c r="N214" s="521" t="s">
        <v>622</v>
      </c>
      <c r="O214" s="180" t="s">
        <v>621</v>
      </c>
      <c r="P214" s="521" t="s">
        <v>622</v>
      </c>
      <c r="Q214" s="178" t="s">
        <v>67</v>
      </c>
      <c r="R214" s="112">
        <v>2</v>
      </c>
      <c r="S214" s="516" t="s">
        <v>623</v>
      </c>
      <c r="T214" s="505" t="s">
        <v>624</v>
      </c>
      <c r="U214" s="506" t="s">
        <v>625</v>
      </c>
      <c r="V214" s="135"/>
      <c r="W214" s="135"/>
      <c r="X214" s="135"/>
      <c r="Y214" s="135"/>
      <c r="Z214" s="135"/>
      <c r="AA214" s="135"/>
      <c r="AB214" s="135"/>
      <c r="AC214" s="135"/>
      <c r="AD214" s="135"/>
      <c r="AE214" s="135"/>
      <c r="AF214" s="533">
        <v>120000000</v>
      </c>
      <c r="AG214" s="221"/>
      <c r="AH214" s="221"/>
      <c r="AI214" s="221"/>
      <c r="AJ214" s="136">
        <f>+V214+W214+X214+Y214+Z214+AA214+AB214+AC214+AD214+AE214+AF214+AG214+AH214</f>
        <v>120000000</v>
      </c>
      <c r="AK214" s="222" t="s">
        <v>478</v>
      </c>
      <c r="AL214" s="221" t="s">
        <v>479</v>
      </c>
      <c r="AM214" s="7"/>
    </row>
    <row r="215" spans="1:77" ht="24" customHeight="1" x14ac:dyDescent="0.2">
      <c r="A215" s="130"/>
      <c r="B215" s="78"/>
      <c r="C215" s="78"/>
      <c r="D215" s="78"/>
      <c r="E215" s="78"/>
      <c r="F215" s="138">
        <v>3205</v>
      </c>
      <c r="G215" s="68" t="s">
        <v>222</v>
      </c>
      <c r="H215" s="177"/>
      <c r="I215" s="177"/>
      <c r="J215" s="595"/>
      <c r="K215" s="623"/>
      <c r="L215" s="595"/>
      <c r="M215" s="595"/>
      <c r="N215" s="590"/>
      <c r="O215" s="591"/>
      <c r="P215" s="590"/>
      <c r="Q215" s="624"/>
      <c r="R215" s="591"/>
      <c r="S215" s="625"/>
      <c r="T215" s="132"/>
      <c r="U215" s="132"/>
      <c r="V215" s="133">
        <f>SUM(V216:V218)</f>
        <v>0</v>
      </c>
      <c r="W215" s="133">
        <f t="shared" ref="W215:AH215" si="91">SUM(W218:W218)</f>
        <v>0</v>
      </c>
      <c r="X215" s="133">
        <f t="shared" si="91"/>
        <v>0</v>
      </c>
      <c r="Y215" s="133">
        <f t="shared" si="91"/>
        <v>0</v>
      </c>
      <c r="Z215" s="133">
        <f t="shared" si="91"/>
        <v>0</v>
      </c>
      <c r="AA215" s="133">
        <f t="shared" si="91"/>
        <v>0</v>
      </c>
      <c r="AB215" s="133">
        <f t="shared" si="91"/>
        <v>0</v>
      </c>
      <c r="AC215" s="133">
        <f t="shared" si="91"/>
        <v>0</v>
      </c>
      <c r="AD215" s="133">
        <f t="shared" si="91"/>
        <v>0</v>
      </c>
      <c r="AE215" s="133">
        <f t="shared" si="91"/>
        <v>0</v>
      </c>
      <c r="AF215" s="193">
        <f>SUM(AF216:AF218)</f>
        <v>82000000</v>
      </c>
      <c r="AG215" s="133">
        <f t="shared" si="91"/>
        <v>0</v>
      </c>
      <c r="AH215" s="133">
        <f t="shared" si="91"/>
        <v>0</v>
      </c>
      <c r="AI215" s="133"/>
      <c r="AJ215" s="193">
        <f>SUM(AJ216:AJ218)</f>
        <v>82000000</v>
      </c>
      <c r="AK215" s="133"/>
      <c r="AL215" s="140"/>
      <c r="AM215" s="7"/>
    </row>
    <row r="216" spans="1:77" ht="63" customHeight="1" x14ac:dyDescent="0.2">
      <c r="A216" s="130"/>
      <c r="B216" s="78"/>
      <c r="C216" s="78"/>
      <c r="D216" s="78"/>
      <c r="E216" s="78"/>
      <c r="F216" s="74"/>
      <c r="G216" s="513"/>
      <c r="H216" s="506" t="s">
        <v>223</v>
      </c>
      <c r="I216" s="72" t="s">
        <v>626</v>
      </c>
      <c r="J216" s="506" t="s">
        <v>627</v>
      </c>
      <c r="K216" s="72" t="s">
        <v>626</v>
      </c>
      <c r="L216" s="506" t="s">
        <v>627</v>
      </c>
      <c r="M216" s="511" t="s">
        <v>628</v>
      </c>
      <c r="N216" s="505" t="s">
        <v>629</v>
      </c>
      <c r="O216" s="511" t="s">
        <v>628</v>
      </c>
      <c r="P216" s="505" t="s">
        <v>629</v>
      </c>
      <c r="Q216" s="511" t="s">
        <v>67</v>
      </c>
      <c r="R216" s="112">
        <v>200</v>
      </c>
      <c r="S216" s="976" t="s">
        <v>630</v>
      </c>
      <c r="T216" s="949" t="s">
        <v>631</v>
      </c>
      <c r="U216" s="955" t="s">
        <v>632</v>
      </c>
      <c r="V216" s="179"/>
      <c r="W216" s="135"/>
      <c r="X216" s="135"/>
      <c r="Y216" s="135"/>
      <c r="Z216" s="135"/>
      <c r="AA216" s="135"/>
      <c r="AB216" s="135"/>
      <c r="AC216" s="135"/>
      <c r="AD216" s="135"/>
      <c r="AE216" s="135"/>
      <c r="AF216" s="533">
        <v>20000000</v>
      </c>
      <c r="AG216" s="221"/>
      <c r="AH216" s="221"/>
      <c r="AI216" s="221"/>
      <c r="AJ216" s="136">
        <f>+V216+W216+X216+Y216+Z216+AA216+AB216+AC216+AD216+AE216+AF216+AG216+AH216</f>
        <v>20000000</v>
      </c>
      <c r="AK216" s="222" t="s">
        <v>478</v>
      </c>
      <c r="AL216" s="221" t="s">
        <v>479</v>
      </c>
      <c r="AM216" s="7"/>
    </row>
    <row r="217" spans="1:77" ht="63" customHeight="1" x14ac:dyDescent="0.2">
      <c r="A217" s="130"/>
      <c r="B217" s="78"/>
      <c r="C217" s="78"/>
      <c r="D217" s="78"/>
      <c r="E217" s="78"/>
      <c r="F217" s="74"/>
      <c r="G217" s="513"/>
      <c r="H217" s="506" t="s">
        <v>223</v>
      </c>
      <c r="I217" s="72" t="s">
        <v>633</v>
      </c>
      <c r="J217" s="506" t="s">
        <v>634</v>
      </c>
      <c r="K217" s="72" t="s">
        <v>633</v>
      </c>
      <c r="L217" s="506" t="s">
        <v>634</v>
      </c>
      <c r="M217" s="511" t="s">
        <v>635</v>
      </c>
      <c r="N217" s="505" t="s">
        <v>636</v>
      </c>
      <c r="O217" s="511" t="s">
        <v>635</v>
      </c>
      <c r="P217" s="505" t="s">
        <v>636</v>
      </c>
      <c r="Q217" s="511" t="s">
        <v>67</v>
      </c>
      <c r="R217" s="112">
        <v>10</v>
      </c>
      <c r="S217" s="976"/>
      <c r="T217" s="949"/>
      <c r="U217" s="955"/>
      <c r="V217" s="179"/>
      <c r="W217" s="135"/>
      <c r="X217" s="135"/>
      <c r="Y217" s="135"/>
      <c r="Z217" s="135"/>
      <c r="AA217" s="135"/>
      <c r="AB217" s="135"/>
      <c r="AC217" s="135"/>
      <c r="AD217" s="135"/>
      <c r="AE217" s="135"/>
      <c r="AF217" s="533">
        <v>20000000</v>
      </c>
      <c r="AG217" s="221"/>
      <c r="AH217" s="221"/>
      <c r="AI217" s="221"/>
      <c r="AJ217" s="136">
        <f>+V217+W217+X217+Y217+Z217+AA217+AB217+AC217+AD217+AE217+AF217+AG217+AH217</f>
        <v>20000000</v>
      </c>
      <c r="AK217" s="222" t="s">
        <v>478</v>
      </c>
      <c r="AL217" s="221" t="s">
        <v>479</v>
      </c>
      <c r="AM217" s="7"/>
    </row>
    <row r="218" spans="1:77" ht="79.5" customHeight="1" x14ac:dyDescent="0.2">
      <c r="A218" s="130"/>
      <c r="B218" s="78"/>
      <c r="C218" s="78"/>
      <c r="D218" s="78"/>
      <c r="E218" s="78"/>
      <c r="F218" s="74"/>
      <c r="G218" s="513"/>
      <c r="H218" s="506" t="s">
        <v>223</v>
      </c>
      <c r="I218" s="72">
        <v>3205010</v>
      </c>
      <c r="J218" s="506" t="s">
        <v>224</v>
      </c>
      <c r="K218" s="72">
        <v>3205010</v>
      </c>
      <c r="L218" s="506" t="s">
        <v>224</v>
      </c>
      <c r="M218" s="511" t="s">
        <v>225</v>
      </c>
      <c r="N218" s="505" t="s">
        <v>226</v>
      </c>
      <c r="O218" s="511" t="s">
        <v>225</v>
      </c>
      <c r="P218" s="505" t="s">
        <v>226</v>
      </c>
      <c r="Q218" s="511" t="s">
        <v>67</v>
      </c>
      <c r="R218" s="112">
        <v>1</v>
      </c>
      <c r="S218" s="976"/>
      <c r="T218" s="949"/>
      <c r="U218" s="955"/>
      <c r="V218" s="179"/>
      <c r="W218" s="135"/>
      <c r="X218" s="135"/>
      <c r="Y218" s="135"/>
      <c r="Z218" s="135"/>
      <c r="AA218" s="135"/>
      <c r="AB218" s="135"/>
      <c r="AC218" s="135"/>
      <c r="AD218" s="135"/>
      <c r="AE218" s="135"/>
      <c r="AF218" s="533">
        <v>42000000</v>
      </c>
      <c r="AG218" s="221"/>
      <c r="AH218" s="221"/>
      <c r="AI218" s="221"/>
      <c r="AJ218" s="136">
        <f>+V218+W218+X218+Y218+Z218+AA218+AB218+AC218+AD218+AE218+AF218+AG218+AH218</f>
        <v>42000000</v>
      </c>
      <c r="AK218" s="222" t="s">
        <v>478</v>
      </c>
      <c r="AL218" s="221" t="s">
        <v>479</v>
      </c>
      <c r="AM218" s="7"/>
    </row>
    <row r="219" spans="1:77" ht="24" customHeight="1" x14ac:dyDescent="0.2">
      <c r="A219" s="130"/>
      <c r="B219" s="78"/>
      <c r="C219" s="78"/>
      <c r="D219" s="78"/>
      <c r="E219" s="78"/>
      <c r="F219" s="138" t="s">
        <v>637</v>
      </c>
      <c r="G219" s="68" t="s">
        <v>638</v>
      </c>
      <c r="H219" s="68"/>
      <c r="I219" s="177"/>
      <c r="J219" s="595"/>
      <c r="K219" s="623"/>
      <c r="L219" s="595"/>
      <c r="M219" s="595"/>
      <c r="N219" s="590"/>
      <c r="O219" s="591"/>
      <c r="P219" s="590"/>
      <c r="Q219" s="624"/>
      <c r="R219" s="591"/>
      <c r="S219" s="139"/>
      <c r="T219" s="132"/>
      <c r="U219" s="132"/>
      <c r="V219" s="133">
        <f>SUM(V220:V222)</f>
        <v>0</v>
      </c>
      <c r="W219" s="133">
        <f t="shared" ref="W219:AJ219" si="92">SUM(W220:W222)</f>
        <v>0</v>
      </c>
      <c r="X219" s="133">
        <f t="shared" si="92"/>
        <v>0</v>
      </c>
      <c r="Y219" s="133">
        <f t="shared" si="92"/>
        <v>0</v>
      </c>
      <c r="Z219" s="133">
        <f t="shared" si="92"/>
        <v>0</v>
      </c>
      <c r="AA219" s="133">
        <f t="shared" si="92"/>
        <v>0</v>
      </c>
      <c r="AB219" s="133">
        <f t="shared" si="92"/>
        <v>0</v>
      </c>
      <c r="AC219" s="133">
        <f t="shared" si="92"/>
        <v>0</v>
      </c>
      <c r="AD219" s="133">
        <f t="shared" si="92"/>
        <v>0</v>
      </c>
      <c r="AE219" s="133">
        <f t="shared" si="92"/>
        <v>0</v>
      </c>
      <c r="AF219" s="193">
        <f t="shared" si="92"/>
        <v>118000000</v>
      </c>
      <c r="AG219" s="133">
        <f t="shared" si="92"/>
        <v>0</v>
      </c>
      <c r="AH219" s="133">
        <f t="shared" si="92"/>
        <v>0</v>
      </c>
      <c r="AI219" s="133"/>
      <c r="AJ219" s="193">
        <f t="shared" si="92"/>
        <v>118000000</v>
      </c>
      <c r="AK219" s="133"/>
      <c r="AL219" s="140"/>
      <c r="AM219" s="7"/>
    </row>
    <row r="220" spans="1:77" ht="78" customHeight="1" x14ac:dyDescent="0.2">
      <c r="A220" s="130"/>
      <c r="B220" s="78"/>
      <c r="C220" s="78"/>
      <c r="D220" s="78"/>
      <c r="E220" s="78"/>
      <c r="F220" s="74"/>
      <c r="G220" s="513"/>
      <c r="H220" s="506" t="s">
        <v>223</v>
      </c>
      <c r="I220" s="72" t="s">
        <v>639</v>
      </c>
      <c r="J220" s="506" t="s">
        <v>640</v>
      </c>
      <c r="K220" s="72" t="s">
        <v>639</v>
      </c>
      <c r="L220" s="506" t="s">
        <v>640</v>
      </c>
      <c r="M220" s="180" t="s">
        <v>641</v>
      </c>
      <c r="N220" s="521" t="s">
        <v>642</v>
      </c>
      <c r="O220" s="180" t="s">
        <v>641</v>
      </c>
      <c r="P220" s="521" t="s">
        <v>642</v>
      </c>
      <c r="Q220" s="178" t="s">
        <v>67</v>
      </c>
      <c r="R220" s="112">
        <v>6</v>
      </c>
      <c r="S220" s="970" t="s">
        <v>643</v>
      </c>
      <c r="T220" s="949" t="s">
        <v>644</v>
      </c>
      <c r="U220" s="955" t="s">
        <v>645</v>
      </c>
      <c r="V220" s="135"/>
      <c r="W220" s="135"/>
      <c r="X220" s="135"/>
      <c r="Y220" s="135"/>
      <c r="Z220" s="135"/>
      <c r="AA220" s="135"/>
      <c r="AB220" s="135"/>
      <c r="AC220" s="135"/>
      <c r="AD220" s="135"/>
      <c r="AE220" s="135"/>
      <c r="AF220" s="533">
        <v>25000000</v>
      </c>
      <c r="AG220" s="221"/>
      <c r="AH220" s="221"/>
      <c r="AI220" s="221"/>
      <c r="AJ220" s="136">
        <f>+V220+W220+X220+Y220+Z220+AA220+AB220+AC220+AD220+AE220+AF220+AG220+AH220</f>
        <v>25000000</v>
      </c>
      <c r="AK220" s="222" t="s">
        <v>478</v>
      </c>
      <c r="AL220" s="221" t="s">
        <v>479</v>
      </c>
      <c r="AM220" s="7"/>
    </row>
    <row r="221" spans="1:77" ht="78" customHeight="1" x14ac:dyDescent="0.2">
      <c r="A221" s="130"/>
      <c r="B221" s="78"/>
      <c r="C221" s="78"/>
      <c r="D221" s="78"/>
      <c r="E221" s="78"/>
      <c r="F221" s="74"/>
      <c r="G221" s="513"/>
      <c r="H221" s="506" t="s">
        <v>223</v>
      </c>
      <c r="I221" s="72">
        <v>3206014</v>
      </c>
      <c r="J221" s="506" t="s">
        <v>646</v>
      </c>
      <c r="K221" s="72">
        <v>3206014</v>
      </c>
      <c r="L221" s="506" t="s">
        <v>646</v>
      </c>
      <c r="M221" s="180" t="s">
        <v>647</v>
      </c>
      <c r="N221" s="521" t="s">
        <v>648</v>
      </c>
      <c r="O221" s="180" t="s">
        <v>647</v>
      </c>
      <c r="P221" s="521" t="s">
        <v>648</v>
      </c>
      <c r="Q221" s="178" t="s">
        <v>67</v>
      </c>
      <c r="R221" s="112">
        <v>1950</v>
      </c>
      <c r="S221" s="970"/>
      <c r="T221" s="949"/>
      <c r="U221" s="955"/>
      <c r="V221" s="135"/>
      <c r="W221" s="135"/>
      <c r="X221" s="135"/>
      <c r="Y221" s="135"/>
      <c r="Z221" s="135"/>
      <c r="AA221" s="135"/>
      <c r="AB221" s="135"/>
      <c r="AC221" s="135"/>
      <c r="AD221" s="135"/>
      <c r="AE221" s="135"/>
      <c r="AF221" s="533">
        <v>18000000</v>
      </c>
      <c r="AG221" s="221"/>
      <c r="AH221" s="221"/>
      <c r="AI221" s="221"/>
      <c r="AJ221" s="136">
        <f>+V221+W221+X221+Y221+Z221+AA221+AB221+AC221+AD221+AE221+AF221+AG221+AH221</f>
        <v>18000000</v>
      </c>
      <c r="AK221" s="222" t="s">
        <v>478</v>
      </c>
      <c r="AL221" s="221" t="s">
        <v>479</v>
      </c>
      <c r="AM221" s="7"/>
    </row>
    <row r="222" spans="1:77" ht="78" customHeight="1" x14ac:dyDescent="0.2">
      <c r="A222" s="130"/>
      <c r="B222" s="78"/>
      <c r="C222" s="78"/>
      <c r="D222" s="78"/>
      <c r="E222" s="78"/>
      <c r="F222" s="74"/>
      <c r="G222" s="513"/>
      <c r="H222" s="506" t="s">
        <v>223</v>
      </c>
      <c r="I222" s="72" t="s">
        <v>649</v>
      </c>
      <c r="J222" s="506" t="s">
        <v>650</v>
      </c>
      <c r="K222" s="72" t="s">
        <v>649</v>
      </c>
      <c r="L222" s="506" t="s">
        <v>650</v>
      </c>
      <c r="M222" s="180" t="s">
        <v>651</v>
      </c>
      <c r="N222" s="521" t="s">
        <v>652</v>
      </c>
      <c r="O222" s="180" t="s">
        <v>651</v>
      </c>
      <c r="P222" s="521" t="s">
        <v>652</v>
      </c>
      <c r="Q222" s="178" t="s">
        <v>67</v>
      </c>
      <c r="R222" s="112">
        <v>20</v>
      </c>
      <c r="S222" s="970"/>
      <c r="T222" s="949"/>
      <c r="U222" s="955"/>
      <c r="V222" s="135"/>
      <c r="W222" s="135"/>
      <c r="X222" s="135"/>
      <c r="Y222" s="135"/>
      <c r="Z222" s="135"/>
      <c r="AA222" s="135"/>
      <c r="AB222" s="135"/>
      <c r="AC222" s="135"/>
      <c r="AD222" s="135"/>
      <c r="AE222" s="135"/>
      <c r="AF222" s="533">
        <v>75000000</v>
      </c>
      <c r="AG222" s="221"/>
      <c r="AH222" s="221"/>
      <c r="AI222" s="221"/>
      <c r="AJ222" s="136">
        <f>+V222+W222+X222+Y222+Z222+AA222+AB222+AC222+AD222+AE222+AF222+AG222+AH222</f>
        <v>75000000</v>
      </c>
      <c r="AK222" s="222" t="s">
        <v>478</v>
      </c>
      <c r="AL222" s="221" t="s">
        <v>479</v>
      </c>
      <c r="AM222" s="7"/>
    </row>
    <row r="223" spans="1:77" s="436" customFormat="1" ht="16.5" customHeight="1" x14ac:dyDescent="0.25">
      <c r="A223" s="432"/>
      <c r="B223" s="432"/>
      <c r="C223" s="432"/>
      <c r="D223" s="432"/>
      <c r="E223" s="432"/>
      <c r="F223" s="432"/>
      <c r="G223" s="432"/>
      <c r="H223" s="433"/>
      <c r="I223" s="432"/>
      <c r="J223" s="432"/>
      <c r="K223" s="432"/>
      <c r="L223" s="432"/>
      <c r="M223" s="432"/>
      <c r="N223" s="432"/>
      <c r="O223" s="432"/>
      <c r="P223" s="432"/>
      <c r="Q223" s="434"/>
      <c r="R223" s="432"/>
      <c r="S223" s="434"/>
      <c r="T223" s="434"/>
      <c r="U223" s="434"/>
      <c r="V223" s="435"/>
      <c r="W223" s="435"/>
      <c r="X223" s="435"/>
      <c r="Y223" s="435"/>
      <c r="Z223" s="435"/>
      <c r="AA223" s="435"/>
      <c r="AB223" s="435"/>
      <c r="AC223" s="435"/>
      <c r="AD223" s="435"/>
      <c r="AE223" s="435"/>
      <c r="AF223" s="435"/>
      <c r="AG223" s="435"/>
      <c r="AH223" s="435"/>
      <c r="AI223" s="435"/>
      <c r="AJ223" s="435"/>
      <c r="AK223" s="435"/>
      <c r="AL223" s="435"/>
      <c r="AM223" s="7"/>
    </row>
    <row r="224" spans="1:77" s="365" customFormat="1" ht="24" customHeight="1" x14ac:dyDescent="0.2">
      <c r="A224" s="34" t="s">
        <v>653</v>
      </c>
      <c r="B224" s="34"/>
      <c r="C224" s="34"/>
      <c r="D224" s="34"/>
      <c r="E224" s="34"/>
      <c r="F224" s="35"/>
      <c r="G224" s="578"/>
      <c r="H224" s="638"/>
      <c r="I224" s="600"/>
      <c r="J224" s="600"/>
      <c r="K224" s="601"/>
      <c r="L224" s="600"/>
      <c r="M224" s="600"/>
      <c r="N224" s="602"/>
      <c r="O224" s="603"/>
      <c r="P224" s="602"/>
      <c r="Q224" s="604"/>
      <c r="R224" s="603"/>
      <c r="S224" s="579"/>
      <c r="T224" s="362"/>
      <c r="U224" s="362"/>
      <c r="V224" s="358">
        <f>V225</f>
        <v>0</v>
      </c>
      <c r="W224" s="358">
        <f t="shared" ref="W224:AJ225" si="93">W225</f>
        <v>0</v>
      </c>
      <c r="X224" s="358">
        <f t="shared" si="93"/>
        <v>0</v>
      </c>
      <c r="Y224" s="358">
        <f t="shared" si="93"/>
        <v>0</v>
      </c>
      <c r="Z224" s="358">
        <f t="shared" si="93"/>
        <v>0</v>
      </c>
      <c r="AA224" s="358">
        <f t="shared" si="93"/>
        <v>0</v>
      </c>
      <c r="AB224" s="358">
        <f t="shared" si="93"/>
        <v>0</v>
      </c>
      <c r="AC224" s="358">
        <f t="shared" si="93"/>
        <v>0</v>
      </c>
      <c r="AD224" s="358">
        <f t="shared" si="93"/>
        <v>0</v>
      </c>
      <c r="AE224" s="358">
        <f t="shared" si="93"/>
        <v>0</v>
      </c>
      <c r="AF224" s="358">
        <f t="shared" si="93"/>
        <v>1177000000</v>
      </c>
      <c r="AG224" s="358">
        <f t="shared" si="93"/>
        <v>0</v>
      </c>
      <c r="AH224" s="358">
        <f t="shared" si="93"/>
        <v>0</v>
      </c>
      <c r="AI224" s="358"/>
      <c r="AJ224" s="358">
        <f t="shared" si="93"/>
        <v>1177000000</v>
      </c>
      <c r="AK224" s="358"/>
      <c r="AL224" s="359"/>
      <c r="AM224" s="7"/>
      <c r="AN224" s="364"/>
      <c r="AO224" s="364"/>
      <c r="AP224" s="364"/>
      <c r="AQ224" s="364"/>
      <c r="AR224" s="364"/>
      <c r="AS224" s="364"/>
      <c r="AT224" s="364"/>
      <c r="AU224" s="364"/>
      <c r="AV224" s="364"/>
      <c r="AW224" s="364"/>
      <c r="AX224" s="364"/>
      <c r="AY224" s="364"/>
      <c r="AZ224" s="364"/>
      <c r="BA224" s="364"/>
      <c r="BB224" s="364"/>
      <c r="BC224" s="364"/>
      <c r="BD224" s="364"/>
      <c r="BE224" s="364"/>
      <c r="BF224" s="364"/>
      <c r="BG224" s="364"/>
      <c r="BH224" s="364"/>
      <c r="BI224" s="364"/>
      <c r="BJ224" s="364"/>
      <c r="BK224" s="364"/>
      <c r="BL224" s="364"/>
      <c r="BM224" s="364"/>
      <c r="BN224" s="364"/>
      <c r="BO224" s="364"/>
      <c r="BP224" s="364"/>
      <c r="BQ224" s="364"/>
      <c r="BR224" s="364"/>
      <c r="BS224" s="364"/>
      <c r="BT224" s="364"/>
      <c r="BU224" s="364"/>
      <c r="BV224" s="364"/>
      <c r="BW224" s="364"/>
      <c r="BX224" s="364"/>
      <c r="BY224" s="364"/>
    </row>
    <row r="225" spans="1:77" ht="24" customHeight="1" x14ac:dyDescent="0.2">
      <c r="A225" s="130"/>
      <c r="B225" s="116">
        <v>4</v>
      </c>
      <c r="C225" s="116"/>
      <c r="D225" s="61" t="s">
        <v>42</v>
      </c>
      <c r="E225" s="157"/>
      <c r="F225" s="61"/>
      <c r="G225" s="163"/>
      <c r="H225" s="163"/>
      <c r="I225" s="366"/>
      <c r="J225" s="165"/>
      <c r="K225" s="164"/>
      <c r="L225" s="165"/>
      <c r="M225" s="165"/>
      <c r="N225" s="167"/>
      <c r="O225" s="166"/>
      <c r="P225" s="167"/>
      <c r="Q225" s="168"/>
      <c r="R225" s="166"/>
      <c r="S225" s="626"/>
      <c r="T225" s="118"/>
      <c r="U225" s="118"/>
      <c r="V225" s="119">
        <f>V226</f>
        <v>0</v>
      </c>
      <c r="W225" s="119">
        <f t="shared" si="93"/>
        <v>0</v>
      </c>
      <c r="X225" s="119">
        <f t="shared" si="93"/>
        <v>0</v>
      </c>
      <c r="Y225" s="119">
        <f t="shared" si="93"/>
        <v>0</v>
      </c>
      <c r="Z225" s="119">
        <f t="shared" si="93"/>
        <v>0</v>
      </c>
      <c r="AA225" s="119">
        <f t="shared" si="93"/>
        <v>0</v>
      </c>
      <c r="AB225" s="119">
        <f t="shared" si="93"/>
        <v>0</v>
      </c>
      <c r="AC225" s="119">
        <f t="shared" si="93"/>
        <v>0</v>
      </c>
      <c r="AD225" s="119">
        <f t="shared" si="93"/>
        <v>0</v>
      </c>
      <c r="AE225" s="119">
        <f t="shared" si="93"/>
        <v>0</v>
      </c>
      <c r="AF225" s="119">
        <f t="shared" si="93"/>
        <v>1177000000</v>
      </c>
      <c r="AG225" s="119">
        <f t="shared" si="93"/>
        <v>0</v>
      </c>
      <c r="AH225" s="119">
        <f t="shared" si="93"/>
        <v>0</v>
      </c>
      <c r="AI225" s="119"/>
      <c r="AJ225" s="119">
        <f t="shared" si="93"/>
        <v>1177000000</v>
      </c>
      <c r="AK225" s="119"/>
      <c r="AL225" s="152"/>
      <c r="AM225" s="7"/>
    </row>
    <row r="226" spans="1:77" s="8" customFormat="1" ht="24" customHeight="1" x14ac:dyDescent="0.25">
      <c r="A226" s="115"/>
      <c r="B226" s="70"/>
      <c r="C226" s="70"/>
      <c r="D226" s="64">
        <v>45</v>
      </c>
      <c r="E226" s="62" t="s">
        <v>43</v>
      </c>
      <c r="F226" s="62"/>
      <c r="G226" s="120"/>
      <c r="H226" s="120"/>
      <c r="I226" s="121"/>
      <c r="J226" s="123"/>
      <c r="K226" s="122"/>
      <c r="L226" s="123"/>
      <c r="M226" s="123"/>
      <c r="N226" s="125"/>
      <c r="O226" s="124"/>
      <c r="P226" s="125"/>
      <c r="Q226" s="126"/>
      <c r="R226" s="124"/>
      <c r="S226" s="186"/>
      <c r="T226" s="128"/>
      <c r="U226" s="128"/>
      <c r="V226" s="129">
        <f>V227+V230</f>
        <v>0</v>
      </c>
      <c r="W226" s="129">
        <f t="shared" ref="W226:AH226" si="94">W227+W230</f>
        <v>0</v>
      </c>
      <c r="X226" s="129">
        <f t="shared" si="94"/>
        <v>0</v>
      </c>
      <c r="Y226" s="129">
        <f t="shared" si="94"/>
        <v>0</v>
      </c>
      <c r="Z226" s="129">
        <f t="shared" si="94"/>
        <v>0</v>
      </c>
      <c r="AA226" s="129">
        <f t="shared" si="94"/>
        <v>0</v>
      </c>
      <c r="AB226" s="129">
        <f t="shared" si="94"/>
        <v>0</v>
      </c>
      <c r="AC226" s="129">
        <f t="shared" si="94"/>
        <v>0</v>
      </c>
      <c r="AD226" s="129">
        <f t="shared" si="94"/>
        <v>0</v>
      </c>
      <c r="AE226" s="129">
        <f t="shared" si="94"/>
        <v>0</v>
      </c>
      <c r="AF226" s="129">
        <f t="shared" si="94"/>
        <v>1177000000</v>
      </c>
      <c r="AG226" s="129">
        <f t="shared" si="94"/>
        <v>0</v>
      </c>
      <c r="AH226" s="129">
        <f t="shared" si="94"/>
        <v>0</v>
      </c>
      <c r="AI226" s="129"/>
      <c r="AJ226" s="129">
        <f>AJ227+AJ230</f>
        <v>1177000000</v>
      </c>
      <c r="AK226" s="129"/>
      <c r="AL226" s="153"/>
      <c r="AM226" s="7"/>
      <c r="AN226" s="7"/>
      <c r="AO226" s="7"/>
      <c r="AP226" s="7"/>
      <c r="AQ226" s="7"/>
      <c r="AR226" s="7"/>
      <c r="AS226" s="7"/>
      <c r="AT226" s="7"/>
      <c r="AU226" s="7"/>
      <c r="AV226" s="7"/>
      <c r="AW226" s="7"/>
      <c r="AX226" s="7"/>
      <c r="AY226" s="7"/>
      <c r="AZ226" s="7"/>
      <c r="BA226" s="7"/>
      <c r="BB226" s="7"/>
      <c r="BC226" s="7"/>
      <c r="BD226" s="7"/>
      <c r="BE226" s="7"/>
      <c r="BF226" s="7"/>
      <c r="BG226" s="7"/>
      <c r="BH226" s="7"/>
      <c r="BI226" s="7"/>
      <c r="BJ226" s="7"/>
      <c r="BK226" s="7"/>
      <c r="BL226" s="7"/>
      <c r="BM226" s="7"/>
      <c r="BN226" s="7"/>
      <c r="BO226" s="7"/>
      <c r="BP226" s="7"/>
      <c r="BQ226" s="7"/>
      <c r="BR226" s="7"/>
      <c r="BS226" s="7"/>
      <c r="BT226" s="7"/>
      <c r="BU226" s="7"/>
      <c r="BV226" s="7"/>
      <c r="BW226" s="7"/>
      <c r="BX226" s="7"/>
      <c r="BY226" s="7"/>
    </row>
    <row r="227" spans="1:77" s="8" customFormat="1" ht="24" customHeight="1" x14ac:dyDescent="0.25">
      <c r="A227" s="115"/>
      <c r="B227" s="78"/>
      <c r="C227" s="78"/>
      <c r="D227" s="78"/>
      <c r="E227" s="78"/>
      <c r="F227" s="138">
        <v>4599</v>
      </c>
      <c r="G227" s="68" t="s">
        <v>654</v>
      </c>
      <c r="H227" s="68"/>
      <c r="I227" s="177"/>
      <c r="J227" s="639"/>
      <c r="K227" s="640"/>
      <c r="L227" s="639"/>
      <c r="M227" s="639"/>
      <c r="N227" s="574"/>
      <c r="O227" s="632"/>
      <c r="P227" s="574"/>
      <c r="Q227" s="624"/>
      <c r="R227" s="632"/>
      <c r="S227" s="625"/>
      <c r="T227" s="132"/>
      <c r="U227" s="132"/>
      <c r="V227" s="133">
        <f>SUM(V228:V229)</f>
        <v>0</v>
      </c>
      <c r="W227" s="133">
        <f t="shared" ref="W227:AJ227" si="95">SUM(W228:W229)</f>
        <v>0</v>
      </c>
      <c r="X227" s="133">
        <f t="shared" si="95"/>
        <v>0</v>
      </c>
      <c r="Y227" s="133">
        <f t="shared" si="95"/>
        <v>0</v>
      </c>
      <c r="Z227" s="133">
        <f t="shared" si="95"/>
        <v>0</v>
      </c>
      <c r="AA227" s="133">
        <f t="shared" si="95"/>
        <v>0</v>
      </c>
      <c r="AB227" s="133">
        <f t="shared" si="95"/>
        <v>0</v>
      </c>
      <c r="AC227" s="133">
        <f t="shared" si="95"/>
        <v>0</v>
      </c>
      <c r="AD227" s="133">
        <f t="shared" si="95"/>
        <v>0</v>
      </c>
      <c r="AE227" s="133">
        <f t="shared" si="95"/>
        <v>0</v>
      </c>
      <c r="AF227" s="133">
        <f t="shared" si="95"/>
        <v>1032000000</v>
      </c>
      <c r="AG227" s="133">
        <f t="shared" si="95"/>
        <v>0</v>
      </c>
      <c r="AH227" s="133">
        <f t="shared" si="95"/>
        <v>0</v>
      </c>
      <c r="AI227" s="133"/>
      <c r="AJ227" s="133">
        <f t="shared" si="95"/>
        <v>1032000000</v>
      </c>
      <c r="AK227" s="133"/>
      <c r="AL227" s="140"/>
      <c r="AM227" s="7"/>
      <c r="AN227" s="7"/>
      <c r="AO227" s="7"/>
      <c r="AP227" s="7"/>
      <c r="AQ227" s="7"/>
      <c r="AR227" s="7"/>
      <c r="AS227" s="7"/>
      <c r="AT227" s="7"/>
      <c r="AU227" s="7"/>
      <c r="AV227" s="7"/>
      <c r="AW227" s="7"/>
      <c r="AX227" s="7"/>
      <c r="AY227" s="7"/>
      <c r="AZ227" s="7"/>
      <c r="BA227" s="7"/>
      <c r="BB227" s="7"/>
      <c r="BC227" s="7"/>
      <c r="BD227" s="7"/>
      <c r="BE227" s="7"/>
      <c r="BF227" s="7"/>
      <c r="BG227" s="7"/>
      <c r="BH227" s="7"/>
      <c r="BI227" s="7"/>
      <c r="BJ227" s="7"/>
      <c r="BK227" s="7"/>
      <c r="BL227" s="7"/>
      <c r="BM227" s="7"/>
      <c r="BN227" s="7"/>
      <c r="BO227" s="7"/>
      <c r="BP227" s="7"/>
      <c r="BQ227" s="7"/>
      <c r="BR227" s="7"/>
      <c r="BS227" s="7"/>
      <c r="BT227" s="7"/>
      <c r="BU227" s="7"/>
      <c r="BV227" s="7"/>
      <c r="BW227" s="7"/>
      <c r="BX227" s="7"/>
      <c r="BY227" s="7"/>
    </row>
    <row r="228" spans="1:77" ht="222" customHeight="1" x14ac:dyDescent="0.2">
      <c r="A228" s="130"/>
      <c r="B228" s="78"/>
      <c r="C228" s="78"/>
      <c r="D228" s="78"/>
      <c r="E228" s="78"/>
      <c r="F228" s="74"/>
      <c r="G228" s="513"/>
      <c r="H228" s="506" t="s">
        <v>45</v>
      </c>
      <c r="I228" s="69" t="s">
        <v>46</v>
      </c>
      <c r="J228" s="515" t="s">
        <v>655</v>
      </c>
      <c r="K228" s="71">
        <v>4599023</v>
      </c>
      <c r="L228" s="515" t="s">
        <v>127</v>
      </c>
      <c r="M228" s="69" t="s">
        <v>46</v>
      </c>
      <c r="N228" s="141" t="s">
        <v>656</v>
      </c>
      <c r="O228" s="71">
        <v>459902304</v>
      </c>
      <c r="P228" s="141" t="s">
        <v>657</v>
      </c>
      <c r="Q228" s="235" t="s">
        <v>51</v>
      </c>
      <c r="R228" s="235">
        <v>1</v>
      </c>
      <c r="S228" s="514" t="s">
        <v>658</v>
      </c>
      <c r="T228" s="85" t="s">
        <v>659</v>
      </c>
      <c r="U228" s="85" t="s">
        <v>660</v>
      </c>
      <c r="V228" s="135"/>
      <c r="W228" s="135"/>
      <c r="X228" s="135"/>
      <c r="Y228" s="135"/>
      <c r="Z228" s="135"/>
      <c r="AA228" s="135"/>
      <c r="AB228" s="135"/>
      <c r="AC228" s="135"/>
      <c r="AD228" s="135"/>
      <c r="AE228" s="135"/>
      <c r="AF228" s="156">
        <v>250000000</v>
      </c>
      <c r="AG228" s="135"/>
      <c r="AH228" s="135"/>
      <c r="AI228" s="135"/>
      <c r="AJ228" s="136">
        <f>+V228+W228+X228+Y228+Z228+AA228+AB228+AC228+AD228+AE228+AF228+AG228+AH228</f>
        <v>250000000</v>
      </c>
      <c r="AK228" s="136" t="s">
        <v>661</v>
      </c>
      <c r="AL228" s="60" t="s">
        <v>1553</v>
      </c>
      <c r="AM228" s="7"/>
    </row>
    <row r="229" spans="1:77" ht="193.5" customHeight="1" x14ac:dyDescent="0.2">
      <c r="A229" s="130"/>
      <c r="B229" s="78"/>
      <c r="C229" s="78"/>
      <c r="D229" s="78"/>
      <c r="E229" s="78"/>
      <c r="F229" s="74"/>
      <c r="G229" s="198"/>
      <c r="H229" s="506" t="s">
        <v>45</v>
      </c>
      <c r="I229" s="69" t="s">
        <v>46</v>
      </c>
      <c r="J229" s="515" t="s">
        <v>662</v>
      </c>
      <c r="K229" s="71">
        <v>4599029</v>
      </c>
      <c r="L229" s="515" t="s">
        <v>73</v>
      </c>
      <c r="M229" s="69" t="s">
        <v>46</v>
      </c>
      <c r="N229" s="141" t="s">
        <v>663</v>
      </c>
      <c r="O229" s="101">
        <v>459902900</v>
      </c>
      <c r="P229" s="141" t="s">
        <v>75</v>
      </c>
      <c r="Q229" s="235" t="s">
        <v>51</v>
      </c>
      <c r="R229" s="235">
        <v>1</v>
      </c>
      <c r="S229" s="514" t="s">
        <v>664</v>
      </c>
      <c r="T229" s="505" t="s">
        <v>665</v>
      </c>
      <c r="U229" s="506" t="s">
        <v>666</v>
      </c>
      <c r="V229" s="135"/>
      <c r="W229" s="135"/>
      <c r="X229" s="135"/>
      <c r="Y229" s="135"/>
      <c r="Z229" s="135"/>
      <c r="AA229" s="135"/>
      <c r="AB229" s="135"/>
      <c r="AC229" s="135"/>
      <c r="AD229" s="135"/>
      <c r="AE229" s="135"/>
      <c r="AF229" s="156">
        <f>300000000+482000000</f>
        <v>782000000</v>
      </c>
      <c r="AG229" s="135"/>
      <c r="AH229" s="135"/>
      <c r="AI229" s="135"/>
      <c r="AJ229" s="136">
        <f>+V229+W229+X229+Y229+Z229+AA229+AB229+AC229+AD229+AE229+AF229+AG229+AH229</f>
        <v>782000000</v>
      </c>
      <c r="AK229" s="136" t="s">
        <v>661</v>
      </c>
      <c r="AL229" s="60" t="s">
        <v>1553</v>
      </c>
      <c r="AM229" s="7"/>
    </row>
    <row r="230" spans="1:77" ht="24" customHeight="1" x14ac:dyDescent="0.2">
      <c r="A230" s="130"/>
      <c r="B230" s="78"/>
      <c r="C230" s="78"/>
      <c r="D230" s="78"/>
      <c r="E230" s="78"/>
      <c r="F230" s="138">
        <v>4502</v>
      </c>
      <c r="G230" s="68" t="s">
        <v>70</v>
      </c>
      <c r="H230" s="177"/>
      <c r="I230" s="177"/>
      <c r="J230" s="595"/>
      <c r="K230" s="623"/>
      <c r="L230" s="595"/>
      <c r="M230" s="595"/>
      <c r="N230" s="590"/>
      <c r="O230" s="591"/>
      <c r="P230" s="590"/>
      <c r="Q230" s="624"/>
      <c r="R230" s="591"/>
      <c r="S230" s="625"/>
      <c r="T230" s="132"/>
      <c r="U230" s="132"/>
      <c r="V230" s="133">
        <f>SUM(V231)</f>
        <v>0</v>
      </c>
      <c r="W230" s="133">
        <f t="shared" ref="W230:AJ230" si="96">SUM(W231)</f>
        <v>0</v>
      </c>
      <c r="X230" s="133">
        <f t="shared" si="96"/>
        <v>0</v>
      </c>
      <c r="Y230" s="133">
        <f t="shared" si="96"/>
        <v>0</v>
      </c>
      <c r="Z230" s="133">
        <f t="shared" si="96"/>
        <v>0</v>
      </c>
      <c r="AA230" s="133">
        <f t="shared" si="96"/>
        <v>0</v>
      </c>
      <c r="AB230" s="133">
        <f t="shared" si="96"/>
        <v>0</v>
      </c>
      <c r="AC230" s="133">
        <f t="shared" si="96"/>
        <v>0</v>
      </c>
      <c r="AD230" s="133">
        <f t="shared" si="96"/>
        <v>0</v>
      </c>
      <c r="AE230" s="133">
        <f t="shared" si="96"/>
        <v>0</v>
      </c>
      <c r="AF230" s="133">
        <f t="shared" si="96"/>
        <v>145000000</v>
      </c>
      <c r="AG230" s="133">
        <f t="shared" si="96"/>
        <v>0</v>
      </c>
      <c r="AH230" s="133">
        <f t="shared" si="96"/>
        <v>0</v>
      </c>
      <c r="AI230" s="133"/>
      <c r="AJ230" s="133">
        <f t="shared" si="96"/>
        <v>145000000</v>
      </c>
      <c r="AK230" s="133"/>
      <c r="AL230" s="140"/>
      <c r="AM230" s="7"/>
    </row>
    <row r="231" spans="1:77" ht="191.25" customHeight="1" x14ac:dyDescent="0.2">
      <c r="A231" s="130"/>
      <c r="B231" s="78"/>
      <c r="C231" s="78"/>
      <c r="D231" s="78"/>
      <c r="E231" s="78"/>
      <c r="F231" s="74"/>
      <c r="G231" s="236"/>
      <c r="H231" s="506" t="s">
        <v>71</v>
      </c>
      <c r="I231" s="69" t="s">
        <v>46</v>
      </c>
      <c r="J231" s="506" t="s">
        <v>667</v>
      </c>
      <c r="K231" s="71">
        <v>4502001</v>
      </c>
      <c r="L231" s="506" t="s">
        <v>82</v>
      </c>
      <c r="M231" s="423" t="s">
        <v>46</v>
      </c>
      <c r="N231" s="141" t="s">
        <v>668</v>
      </c>
      <c r="O231" s="71">
        <v>450200100</v>
      </c>
      <c r="P231" s="141" t="s">
        <v>84</v>
      </c>
      <c r="Q231" s="235" t="s">
        <v>51</v>
      </c>
      <c r="R231" s="112">
        <v>30</v>
      </c>
      <c r="S231" s="507" t="s">
        <v>669</v>
      </c>
      <c r="T231" s="505" t="s">
        <v>670</v>
      </c>
      <c r="U231" s="506" t="s">
        <v>671</v>
      </c>
      <c r="V231" s="233"/>
      <c r="W231" s="233"/>
      <c r="X231" s="233"/>
      <c r="Y231" s="233"/>
      <c r="Z231" s="233"/>
      <c r="AA231" s="233"/>
      <c r="AB231" s="233"/>
      <c r="AC231" s="233"/>
      <c r="AD231" s="233"/>
      <c r="AE231" s="233"/>
      <c r="AF231" s="402">
        <v>145000000</v>
      </c>
      <c r="AG231" s="233"/>
      <c r="AH231" s="233"/>
      <c r="AI231" s="233"/>
      <c r="AJ231" s="136">
        <f>+V231+W231+X231+Y231+Z231+AA231+AB231+AC231+AD231+AE231+AF231+AG231+AH231</f>
        <v>145000000</v>
      </c>
      <c r="AK231" s="136" t="s">
        <v>661</v>
      </c>
      <c r="AL231" s="60" t="s">
        <v>1553</v>
      </c>
      <c r="AM231" s="7"/>
    </row>
    <row r="232" spans="1:77" s="436" customFormat="1" ht="16.5" customHeight="1" x14ac:dyDescent="0.25">
      <c r="A232" s="432"/>
      <c r="B232" s="432"/>
      <c r="C232" s="432"/>
      <c r="D232" s="432"/>
      <c r="E232" s="432"/>
      <c r="F232" s="432"/>
      <c r="G232" s="432"/>
      <c r="H232" s="433"/>
      <c r="I232" s="432"/>
      <c r="J232" s="432"/>
      <c r="K232" s="432"/>
      <c r="L232" s="432"/>
      <c r="M232" s="432"/>
      <c r="N232" s="432"/>
      <c r="O232" s="432"/>
      <c r="P232" s="432"/>
      <c r="Q232" s="434"/>
      <c r="R232" s="432"/>
      <c r="S232" s="434"/>
      <c r="T232" s="434"/>
      <c r="U232" s="434"/>
      <c r="V232" s="435"/>
      <c r="W232" s="435"/>
      <c r="X232" s="435"/>
      <c r="Y232" s="435"/>
      <c r="Z232" s="435"/>
      <c r="AA232" s="435"/>
      <c r="AB232" s="435"/>
      <c r="AC232" s="435"/>
      <c r="AD232" s="435"/>
      <c r="AE232" s="435"/>
      <c r="AF232" s="435"/>
      <c r="AG232" s="435"/>
      <c r="AH232" s="435"/>
      <c r="AI232" s="435"/>
      <c r="AJ232" s="435"/>
      <c r="AK232" s="435"/>
      <c r="AL232" s="435"/>
      <c r="AM232" s="7"/>
    </row>
    <row r="233" spans="1:77" s="365" customFormat="1" ht="24" customHeight="1" x14ac:dyDescent="0.2">
      <c r="A233" s="34" t="s">
        <v>672</v>
      </c>
      <c r="B233" s="34"/>
      <c r="C233" s="34"/>
      <c r="D233" s="34"/>
      <c r="E233" s="34"/>
      <c r="F233" s="35"/>
      <c r="G233" s="36"/>
      <c r="H233" s="357"/>
      <c r="I233" s="357"/>
      <c r="J233" s="357"/>
      <c r="K233" s="360"/>
      <c r="L233" s="357"/>
      <c r="M233" s="425"/>
      <c r="N233" s="362"/>
      <c r="O233" s="361"/>
      <c r="P233" s="362"/>
      <c r="Q233" s="363"/>
      <c r="R233" s="361"/>
      <c r="S233" s="36"/>
      <c r="T233" s="362"/>
      <c r="U233" s="362"/>
      <c r="V233" s="358">
        <f t="shared" ref="V233:AJ233" si="97">V234+V273</f>
        <v>0</v>
      </c>
      <c r="W233" s="358">
        <f t="shared" si="97"/>
        <v>0</v>
      </c>
      <c r="X233" s="358">
        <f t="shared" si="97"/>
        <v>0</v>
      </c>
      <c r="Y233" s="358">
        <f t="shared" si="97"/>
        <v>1573920278.6600001</v>
      </c>
      <c r="Z233" s="358">
        <f t="shared" si="97"/>
        <v>0</v>
      </c>
      <c r="AA233" s="358">
        <f t="shared" si="97"/>
        <v>0</v>
      </c>
      <c r="AB233" s="358">
        <f t="shared" si="97"/>
        <v>143579499577.42001</v>
      </c>
      <c r="AC233" s="358">
        <f t="shared" si="97"/>
        <v>25145000000</v>
      </c>
      <c r="AD233" s="358">
        <f t="shared" si="97"/>
        <v>11590214233.049999</v>
      </c>
      <c r="AE233" s="358">
        <f t="shared" si="97"/>
        <v>0</v>
      </c>
      <c r="AF233" s="358">
        <f t="shared" si="97"/>
        <v>7018073241.2200003</v>
      </c>
      <c r="AG233" s="358">
        <f t="shared" si="97"/>
        <v>62.1</v>
      </c>
      <c r="AH233" s="358">
        <f t="shared" si="97"/>
        <v>1792032472.8499999</v>
      </c>
      <c r="AI233" s="358"/>
      <c r="AJ233" s="358">
        <f t="shared" si="97"/>
        <v>190698739865.30008</v>
      </c>
      <c r="AK233" s="358"/>
      <c r="AL233" s="359"/>
      <c r="AM233" s="7"/>
      <c r="AN233" s="364"/>
      <c r="AO233" s="364"/>
      <c r="AP233" s="364"/>
      <c r="AQ233" s="364"/>
      <c r="AR233" s="364"/>
      <c r="AS233" s="364"/>
      <c r="AT233" s="364"/>
      <c r="AU233" s="364"/>
      <c r="AV233" s="364"/>
      <c r="AW233" s="364"/>
      <c r="AX233" s="364"/>
      <c r="AY233" s="364"/>
      <c r="AZ233" s="364"/>
      <c r="BA233" s="364"/>
      <c r="BB233" s="364"/>
      <c r="BC233" s="364"/>
      <c r="BD233" s="364"/>
      <c r="BE233" s="364"/>
      <c r="BF233" s="364"/>
      <c r="BG233" s="364"/>
      <c r="BH233" s="364"/>
      <c r="BI233" s="364"/>
      <c r="BJ233" s="364"/>
      <c r="BK233" s="364"/>
      <c r="BL233" s="364"/>
      <c r="BM233" s="364"/>
      <c r="BN233" s="364"/>
      <c r="BO233" s="364"/>
      <c r="BP233" s="364"/>
      <c r="BQ233" s="364"/>
      <c r="BR233" s="364"/>
      <c r="BS233" s="364"/>
      <c r="BT233" s="364"/>
      <c r="BU233" s="364"/>
      <c r="BV233" s="364"/>
      <c r="BW233" s="364"/>
      <c r="BX233" s="364"/>
      <c r="BY233" s="364"/>
    </row>
    <row r="234" spans="1:77" ht="24" customHeight="1" x14ac:dyDescent="0.2">
      <c r="A234" s="130"/>
      <c r="B234" s="116">
        <v>1</v>
      </c>
      <c r="C234" s="116"/>
      <c r="D234" s="61" t="s">
        <v>148</v>
      </c>
      <c r="E234" s="157"/>
      <c r="F234" s="61"/>
      <c r="G234" s="163"/>
      <c r="H234" s="366"/>
      <c r="I234" s="366"/>
      <c r="J234" s="165"/>
      <c r="K234" s="164"/>
      <c r="L234" s="165"/>
      <c r="M234" s="165"/>
      <c r="N234" s="167"/>
      <c r="O234" s="166"/>
      <c r="P234" s="167"/>
      <c r="Q234" s="168"/>
      <c r="R234" s="166"/>
      <c r="S234" s="626"/>
      <c r="T234" s="118"/>
      <c r="U234" s="118"/>
      <c r="V234" s="119">
        <f>V235</f>
        <v>0</v>
      </c>
      <c r="W234" s="119">
        <f t="shared" ref="W234:AH234" si="98">W235</f>
        <v>0</v>
      </c>
      <c r="X234" s="119">
        <f t="shared" si="98"/>
        <v>0</v>
      </c>
      <c r="Y234" s="119">
        <f t="shared" si="98"/>
        <v>1573920278.6600001</v>
      </c>
      <c r="Z234" s="119">
        <f t="shared" si="98"/>
        <v>0</v>
      </c>
      <c r="AA234" s="119">
        <f t="shared" si="98"/>
        <v>0</v>
      </c>
      <c r="AB234" s="119">
        <f t="shared" si="98"/>
        <v>143579499577.42001</v>
      </c>
      <c r="AC234" s="119">
        <f t="shared" si="98"/>
        <v>25145000000</v>
      </c>
      <c r="AD234" s="119">
        <f t="shared" si="98"/>
        <v>11590214233.049999</v>
      </c>
      <c r="AE234" s="119">
        <f t="shared" si="98"/>
        <v>0</v>
      </c>
      <c r="AF234" s="119">
        <f t="shared" si="98"/>
        <v>7010573241.2200003</v>
      </c>
      <c r="AG234" s="119">
        <f t="shared" si="98"/>
        <v>62.1</v>
      </c>
      <c r="AH234" s="119">
        <f t="shared" si="98"/>
        <v>1792032472.8499999</v>
      </c>
      <c r="AI234" s="119"/>
      <c r="AJ234" s="119">
        <f>AJ235</f>
        <v>190691239865.30008</v>
      </c>
      <c r="AK234" s="119">
        <f>AK236+AK271</f>
        <v>0</v>
      </c>
      <c r="AL234" s="152"/>
      <c r="AM234" s="7"/>
    </row>
    <row r="235" spans="1:77" s="8" customFormat="1" ht="24" customHeight="1" x14ac:dyDescent="0.25">
      <c r="A235" s="115"/>
      <c r="B235" s="70"/>
      <c r="C235" s="70"/>
      <c r="D235" s="64">
        <v>22</v>
      </c>
      <c r="E235" s="62" t="s">
        <v>169</v>
      </c>
      <c r="F235" s="120"/>
      <c r="G235" s="121"/>
      <c r="H235" s="121"/>
      <c r="I235" s="121"/>
      <c r="J235" s="123"/>
      <c r="K235" s="122"/>
      <c r="L235" s="123"/>
      <c r="M235" s="123"/>
      <c r="N235" s="125"/>
      <c r="O235" s="124"/>
      <c r="P235" s="125"/>
      <c r="Q235" s="126"/>
      <c r="R235" s="124"/>
      <c r="S235" s="186"/>
      <c r="T235" s="128"/>
      <c r="U235" s="128"/>
      <c r="V235" s="129">
        <f t="shared" ref="V235:AJ235" si="99">V236+V271</f>
        <v>0</v>
      </c>
      <c r="W235" s="129">
        <f t="shared" si="99"/>
        <v>0</v>
      </c>
      <c r="X235" s="129">
        <f t="shared" si="99"/>
        <v>0</v>
      </c>
      <c r="Y235" s="129">
        <f t="shared" si="99"/>
        <v>1573920278.6600001</v>
      </c>
      <c r="Z235" s="129">
        <f t="shared" si="99"/>
        <v>0</v>
      </c>
      <c r="AA235" s="129">
        <f t="shared" si="99"/>
        <v>0</v>
      </c>
      <c r="AB235" s="129">
        <f t="shared" si="99"/>
        <v>143579499577.42001</v>
      </c>
      <c r="AC235" s="129">
        <f t="shared" si="99"/>
        <v>25145000000</v>
      </c>
      <c r="AD235" s="129">
        <f t="shared" si="99"/>
        <v>11590214233.049999</v>
      </c>
      <c r="AE235" s="129">
        <f t="shared" si="99"/>
        <v>0</v>
      </c>
      <c r="AF235" s="129">
        <f t="shared" si="99"/>
        <v>7010573241.2200003</v>
      </c>
      <c r="AG235" s="129">
        <f t="shared" si="99"/>
        <v>62.1</v>
      </c>
      <c r="AH235" s="129">
        <f t="shared" si="99"/>
        <v>1792032472.8499999</v>
      </c>
      <c r="AI235" s="129"/>
      <c r="AJ235" s="129">
        <f t="shared" si="99"/>
        <v>190691239865.30008</v>
      </c>
      <c r="AK235" s="129"/>
      <c r="AL235" s="153"/>
      <c r="AM235" s="7"/>
      <c r="AN235" s="7"/>
      <c r="AO235" s="7"/>
      <c r="AP235" s="7"/>
      <c r="AQ235" s="7"/>
      <c r="AR235" s="7"/>
      <c r="AS235" s="7"/>
      <c r="AT235" s="7"/>
      <c r="AU235" s="7"/>
      <c r="AV235" s="7"/>
      <c r="AW235" s="7"/>
      <c r="AX235" s="7"/>
      <c r="AY235" s="7"/>
      <c r="AZ235" s="7"/>
      <c r="BA235" s="7"/>
      <c r="BB235" s="7"/>
      <c r="BC235" s="7"/>
      <c r="BD235" s="7"/>
      <c r="BE235" s="7"/>
      <c r="BF235" s="7"/>
      <c r="BG235" s="7"/>
      <c r="BH235" s="7"/>
      <c r="BI235" s="7"/>
      <c r="BJ235" s="7"/>
      <c r="BK235" s="7"/>
      <c r="BL235" s="7"/>
      <c r="BM235" s="7"/>
      <c r="BN235" s="7"/>
      <c r="BO235" s="7"/>
      <c r="BP235" s="7"/>
      <c r="BQ235" s="7"/>
      <c r="BR235" s="7"/>
      <c r="BS235" s="7"/>
      <c r="BT235" s="7"/>
      <c r="BU235" s="7"/>
      <c r="BV235" s="7"/>
      <c r="BW235" s="7"/>
      <c r="BX235" s="7"/>
      <c r="BY235" s="7"/>
    </row>
    <row r="236" spans="1:77" ht="24" customHeight="1" x14ac:dyDescent="0.2">
      <c r="A236" s="130"/>
      <c r="B236" s="78"/>
      <c r="C236" s="78"/>
      <c r="D236" s="78"/>
      <c r="E236" s="78"/>
      <c r="F236" s="131">
        <v>2201</v>
      </c>
      <c r="G236" s="68" t="s">
        <v>293</v>
      </c>
      <c r="H236" s="177"/>
      <c r="I236" s="177"/>
      <c r="J236" s="595"/>
      <c r="K236" s="623"/>
      <c r="L236" s="595"/>
      <c r="M236" s="595"/>
      <c r="N236" s="590"/>
      <c r="O236" s="591"/>
      <c r="P236" s="590"/>
      <c r="Q236" s="624"/>
      <c r="R236" s="591"/>
      <c r="S236" s="625"/>
      <c r="T236" s="132"/>
      <c r="U236" s="132"/>
      <c r="V236" s="133">
        <f t="shared" ref="V236:AK236" si="100">SUM(V237:V270)</f>
        <v>0</v>
      </c>
      <c r="W236" s="133">
        <f t="shared" si="100"/>
        <v>0</v>
      </c>
      <c r="X236" s="133">
        <f t="shared" si="100"/>
        <v>0</v>
      </c>
      <c r="Y236" s="133">
        <f t="shared" si="100"/>
        <v>1573920278.6600001</v>
      </c>
      <c r="Z236" s="133">
        <f t="shared" si="100"/>
        <v>0</v>
      </c>
      <c r="AA236" s="133">
        <f t="shared" si="100"/>
        <v>0</v>
      </c>
      <c r="AB236" s="133">
        <f t="shared" si="100"/>
        <v>143579499577.42001</v>
      </c>
      <c r="AC236" s="133">
        <f t="shared" si="100"/>
        <v>25145000000</v>
      </c>
      <c r="AD236" s="133">
        <f t="shared" si="100"/>
        <v>11590214233.049999</v>
      </c>
      <c r="AE236" s="133">
        <f t="shared" si="100"/>
        <v>0</v>
      </c>
      <c r="AF236" s="133">
        <f t="shared" si="100"/>
        <v>6910573241.2200003</v>
      </c>
      <c r="AG236" s="133">
        <f t="shared" si="100"/>
        <v>62.1</v>
      </c>
      <c r="AH236" s="133">
        <f t="shared" si="100"/>
        <v>1792032472.8499999</v>
      </c>
      <c r="AI236" s="133"/>
      <c r="AJ236" s="133">
        <f t="shared" si="100"/>
        <v>190591239865.30008</v>
      </c>
      <c r="AK236" s="133">
        <f t="shared" si="100"/>
        <v>0</v>
      </c>
      <c r="AL236" s="140"/>
      <c r="AM236" s="7"/>
    </row>
    <row r="237" spans="1:77" s="3" customFormat="1" ht="130.5" customHeight="1" x14ac:dyDescent="0.2">
      <c r="A237" s="56"/>
      <c r="B237" s="96"/>
      <c r="C237" s="96"/>
      <c r="D237" s="96"/>
      <c r="E237" s="96"/>
      <c r="F237" s="99"/>
      <c r="G237" s="95"/>
      <c r="H237" s="515" t="s">
        <v>673</v>
      </c>
      <c r="I237" s="71">
        <v>2201030</v>
      </c>
      <c r="J237" s="515" t="s">
        <v>674</v>
      </c>
      <c r="K237" s="71">
        <v>2201030</v>
      </c>
      <c r="L237" s="515" t="s">
        <v>674</v>
      </c>
      <c r="M237" s="237">
        <v>220103000</v>
      </c>
      <c r="N237" s="203" t="s">
        <v>675</v>
      </c>
      <c r="O237" s="237">
        <v>220103000</v>
      </c>
      <c r="P237" s="203" t="s">
        <v>675</v>
      </c>
      <c r="Q237" s="112" t="s">
        <v>51</v>
      </c>
      <c r="R237" s="112">
        <v>2500</v>
      </c>
      <c r="S237" s="970" t="s">
        <v>676</v>
      </c>
      <c r="T237" s="966" t="s">
        <v>677</v>
      </c>
      <c r="U237" s="950" t="s">
        <v>678</v>
      </c>
      <c r="V237" s="135"/>
      <c r="W237" s="135"/>
      <c r="X237" s="135"/>
      <c r="Y237" s="135"/>
      <c r="Z237" s="135"/>
      <c r="AA237" s="240"/>
      <c r="AB237" s="135">
        <f>1726000000-55000000-327296271</f>
        <v>1343703729</v>
      </c>
      <c r="AC237" s="135"/>
      <c r="AD237" s="241"/>
      <c r="AE237" s="135"/>
      <c r="AF237" s="145"/>
      <c r="AG237" s="135"/>
      <c r="AH237" s="135"/>
      <c r="AI237" s="135"/>
      <c r="AJ237" s="313">
        <f t="shared" ref="AJ237:AJ270" si="101">+V237+W237+X237+Y237+Z237+AA237+AB237+AC237+AD237+AE237+AF237+AG237+AH237</f>
        <v>1343703729</v>
      </c>
      <c r="AK237" s="313" t="s">
        <v>679</v>
      </c>
      <c r="AL237" s="205" t="s">
        <v>680</v>
      </c>
      <c r="AM237" s="7"/>
    </row>
    <row r="238" spans="1:77" ht="91.5" customHeight="1" x14ac:dyDescent="0.2">
      <c r="A238" s="130"/>
      <c r="B238" s="78"/>
      <c r="C238" s="78"/>
      <c r="D238" s="78"/>
      <c r="E238" s="78"/>
      <c r="F238" s="74"/>
      <c r="G238" s="513"/>
      <c r="H238" s="506" t="s">
        <v>681</v>
      </c>
      <c r="I238" s="71">
        <v>2201033</v>
      </c>
      <c r="J238" s="515" t="s">
        <v>682</v>
      </c>
      <c r="K238" s="71">
        <v>2201033</v>
      </c>
      <c r="L238" s="515" t="s">
        <v>682</v>
      </c>
      <c r="M238" s="237">
        <v>220103300</v>
      </c>
      <c r="N238" s="203" t="s">
        <v>683</v>
      </c>
      <c r="O238" s="237">
        <v>220103300</v>
      </c>
      <c r="P238" s="203" t="s">
        <v>683</v>
      </c>
      <c r="Q238" s="232" t="s">
        <v>67</v>
      </c>
      <c r="R238" s="232">
        <v>9000</v>
      </c>
      <c r="S238" s="970"/>
      <c r="T238" s="966"/>
      <c r="U238" s="950"/>
      <c r="V238" s="135"/>
      <c r="W238" s="135"/>
      <c r="X238" s="135"/>
      <c r="Y238" s="135"/>
      <c r="Z238" s="135"/>
      <c r="AA238" s="240"/>
      <c r="AB238" s="135"/>
      <c r="AC238" s="135"/>
      <c r="AD238" s="241"/>
      <c r="AE238" s="135"/>
      <c r="AF238" s="526">
        <f>18000000</f>
        <v>18000000</v>
      </c>
      <c r="AG238" s="135"/>
      <c r="AH238" s="135"/>
      <c r="AI238" s="135"/>
      <c r="AJ238" s="313">
        <f t="shared" si="101"/>
        <v>18000000</v>
      </c>
      <c r="AK238" s="313" t="s">
        <v>679</v>
      </c>
      <c r="AL238" s="60" t="s">
        <v>680</v>
      </c>
      <c r="AM238" s="7"/>
    </row>
    <row r="239" spans="1:77" s="3" customFormat="1" ht="66" customHeight="1" x14ac:dyDescent="0.2">
      <c r="A239" s="56"/>
      <c r="B239" s="96"/>
      <c r="C239" s="96"/>
      <c r="D239" s="96"/>
      <c r="E239" s="96"/>
      <c r="F239" s="99"/>
      <c r="G239" s="102"/>
      <c r="H239" s="515" t="s">
        <v>684</v>
      </c>
      <c r="I239" s="71">
        <v>2201032</v>
      </c>
      <c r="J239" s="515" t="s">
        <v>685</v>
      </c>
      <c r="K239" s="71">
        <v>2201032</v>
      </c>
      <c r="L239" s="515" t="s">
        <v>685</v>
      </c>
      <c r="M239" s="77">
        <v>220103200</v>
      </c>
      <c r="N239" s="512" t="s">
        <v>686</v>
      </c>
      <c r="O239" s="77">
        <v>220103200</v>
      </c>
      <c r="P239" s="512" t="s">
        <v>686</v>
      </c>
      <c r="Q239" s="112" t="s">
        <v>67</v>
      </c>
      <c r="R239" s="112">
        <v>200</v>
      </c>
      <c r="S239" s="970"/>
      <c r="T239" s="966"/>
      <c r="U239" s="950"/>
      <c r="V239" s="135"/>
      <c r="W239" s="135"/>
      <c r="X239" s="135"/>
      <c r="Y239" s="135"/>
      <c r="Z239" s="135"/>
      <c r="AA239" s="240"/>
      <c r="AB239" s="135"/>
      <c r="AC239" s="135"/>
      <c r="AD239" s="241"/>
      <c r="AE239" s="135"/>
      <c r="AF239" s="195">
        <v>10000000.01</v>
      </c>
      <c r="AG239" s="135"/>
      <c r="AH239" s="135"/>
      <c r="AI239" s="135"/>
      <c r="AJ239" s="313">
        <f t="shared" si="101"/>
        <v>10000000.01</v>
      </c>
      <c r="AK239" s="313" t="s">
        <v>679</v>
      </c>
      <c r="AL239" s="205" t="s">
        <v>680</v>
      </c>
      <c r="AM239" s="7"/>
    </row>
    <row r="240" spans="1:77" s="3" customFormat="1" ht="175.5" customHeight="1" x14ac:dyDescent="0.2">
      <c r="A240" s="56"/>
      <c r="B240" s="96"/>
      <c r="C240" s="96"/>
      <c r="D240" s="96"/>
      <c r="E240" s="96"/>
      <c r="F240" s="99"/>
      <c r="G240" s="95"/>
      <c r="H240" s="515" t="s">
        <v>687</v>
      </c>
      <c r="I240" s="71">
        <v>2201055</v>
      </c>
      <c r="J240" s="515" t="s">
        <v>688</v>
      </c>
      <c r="K240" s="71">
        <v>2201055</v>
      </c>
      <c r="L240" s="515" t="s">
        <v>688</v>
      </c>
      <c r="M240" s="237">
        <v>220105500</v>
      </c>
      <c r="N240" s="203" t="s">
        <v>689</v>
      </c>
      <c r="O240" s="237">
        <v>220105500</v>
      </c>
      <c r="P240" s="203" t="s">
        <v>689</v>
      </c>
      <c r="Q240" s="112" t="s">
        <v>51</v>
      </c>
      <c r="R240" s="112">
        <v>1</v>
      </c>
      <c r="S240" s="970"/>
      <c r="T240" s="966"/>
      <c r="U240" s="950"/>
      <c r="V240" s="135"/>
      <c r="W240" s="135"/>
      <c r="X240" s="135"/>
      <c r="Y240" s="135"/>
      <c r="Z240" s="135"/>
      <c r="AA240" s="240"/>
      <c r="AB240" s="135">
        <f>20000000+7500000+42500000-21720771</f>
        <v>48279229</v>
      </c>
      <c r="AC240" s="135"/>
      <c r="AD240" s="241"/>
      <c r="AE240" s="135"/>
      <c r="AF240" s="145">
        <v>0</v>
      </c>
      <c r="AG240" s="135"/>
      <c r="AH240" s="135"/>
      <c r="AI240" s="135"/>
      <c r="AJ240" s="313">
        <f t="shared" si="101"/>
        <v>48279229</v>
      </c>
      <c r="AK240" s="313" t="s">
        <v>679</v>
      </c>
      <c r="AL240" s="205" t="s">
        <v>680</v>
      </c>
      <c r="AM240" s="7"/>
    </row>
    <row r="241" spans="1:39" s="3" customFormat="1" ht="144.75" customHeight="1" x14ac:dyDescent="0.2">
      <c r="A241" s="56"/>
      <c r="B241" s="96"/>
      <c r="C241" s="96"/>
      <c r="D241" s="96"/>
      <c r="E241" s="96"/>
      <c r="F241" s="99"/>
      <c r="G241" s="102"/>
      <c r="H241" s="515" t="s">
        <v>690</v>
      </c>
      <c r="I241" s="71">
        <v>2201067</v>
      </c>
      <c r="J241" s="515" t="s">
        <v>691</v>
      </c>
      <c r="K241" s="71">
        <v>2201067</v>
      </c>
      <c r="L241" s="515" t="s">
        <v>691</v>
      </c>
      <c r="M241" s="77">
        <v>220106700</v>
      </c>
      <c r="N241" s="512" t="s">
        <v>692</v>
      </c>
      <c r="O241" s="77">
        <v>220106700</v>
      </c>
      <c r="P241" s="512" t="s">
        <v>692</v>
      </c>
      <c r="Q241" s="112" t="s">
        <v>51</v>
      </c>
      <c r="R241" s="223">
        <v>54</v>
      </c>
      <c r="S241" s="970"/>
      <c r="T241" s="966"/>
      <c r="U241" s="950"/>
      <c r="V241" s="135"/>
      <c r="W241" s="135"/>
      <c r="X241" s="135"/>
      <c r="Y241" s="135"/>
      <c r="Z241" s="135"/>
      <c r="AA241" s="240"/>
      <c r="AB241" s="135"/>
      <c r="AC241" s="135"/>
      <c r="AD241" s="241"/>
      <c r="AE241" s="135"/>
      <c r="AF241" s="195">
        <v>10000000.01</v>
      </c>
      <c r="AG241" s="135"/>
      <c r="AH241" s="135"/>
      <c r="AI241" s="135"/>
      <c r="AJ241" s="313">
        <f t="shared" si="101"/>
        <v>10000000.01</v>
      </c>
      <c r="AK241" s="313" t="s">
        <v>679</v>
      </c>
      <c r="AL241" s="205" t="s">
        <v>680</v>
      </c>
      <c r="AM241" s="7"/>
    </row>
    <row r="242" spans="1:39" ht="112.5" customHeight="1" x14ac:dyDescent="0.2">
      <c r="A242" s="130"/>
      <c r="B242" s="78"/>
      <c r="C242" s="78"/>
      <c r="D242" s="78"/>
      <c r="E242" s="78"/>
      <c r="F242" s="74"/>
      <c r="G242" s="513"/>
      <c r="H242" s="506" t="s">
        <v>690</v>
      </c>
      <c r="I242" s="71">
        <v>2201028</v>
      </c>
      <c r="J242" s="515" t="s">
        <v>693</v>
      </c>
      <c r="K242" s="71">
        <v>2201028</v>
      </c>
      <c r="L242" s="515" t="s">
        <v>693</v>
      </c>
      <c r="M242" s="237">
        <v>220102801</v>
      </c>
      <c r="N242" s="512" t="s">
        <v>694</v>
      </c>
      <c r="O242" s="237">
        <v>220102801</v>
      </c>
      <c r="P242" s="512" t="s">
        <v>694</v>
      </c>
      <c r="Q242" s="232" t="s">
        <v>51</v>
      </c>
      <c r="R242" s="232">
        <v>36000</v>
      </c>
      <c r="S242" s="970"/>
      <c r="T242" s="966"/>
      <c r="U242" s="950"/>
      <c r="V242" s="135"/>
      <c r="W242" s="135"/>
      <c r="X242" s="135"/>
      <c r="Y242" s="135"/>
      <c r="Z242" s="135"/>
      <c r="AA242" s="240"/>
      <c r="AB242" s="135"/>
      <c r="AC242" s="309"/>
      <c r="AD242" s="310">
        <f>12990000000-2811152214+1411366447.05</f>
        <v>11590214233.049999</v>
      </c>
      <c r="AE242" s="135"/>
      <c r="AF242" s="195">
        <f>250000000+1800000000</f>
        <v>2050000000</v>
      </c>
      <c r="AG242" s="195">
        <v>62.1</v>
      </c>
      <c r="AH242" s="135"/>
      <c r="AI242" s="135"/>
      <c r="AJ242" s="313">
        <f t="shared" si="101"/>
        <v>13640214295.15</v>
      </c>
      <c r="AK242" s="313" t="s">
        <v>679</v>
      </c>
      <c r="AL242" s="60" t="s">
        <v>680</v>
      </c>
      <c r="AM242" s="7"/>
    </row>
    <row r="243" spans="1:39" ht="165" customHeight="1" x14ac:dyDescent="0.2">
      <c r="A243" s="130"/>
      <c r="B243" s="78"/>
      <c r="C243" s="78"/>
      <c r="D243" s="78"/>
      <c r="E243" s="78"/>
      <c r="F243" s="74"/>
      <c r="G243" s="513"/>
      <c r="H243" s="506" t="s">
        <v>690</v>
      </c>
      <c r="I243" s="71">
        <v>2201029</v>
      </c>
      <c r="J243" s="515" t="s">
        <v>695</v>
      </c>
      <c r="K243" s="71">
        <v>2201029</v>
      </c>
      <c r="L243" s="515" t="s">
        <v>695</v>
      </c>
      <c r="M243" s="237">
        <v>220102900</v>
      </c>
      <c r="N243" s="512" t="s">
        <v>696</v>
      </c>
      <c r="O243" s="237">
        <v>220102900</v>
      </c>
      <c r="P243" s="512" t="s">
        <v>696</v>
      </c>
      <c r="Q243" s="232" t="s">
        <v>67</v>
      </c>
      <c r="R243" s="232">
        <v>1000</v>
      </c>
      <c r="S243" s="970"/>
      <c r="T243" s="966"/>
      <c r="U243" s="950"/>
      <c r="V243" s="135"/>
      <c r="W243" s="135"/>
      <c r="X243" s="135"/>
      <c r="Y243" s="135"/>
      <c r="Z243" s="135"/>
      <c r="AA243" s="240"/>
      <c r="AB243" s="135"/>
      <c r="AC243" s="135"/>
      <c r="AD243" s="241"/>
      <c r="AE243" s="135"/>
      <c r="AF243" s="195">
        <f>380000000-100000000</f>
        <v>280000000</v>
      </c>
      <c r="AG243" s="135"/>
      <c r="AH243" s="135"/>
      <c r="AI243" s="135"/>
      <c r="AJ243" s="313">
        <f t="shared" si="101"/>
        <v>280000000</v>
      </c>
      <c r="AK243" s="313" t="s">
        <v>679</v>
      </c>
      <c r="AL243" s="60" t="s">
        <v>680</v>
      </c>
      <c r="AM243" s="7"/>
    </row>
    <row r="244" spans="1:39" ht="138.75" customHeight="1" x14ac:dyDescent="0.2">
      <c r="A244" s="130"/>
      <c r="B244" s="78"/>
      <c r="C244" s="78"/>
      <c r="D244" s="78"/>
      <c r="E244" s="78"/>
      <c r="F244" s="74"/>
      <c r="G244" s="513"/>
      <c r="H244" s="506" t="s">
        <v>171</v>
      </c>
      <c r="I244" s="69" t="s">
        <v>46</v>
      </c>
      <c r="J244" s="515" t="s">
        <v>697</v>
      </c>
      <c r="K244" s="71">
        <v>2201062</v>
      </c>
      <c r="L244" s="515" t="s">
        <v>173</v>
      </c>
      <c r="M244" s="69" t="s">
        <v>46</v>
      </c>
      <c r="N244" s="512" t="s">
        <v>174</v>
      </c>
      <c r="O244" s="71">
        <v>220106200</v>
      </c>
      <c r="P244" s="512" t="s">
        <v>698</v>
      </c>
      <c r="Q244" s="513" t="s">
        <v>67</v>
      </c>
      <c r="R244" s="71">
        <v>15</v>
      </c>
      <c r="S244" s="970"/>
      <c r="T244" s="966"/>
      <c r="U244" s="950"/>
      <c r="V244" s="135"/>
      <c r="W244" s="135"/>
      <c r="X244" s="135"/>
      <c r="Y244" s="135"/>
      <c r="Z244" s="135"/>
      <c r="AA244" s="240"/>
      <c r="AB244" s="135"/>
      <c r="AC244" s="135"/>
      <c r="AD244" s="241"/>
      <c r="AE244" s="135"/>
      <c r="AF244" s="145">
        <f>30000000+100000000</f>
        <v>130000000</v>
      </c>
      <c r="AG244" s="135"/>
      <c r="AH244" s="135"/>
      <c r="AI244" s="135"/>
      <c r="AJ244" s="313">
        <f t="shared" si="101"/>
        <v>130000000</v>
      </c>
      <c r="AK244" s="313" t="s">
        <v>679</v>
      </c>
      <c r="AL244" s="60" t="s">
        <v>680</v>
      </c>
      <c r="AM244" s="7"/>
    </row>
    <row r="245" spans="1:39" ht="102.6" customHeight="1" x14ac:dyDescent="0.2">
      <c r="A245" s="130"/>
      <c r="B245" s="78"/>
      <c r="C245" s="78"/>
      <c r="D245" s="78"/>
      <c r="E245" s="78"/>
      <c r="F245" s="74"/>
      <c r="G245" s="198"/>
      <c r="H245" s="506" t="s">
        <v>699</v>
      </c>
      <c r="I245" s="71">
        <v>2201063</v>
      </c>
      <c r="J245" s="515" t="s">
        <v>700</v>
      </c>
      <c r="K245" s="71">
        <v>2201063</v>
      </c>
      <c r="L245" s="515" t="s">
        <v>700</v>
      </c>
      <c r="M245" s="77">
        <v>220106300</v>
      </c>
      <c r="N245" s="512" t="s">
        <v>701</v>
      </c>
      <c r="O245" s="77">
        <v>220106300</v>
      </c>
      <c r="P245" s="512" t="s">
        <v>701</v>
      </c>
      <c r="Q245" s="178" t="s">
        <v>67</v>
      </c>
      <c r="R245" s="112">
        <v>2</v>
      </c>
      <c r="S245" s="970"/>
      <c r="T245" s="966"/>
      <c r="U245" s="950"/>
      <c r="V245" s="135"/>
      <c r="W245" s="135"/>
      <c r="X245" s="135"/>
      <c r="Y245" s="135"/>
      <c r="Z245" s="135"/>
      <c r="AA245" s="240"/>
      <c r="AB245" s="135"/>
      <c r="AC245" s="135"/>
      <c r="AD245" s="241"/>
      <c r="AE245" s="135"/>
      <c r="AF245" s="195">
        <v>30000000</v>
      </c>
      <c r="AG245" s="135"/>
      <c r="AH245" s="135"/>
      <c r="AI245" s="135"/>
      <c r="AJ245" s="313">
        <f t="shared" si="101"/>
        <v>30000000</v>
      </c>
      <c r="AK245" s="313" t="s">
        <v>679</v>
      </c>
      <c r="AL245" s="60" t="s">
        <v>680</v>
      </c>
      <c r="AM245" s="7"/>
    </row>
    <row r="246" spans="1:39" ht="102.6" customHeight="1" x14ac:dyDescent="0.2">
      <c r="A246" s="130"/>
      <c r="B246" s="78"/>
      <c r="C246" s="78"/>
      <c r="D246" s="78"/>
      <c r="E246" s="78"/>
      <c r="F246" s="74"/>
      <c r="G246" s="198"/>
      <c r="H246" s="506" t="s">
        <v>699</v>
      </c>
      <c r="I246" s="71">
        <v>2201069</v>
      </c>
      <c r="J246" s="515" t="s">
        <v>702</v>
      </c>
      <c r="K246" s="71">
        <v>2201069</v>
      </c>
      <c r="L246" s="515" t="s">
        <v>702</v>
      </c>
      <c r="M246" s="77">
        <v>220106900</v>
      </c>
      <c r="N246" s="512" t="s">
        <v>703</v>
      </c>
      <c r="O246" s="77">
        <v>220106900</v>
      </c>
      <c r="P246" s="512" t="s">
        <v>703</v>
      </c>
      <c r="Q246" s="178" t="s">
        <v>67</v>
      </c>
      <c r="R246" s="112">
        <v>3</v>
      </c>
      <c r="S246" s="970"/>
      <c r="T246" s="966"/>
      <c r="U246" s="950"/>
      <c r="V246" s="135"/>
      <c r="W246" s="135"/>
      <c r="X246" s="135"/>
      <c r="Y246" s="135"/>
      <c r="Z246" s="135"/>
      <c r="AA246" s="240"/>
      <c r="AB246" s="135">
        <f>37500000+12500000</f>
        <v>50000000</v>
      </c>
      <c r="AC246" s="135"/>
      <c r="AD246" s="241"/>
      <c r="AE246" s="135"/>
      <c r="AF246" s="195">
        <v>20000000</v>
      </c>
      <c r="AG246" s="135"/>
      <c r="AH246" s="135"/>
      <c r="AI246" s="135"/>
      <c r="AJ246" s="313">
        <f t="shared" si="101"/>
        <v>70000000</v>
      </c>
      <c r="AK246" s="313" t="s">
        <v>679</v>
      </c>
      <c r="AL246" s="60" t="s">
        <v>680</v>
      </c>
      <c r="AM246" s="7"/>
    </row>
    <row r="247" spans="1:39" ht="138" customHeight="1" x14ac:dyDescent="0.2">
      <c r="A247" s="130"/>
      <c r="B247" s="78"/>
      <c r="C247" s="78"/>
      <c r="D247" s="78"/>
      <c r="E247" s="78"/>
      <c r="F247" s="74"/>
      <c r="G247" s="198"/>
      <c r="H247" s="506" t="s">
        <v>704</v>
      </c>
      <c r="I247" s="71">
        <v>2201018</v>
      </c>
      <c r="J247" s="515" t="s">
        <v>705</v>
      </c>
      <c r="K247" s="71">
        <v>2201018</v>
      </c>
      <c r="L247" s="515" t="s">
        <v>705</v>
      </c>
      <c r="M247" s="77">
        <v>220101802</v>
      </c>
      <c r="N247" s="512" t="s">
        <v>706</v>
      </c>
      <c r="O247" s="77">
        <v>220101802</v>
      </c>
      <c r="P247" s="512" t="s">
        <v>706</v>
      </c>
      <c r="Q247" s="178" t="s">
        <v>51</v>
      </c>
      <c r="R247" s="112">
        <v>1</v>
      </c>
      <c r="S247" s="970" t="s">
        <v>707</v>
      </c>
      <c r="T247" s="966" t="s">
        <v>708</v>
      </c>
      <c r="U247" s="950" t="s">
        <v>709</v>
      </c>
      <c r="V247" s="135"/>
      <c r="W247" s="135"/>
      <c r="X247" s="135"/>
      <c r="Y247" s="135"/>
      <c r="Z247" s="135"/>
      <c r="AA247" s="240"/>
      <c r="AB247" s="135"/>
      <c r="AC247" s="135"/>
      <c r="AD247" s="241"/>
      <c r="AE247" s="135"/>
      <c r="AF247" s="195">
        <v>6000000</v>
      </c>
      <c r="AG247" s="135"/>
      <c r="AH247" s="135"/>
      <c r="AI247" s="135"/>
      <c r="AJ247" s="313">
        <f t="shared" si="101"/>
        <v>6000000</v>
      </c>
      <c r="AK247" s="313" t="s">
        <v>679</v>
      </c>
      <c r="AL247" s="60" t="s">
        <v>680</v>
      </c>
      <c r="AM247" s="7"/>
    </row>
    <row r="248" spans="1:39" ht="85.5" customHeight="1" x14ac:dyDescent="0.2">
      <c r="A248" s="130"/>
      <c r="B248" s="78"/>
      <c r="C248" s="78"/>
      <c r="D248" s="78"/>
      <c r="E248" s="78"/>
      <c r="F248" s="74"/>
      <c r="G248" s="198"/>
      <c r="H248" s="506" t="s">
        <v>710</v>
      </c>
      <c r="I248" s="71">
        <v>2201037</v>
      </c>
      <c r="J248" s="515" t="s">
        <v>711</v>
      </c>
      <c r="K248" s="71">
        <v>2201037</v>
      </c>
      <c r="L248" s="515" t="s">
        <v>711</v>
      </c>
      <c r="M248" s="237">
        <v>220103700</v>
      </c>
      <c r="N248" s="203" t="s">
        <v>712</v>
      </c>
      <c r="O248" s="237">
        <v>220103700</v>
      </c>
      <c r="P248" s="203" t="s">
        <v>712</v>
      </c>
      <c r="Q248" s="178" t="s">
        <v>51</v>
      </c>
      <c r="R248" s="112">
        <v>54</v>
      </c>
      <c r="S248" s="970"/>
      <c r="T248" s="966"/>
      <c r="U248" s="950"/>
      <c r="V248" s="135"/>
      <c r="W248" s="135"/>
      <c r="X248" s="135"/>
      <c r="Y248" s="135"/>
      <c r="Z248" s="135"/>
      <c r="AA248" s="240"/>
      <c r="AB248" s="135"/>
      <c r="AC248" s="135"/>
      <c r="AD248" s="241"/>
      <c r="AE248" s="135"/>
      <c r="AF248" s="195">
        <v>10000000</v>
      </c>
      <c r="AG248" s="135"/>
      <c r="AH248" s="135"/>
      <c r="AI248" s="135"/>
      <c r="AJ248" s="313">
        <f t="shared" si="101"/>
        <v>10000000</v>
      </c>
      <c r="AK248" s="313" t="s">
        <v>679</v>
      </c>
      <c r="AL248" s="60" t="s">
        <v>680</v>
      </c>
      <c r="AM248" s="7"/>
    </row>
    <row r="249" spans="1:39" ht="218.25" customHeight="1" x14ac:dyDescent="0.2">
      <c r="A249" s="130"/>
      <c r="B249" s="78"/>
      <c r="C249" s="78"/>
      <c r="D249" s="78"/>
      <c r="E249" s="78"/>
      <c r="F249" s="74"/>
      <c r="G249" s="198"/>
      <c r="H249" s="506" t="s">
        <v>713</v>
      </c>
      <c r="I249" s="69">
        <v>2201007</v>
      </c>
      <c r="J249" s="515" t="s">
        <v>714</v>
      </c>
      <c r="K249" s="71">
        <v>2201073</v>
      </c>
      <c r="L249" s="515" t="s">
        <v>714</v>
      </c>
      <c r="M249" s="69">
        <v>220100700</v>
      </c>
      <c r="N249" s="505" t="s">
        <v>715</v>
      </c>
      <c r="O249" s="77">
        <v>220107300</v>
      </c>
      <c r="P249" s="505" t="s">
        <v>715</v>
      </c>
      <c r="Q249" s="178" t="s">
        <v>67</v>
      </c>
      <c r="R249" s="112">
        <v>7774</v>
      </c>
      <c r="S249" s="970" t="s">
        <v>716</v>
      </c>
      <c r="T249" s="967" t="s">
        <v>717</v>
      </c>
      <c r="U249" s="967" t="s">
        <v>718</v>
      </c>
      <c r="V249" s="135"/>
      <c r="W249" s="135"/>
      <c r="X249" s="135"/>
      <c r="Y249" s="135"/>
      <c r="Z249" s="135"/>
      <c r="AA249" s="240"/>
      <c r="AB249" s="135">
        <v>13838656.48</v>
      </c>
      <c r="AC249" s="135"/>
      <c r="AD249" s="241"/>
      <c r="AE249" s="135"/>
      <c r="AF249" s="195">
        <v>19999999.989999998</v>
      </c>
      <c r="AG249" s="135"/>
      <c r="AH249" s="135"/>
      <c r="AI249" s="135"/>
      <c r="AJ249" s="313">
        <f t="shared" si="101"/>
        <v>33838656.469999999</v>
      </c>
      <c r="AK249" s="313" t="s">
        <v>679</v>
      </c>
      <c r="AL249" s="60" t="s">
        <v>680</v>
      </c>
      <c r="AM249" s="7"/>
    </row>
    <row r="250" spans="1:39" s="3" customFormat="1" ht="138.75" customHeight="1" x14ac:dyDescent="0.2">
      <c r="A250" s="56"/>
      <c r="B250" s="96"/>
      <c r="C250" s="96"/>
      <c r="D250" s="96"/>
      <c r="E250" s="96"/>
      <c r="F250" s="99"/>
      <c r="G250" s="102"/>
      <c r="H250" s="515" t="s">
        <v>719</v>
      </c>
      <c r="I250" s="71">
        <v>2201068</v>
      </c>
      <c r="J250" s="515" t="s">
        <v>295</v>
      </c>
      <c r="K250" s="71">
        <v>2201068</v>
      </c>
      <c r="L250" s="515" t="s">
        <v>295</v>
      </c>
      <c r="M250" s="237">
        <v>220106800</v>
      </c>
      <c r="N250" s="203" t="s">
        <v>296</v>
      </c>
      <c r="O250" s="237">
        <v>220106800</v>
      </c>
      <c r="P250" s="203" t="s">
        <v>296</v>
      </c>
      <c r="Q250" s="514" t="s">
        <v>67</v>
      </c>
      <c r="R250" s="69">
        <v>70</v>
      </c>
      <c r="S250" s="970"/>
      <c r="T250" s="967"/>
      <c r="U250" s="967"/>
      <c r="V250" s="135"/>
      <c r="W250" s="135"/>
      <c r="X250" s="135">
        <v>0</v>
      </c>
      <c r="Y250" s="135">
        <v>0</v>
      </c>
      <c r="Z250" s="135">
        <v>0</v>
      </c>
      <c r="AA250" s="240">
        <v>0</v>
      </c>
      <c r="AB250" s="135">
        <v>0</v>
      </c>
      <c r="AC250" s="135">
        <v>0</v>
      </c>
      <c r="AD250" s="241">
        <v>0</v>
      </c>
      <c r="AE250" s="135">
        <v>0</v>
      </c>
      <c r="AF250" s="145">
        <v>18000000</v>
      </c>
      <c r="AG250" s="135">
        <v>0</v>
      </c>
      <c r="AH250" s="135">
        <v>0</v>
      </c>
      <c r="AI250" s="135"/>
      <c r="AJ250" s="313">
        <f t="shared" si="101"/>
        <v>18000000</v>
      </c>
      <c r="AK250" s="313" t="s">
        <v>679</v>
      </c>
      <c r="AL250" s="205" t="s">
        <v>680</v>
      </c>
      <c r="AM250" s="7"/>
    </row>
    <row r="251" spans="1:39" ht="74.25" customHeight="1" x14ac:dyDescent="0.2">
      <c r="A251" s="130"/>
      <c r="B251" s="78"/>
      <c r="C251" s="78"/>
      <c r="D251" s="78"/>
      <c r="E251" s="78"/>
      <c r="F251" s="74"/>
      <c r="G251" s="513"/>
      <c r="H251" s="506" t="s">
        <v>699</v>
      </c>
      <c r="I251" s="71">
        <v>2201026</v>
      </c>
      <c r="J251" s="515" t="s">
        <v>720</v>
      </c>
      <c r="K251" s="71">
        <v>2201026</v>
      </c>
      <c r="L251" s="515" t="s">
        <v>720</v>
      </c>
      <c r="M251" s="237">
        <v>220102600</v>
      </c>
      <c r="N251" s="512" t="s">
        <v>721</v>
      </c>
      <c r="O251" s="237">
        <v>220102600</v>
      </c>
      <c r="P251" s="512" t="s">
        <v>721</v>
      </c>
      <c r="Q251" s="178" t="s">
        <v>67</v>
      </c>
      <c r="R251" s="112">
        <v>17</v>
      </c>
      <c r="S251" s="970"/>
      <c r="T251" s="967"/>
      <c r="U251" s="967"/>
      <c r="V251" s="135"/>
      <c r="W251" s="135"/>
      <c r="X251" s="135"/>
      <c r="Y251" s="135"/>
      <c r="Z251" s="135"/>
      <c r="AA251" s="240"/>
      <c r="AB251" s="135">
        <f>25000000-23405003</f>
        <v>1594997</v>
      </c>
      <c r="AC251" s="135"/>
      <c r="AD251" s="241"/>
      <c r="AE251" s="135"/>
      <c r="AF251" s="145">
        <v>18000000</v>
      </c>
      <c r="AG251" s="135"/>
      <c r="AH251" s="135"/>
      <c r="AI251" s="135"/>
      <c r="AJ251" s="313">
        <f t="shared" si="101"/>
        <v>19594997</v>
      </c>
      <c r="AK251" s="313" t="s">
        <v>679</v>
      </c>
      <c r="AL251" s="60" t="s">
        <v>680</v>
      </c>
      <c r="AM251" s="7"/>
    </row>
    <row r="252" spans="1:39" ht="116.25" customHeight="1" x14ac:dyDescent="0.2">
      <c r="A252" s="130"/>
      <c r="B252" s="78"/>
      <c r="C252" s="78"/>
      <c r="D252" s="78"/>
      <c r="E252" s="78"/>
      <c r="F252" s="74"/>
      <c r="G252" s="198"/>
      <c r="H252" s="506" t="s">
        <v>713</v>
      </c>
      <c r="I252" s="69">
        <v>2201009</v>
      </c>
      <c r="J252" s="515" t="s">
        <v>722</v>
      </c>
      <c r="K252" s="71">
        <v>2201074</v>
      </c>
      <c r="L252" s="515" t="s">
        <v>722</v>
      </c>
      <c r="M252" s="69">
        <v>220100900</v>
      </c>
      <c r="N252" s="505" t="s">
        <v>723</v>
      </c>
      <c r="O252" s="77">
        <v>220107400</v>
      </c>
      <c r="P252" s="504" t="s">
        <v>724</v>
      </c>
      <c r="Q252" s="178" t="s">
        <v>67</v>
      </c>
      <c r="R252" s="112">
        <v>606</v>
      </c>
      <c r="S252" s="970"/>
      <c r="T252" s="967"/>
      <c r="U252" s="967"/>
      <c r="V252" s="135"/>
      <c r="W252" s="135"/>
      <c r="X252" s="135"/>
      <c r="Y252" s="135"/>
      <c r="Z252" s="135"/>
      <c r="AA252" s="240"/>
      <c r="AB252" s="135"/>
      <c r="AC252" s="135"/>
      <c r="AD252" s="241"/>
      <c r="AE252" s="135"/>
      <c r="AF252" s="195">
        <v>19999999.989999998</v>
      </c>
      <c r="AG252" s="135"/>
      <c r="AH252" s="135"/>
      <c r="AI252" s="135"/>
      <c r="AJ252" s="313">
        <f t="shared" si="101"/>
        <v>19999999.989999998</v>
      </c>
      <c r="AK252" s="313" t="s">
        <v>679</v>
      </c>
      <c r="AL252" s="60" t="s">
        <v>680</v>
      </c>
      <c r="AM252" s="7"/>
    </row>
    <row r="253" spans="1:39" ht="162.75" customHeight="1" x14ac:dyDescent="0.2">
      <c r="A253" s="130"/>
      <c r="B253" s="78"/>
      <c r="C253" s="78"/>
      <c r="D253" s="78"/>
      <c r="E253" s="78"/>
      <c r="F253" s="74"/>
      <c r="G253" s="198"/>
      <c r="H253" s="506" t="s">
        <v>713</v>
      </c>
      <c r="I253" s="69">
        <v>2201010</v>
      </c>
      <c r="J253" s="509" t="s">
        <v>725</v>
      </c>
      <c r="K253" s="69">
        <v>2201074</v>
      </c>
      <c r="L253" s="509" t="s">
        <v>726</v>
      </c>
      <c r="M253" s="69">
        <v>220101000</v>
      </c>
      <c r="N253" s="504" t="s">
        <v>727</v>
      </c>
      <c r="O253" s="72">
        <v>220107400</v>
      </c>
      <c r="P253" s="504" t="s">
        <v>724</v>
      </c>
      <c r="Q253" s="178" t="s">
        <v>51</v>
      </c>
      <c r="R253" s="112">
        <v>94</v>
      </c>
      <c r="S253" s="970"/>
      <c r="T253" s="967"/>
      <c r="U253" s="967"/>
      <c r="V253" s="135"/>
      <c r="W253" s="135"/>
      <c r="X253" s="135"/>
      <c r="Y253" s="135"/>
      <c r="Z253" s="135"/>
      <c r="AA253" s="240"/>
      <c r="AB253" s="135"/>
      <c r="AC253" s="135"/>
      <c r="AD253" s="241"/>
      <c r="AE253" s="135"/>
      <c r="AF253" s="195">
        <v>20000000</v>
      </c>
      <c r="AG253" s="135"/>
      <c r="AH253" s="135"/>
      <c r="AI253" s="135"/>
      <c r="AJ253" s="313">
        <f t="shared" si="101"/>
        <v>20000000</v>
      </c>
      <c r="AK253" s="313" t="s">
        <v>679</v>
      </c>
      <c r="AL253" s="60" t="s">
        <v>680</v>
      </c>
      <c r="AM253" s="7"/>
    </row>
    <row r="254" spans="1:39" ht="65.25" customHeight="1" x14ac:dyDescent="0.2">
      <c r="A254" s="130"/>
      <c r="B254" s="78"/>
      <c r="C254" s="78"/>
      <c r="D254" s="78"/>
      <c r="E254" s="78"/>
      <c r="F254" s="74"/>
      <c r="G254" s="198"/>
      <c r="H254" s="506" t="s">
        <v>728</v>
      </c>
      <c r="I254" s="71">
        <v>2201035</v>
      </c>
      <c r="J254" s="506" t="s">
        <v>729</v>
      </c>
      <c r="K254" s="71">
        <v>2201035</v>
      </c>
      <c r="L254" s="506" t="s">
        <v>729</v>
      </c>
      <c r="M254" s="72">
        <v>220103500</v>
      </c>
      <c r="N254" s="505" t="s">
        <v>730</v>
      </c>
      <c r="O254" s="72">
        <v>220103500</v>
      </c>
      <c r="P254" s="505" t="s">
        <v>730</v>
      </c>
      <c r="Q254" s="178" t="s">
        <v>67</v>
      </c>
      <c r="R254" s="112">
        <v>8</v>
      </c>
      <c r="S254" s="970"/>
      <c r="T254" s="967"/>
      <c r="U254" s="967"/>
      <c r="V254" s="135"/>
      <c r="W254" s="135"/>
      <c r="X254" s="135"/>
      <c r="Y254" s="135"/>
      <c r="Z254" s="135"/>
      <c r="AA254" s="240"/>
      <c r="AB254" s="135"/>
      <c r="AC254" s="135"/>
      <c r="AD254" s="241"/>
      <c r="AE254" s="135"/>
      <c r="AF254" s="195">
        <v>10000000</v>
      </c>
      <c r="AG254" s="135"/>
      <c r="AH254" s="135"/>
      <c r="AI254" s="135"/>
      <c r="AJ254" s="313">
        <f t="shared" si="101"/>
        <v>10000000</v>
      </c>
      <c r="AK254" s="313" t="s">
        <v>679</v>
      </c>
      <c r="AL254" s="60" t="s">
        <v>680</v>
      </c>
      <c r="AM254" s="7"/>
    </row>
    <row r="255" spans="1:39" ht="121.5" customHeight="1" x14ac:dyDescent="0.2">
      <c r="A255" s="130"/>
      <c r="B255" s="78"/>
      <c r="C255" s="78"/>
      <c r="D255" s="78"/>
      <c r="E255" s="78"/>
      <c r="F255" s="74"/>
      <c r="G255" s="513"/>
      <c r="H255" s="506" t="s">
        <v>690</v>
      </c>
      <c r="I255" s="71">
        <v>2201046</v>
      </c>
      <c r="J255" s="506" t="s">
        <v>731</v>
      </c>
      <c r="K255" s="71">
        <v>2201046</v>
      </c>
      <c r="L255" s="506" t="s">
        <v>731</v>
      </c>
      <c r="M255" s="210">
        <v>220104602</v>
      </c>
      <c r="N255" s="505" t="s">
        <v>732</v>
      </c>
      <c r="O255" s="210">
        <v>220104602</v>
      </c>
      <c r="P255" s="505" t="s">
        <v>732</v>
      </c>
      <c r="Q255" s="178" t="s">
        <v>67</v>
      </c>
      <c r="R255" s="112">
        <v>13</v>
      </c>
      <c r="S255" s="970"/>
      <c r="T255" s="967"/>
      <c r="U255" s="967"/>
      <c r="V255" s="135"/>
      <c r="W255" s="135"/>
      <c r="X255" s="135"/>
      <c r="Y255" s="313"/>
      <c r="Z255" s="135"/>
      <c r="AA255" s="240"/>
      <c r="AB255" s="135"/>
      <c r="AC255" s="135"/>
      <c r="AD255" s="241"/>
      <c r="AE255" s="135"/>
      <c r="AF255" s="145">
        <v>10000000.01</v>
      </c>
      <c r="AG255" s="135"/>
      <c r="AH255" s="135"/>
      <c r="AI255" s="135"/>
      <c r="AJ255" s="313">
        <f t="shared" si="101"/>
        <v>10000000.01</v>
      </c>
      <c r="AK255" s="313" t="s">
        <v>679</v>
      </c>
      <c r="AL255" s="60" t="s">
        <v>680</v>
      </c>
      <c r="AM255" s="7"/>
    </row>
    <row r="256" spans="1:39" ht="118.5" customHeight="1" x14ac:dyDescent="0.2">
      <c r="A256" s="130"/>
      <c r="B256" s="78"/>
      <c r="C256" s="78"/>
      <c r="D256" s="78"/>
      <c r="E256" s="78"/>
      <c r="F256" s="74"/>
      <c r="G256" s="198"/>
      <c r="H256" s="506" t="s">
        <v>690</v>
      </c>
      <c r="I256" s="71">
        <v>2201054</v>
      </c>
      <c r="J256" s="506" t="s">
        <v>733</v>
      </c>
      <c r="K256" s="71">
        <v>2201054</v>
      </c>
      <c r="L256" s="506" t="s">
        <v>733</v>
      </c>
      <c r="M256" s="72">
        <v>220105400</v>
      </c>
      <c r="N256" s="505" t="s">
        <v>734</v>
      </c>
      <c r="O256" s="72">
        <v>220105400</v>
      </c>
      <c r="P256" s="505" t="s">
        <v>734</v>
      </c>
      <c r="Q256" s="178" t="s">
        <v>51</v>
      </c>
      <c r="R256" s="112">
        <v>11</v>
      </c>
      <c r="S256" s="970"/>
      <c r="T256" s="967"/>
      <c r="U256" s="967"/>
      <c r="V256" s="135"/>
      <c r="W256" s="135"/>
      <c r="X256" s="135"/>
      <c r="Y256" s="135"/>
      <c r="Z256" s="135"/>
      <c r="AA256" s="240"/>
      <c r="AB256" s="135"/>
      <c r="AC256" s="135"/>
      <c r="AD256" s="241"/>
      <c r="AE256" s="135"/>
      <c r="AF256" s="195">
        <v>10000000.01</v>
      </c>
      <c r="AG256" s="135"/>
      <c r="AH256" s="135"/>
      <c r="AI256" s="135"/>
      <c r="AJ256" s="313">
        <f t="shared" si="101"/>
        <v>10000000.01</v>
      </c>
      <c r="AK256" s="313" t="s">
        <v>679</v>
      </c>
      <c r="AL256" s="60" t="s">
        <v>680</v>
      </c>
      <c r="AM256" s="7"/>
    </row>
    <row r="257" spans="1:39" ht="102.6" customHeight="1" x14ac:dyDescent="0.2">
      <c r="A257" s="130"/>
      <c r="B257" s="78"/>
      <c r="C257" s="78"/>
      <c r="D257" s="78"/>
      <c r="E257" s="78"/>
      <c r="F257" s="74"/>
      <c r="G257" s="198"/>
      <c r="H257" s="506" t="s">
        <v>687</v>
      </c>
      <c r="I257" s="71">
        <v>2201061</v>
      </c>
      <c r="J257" s="506" t="s">
        <v>735</v>
      </c>
      <c r="K257" s="71">
        <v>2201061</v>
      </c>
      <c r="L257" s="506" t="s">
        <v>735</v>
      </c>
      <c r="M257" s="72">
        <v>220106102</v>
      </c>
      <c r="N257" s="505" t="s">
        <v>736</v>
      </c>
      <c r="O257" s="72">
        <v>220106102</v>
      </c>
      <c r="P257" s="505" t="s">
        <v>736</v>
      </c>
      <c r="Q257" s="178" t="s">
        <v>67</v>
      </c>
      <c r="R257" s="112">
        <v>12</v>
      </c>
      <c r="S257" s="970"/>
      <c r="T257" s="967"/>
      <c r="U257" s="967"/>
      <c r="V257" s="135"/>
      <c r="W257" s="135"/>
      <c r="X257" s="135"/>
      <c r="Y257" s="135"/>
      <c r="Z257" s="135"/>
      <c r="AA257" s="240"/>
      <c r="AB257" s="135"/>
      <c r="AC257" s="135"/>
      <c r="AD257" s="241"/>
      <c r="AE257" s="135"/>
      <c r="AF257" s="195">
        <v>10000000</v>
      </c>
      <c r="AG257" s="135"/>
      <c r="AH257" s="135"/>
      <c r="AI257" s="135"/>
      <c r="AJ257" s="313">
        <f t="shared" si="101"/>
        <v>10000000</v>
      </c>
      <c r="AK257" s="313" t="s">
        <v>679</v>
      </c>
      <c r="AL257" s="60" t="s">
        <v>680</v>
      </c>
      <c r="AM257" s="7"/>
    </row>
    <row r="258" spans="1:39" ht="102.6" customHeight="1" x14ac:dyDescent="0.2">
      <c r="A258" s="130"/>
      <c r="B258" s="78"/>
      <c r="C258" s="78"/>
      <c r="D258" s="78"/>
      <c r="E258" s="78"/>
      <c r="F258" s="74"/>
      <c r="G258" s="198"/>
      <c r="H258" s="506" t="s">
        <v>687</v>
      </c>
      <c r="I258" s="71">
        <v>2201066</v>
      </c>
      <c r="J258" s="506" t="s">
        <v>737</v>
      </c>
      <c r="K258" s="71">
        <v>2201066</v>
      </c>
      <c r="L258" s="506" t="s">
        <v>737</v>
      </c>
      <c r="M258" s="72">
        <v>220106600</v>
      </c>
      <c r="N258" s="505" t="s">
        <v>738</v>
      </c>
      <c r="O258" s="72">
        <v>220106600</v>
      </c>
      <c r="P258" s="505" t="s">
        <v>738</v>
      </c>
      <c r="Q258" s="178" t="s">
        <v>67</v>
      </c>
      <c r="R258" s="112">
        <v>10000</v>
      </c>
      <c r="S258" s="970"/>
      <c r="T258" s="967"/>
      <c r="U258" s="967"/>
      <c r="V258" s="135"/>
      <c r="W258" s="135"/>
      <c r="X258" s="135"/>
      <c r="Y258" s="135"/>
      <c r="Z258" s="135"/>
      <c r="AA258" s="240"/>
      <c r="AB258" s="135"/>
      <c r="AC258" s="135"/>
      <c r="AD258" s="241"/>
      <c r="AE258" s="135"/>
      <c r="AF258" s="195">
        <v>10000000</v>
      </c>
      <c r="AG258" s="135"/>
      <c r="AH258" s="135"/>
      <c r="AI258" s="135"/>
      <c r="AJ258" s="313">
        <f t="shared" si="101"/>
        <v>10000000</v>
      </c>
      <c r="AK258" s="313" t="s">
        <v>679</v>
      </c>
      <c r="AL258" s="60" t="s">
        <v>680</v>
      </c>
      <c r="AM258" s="7"/>
    </row>
    <row r="259" spans="1:39" ht="128.25" customHeight="1" x14ac:dyDescent="0.2">
      <c r="A259" s="130"/>
      <c r="B259" s="78"/>
      <c r="C259" s="78"/>
      <c r="D259" s="78"/>
      <c r="E259" s="78"/>
      <c r="F259" s="74"/>
      <c r="G259" s="513"/>
      <c r="H259" s="506" t="s">
        <v>739</v>
      </c>
      <c r="I259" s="69">
        <v>2201006</v>
      </c>
      <c r="J259" s="515" t="s">
        <v>740</v>
      </c>
      <c r="K259" s="69">
        <v>2201006</v>
      </c>
      <c r="L259" s="515" t="s">
        <v>740</v>
      </c>
      <c r="M259" s="237">
        <v>220100600</v>
      </c>
      <c r="N259" s="203" t="s">
        <v>741</v>
      </c>
      <c r="O259" s="237">
        <v>220100600</v>
      </c>
      <c r="P259" s="203" t="s">
        <v>741</v>
      </c>
      <c r="Q259" s="242" t="s">
        <v>51</v>
      </c>
      <c r="R259" s="112">
        <v>54</v>
      </c>
      <c r="S259" s="976" t="s">
        <v>742</v>
      </c>
      <c r="T259" s="950" t="s">
        <v>743</v>
      </c>
      <c r="U259" s="950" t="s">
        <v>744</v>
      </c>
      <c r="V259" s="135"/>
      <c r="W259" s="135"/>
      <c r="X259" s="135"/>
      <c r="Y259" s="135"/>
      <c r="Z259" s="135"/>
      <c r="AA259" s="240"/>
      <c r="AB259" s="320"/>
      <c r="AC259" s="135"/>
      <c r="AD259" s="241"/>
      <c r="AE259" s="135"/>
      <c r="AF259" s="195">
        <f>10000000.95+180000000</f>
        <v>190000000.94999999</v>
      </c>
      <c r="AG259" s="135"/>
      <c r="AH259" s="135"/>
      <c r="AI259" s="135"/>
      <c r="AJ259" s="313">
        <f t="shared" si="101"/>
        <v>190000000.94999999</v>
      </c>
      <c r="AK259" s="313" t="s">
        <v>679</v>
      </c>
      <c r="AL259" s="60" t="s">
        <v>680</v>
      </c>
      <c r="AM259" s="7"/>
    </row>
    <row r="260" spans="1:39" ht="150" customHeight="1" x14ac:dyDescent="0.2">
      <c r="A260" s="130"/>
      <c r="B260" s="78"/>
      <c r="C260" s="78"/>
      <c r="D260" s="78"/>
      <c r="E260" s="78"/>
      <c r="F260" s="74"/>
      <c r="G260" s="198"/>
      <c r="H260" s="506" t="s">
        <v>739</v>
      </c>
      <c r="I260" s="69">
        <v>2201015</v>
      </c>
      <c r="J260" s="515" t="s">
        <v>745</v>
      </c>
      <c r="K260" s="69">
        <v>2201015</v>
      </c>
      <c r="L260" s="515" t="s">
        <v>745</v>
      </c>
      <c r="M260" s="77">
        <v>220101500</v>
      </c>
      <c r="N260" s="512" t="s">
        <v>746</v>
      </c>
      <c r="O260" s="77">
        <v>220101500</v>
      </c>
      <c r="P260" s="512" t="s">
        <v>746</v>
      </c>
      <c r="Q260" s="178" t="s">
        <v>51</v>
      </c>
      <c r="R260" s="202">
        <v>11</v>
      </c>
      <c r="S260" s="976"/>
      <c r="T260" s="950"/>
      <c r="U260" s="950"/>
      <c r="V260" s="135"/>
      <c r="W260" s="135"/>
      <c r="X260" s="135"/>
      <c r="Y260" s="135"/>
      <c r="Z260" s="135"/>
      <c r="AA260" s="240"/>
      <c r="AB260" s="135"/>
      <c r="AC260" s="135"/>
      <c r="AD260" s="241"/>
      <c r="AE260" s="135"/>
      <c r="AF260" s="195">
        <v>12000000</v>
      </c>
      <c r="AG260" s="135"/>
      <c r="AH260" s="135"/>
      <c r="AI260" s="135"/>
      <c r="AJ260" s="313">
        <f t="shared" si="101"/>
        <v>12000000</v>
      </c>
      <c r="AK260" s="313" t="s">
        <v>679</v>
      </c>
      <c r="AL260" s="60" t="s">
        <v>680</v>
      </c>
      <c r="AM260" s="7"/>
    </row>
    <row r="261" spans="1:39" ht="154.5" customHeight="1" x14ac:dyDescent="0.2">
      <c r="A261" s="130"/>
      <c r="B261" s="78"/>
      <c r="C261" s="78"/>
      <c r="D261" s="78"/>
      <c r="E261" s="78"/>
      <c r="F261" s="74"/>
      <c r="G261" s="198"/>
      <c r="H261" s="506" t="s">
        <v>690</v>
      </c>
      <c r="I261" s="69">
        <v>2201042</v>
      </c>
      <c r="J261" s="515" t="s">
        <v>747</v>
      </c>
      <c r="K261" s="69">
        <v>2201042</v>
      </c>
      <c r="L261" s="515" t="s">
        <v>747</v>
      </c>
      <c r="M261" s="77">
        <v>220104200</v>
      </c>
      <c r="N261" s="512" t="s">
        <v>748</v>
      </c>
      <c r="O261" s="77">
        <v>220104200</v>
      </c>
      <c r="P261" s="512" t="s">
        <v>748</v>
      </c>
      <c r="Q261" s="178" t="s">
        <v>67</v>
      </c>
      <c r="R261" s="112">
        <v>6000</v>
      </c>
      <c r="S261" s="976"/>
      <c r="T261" s="950"/>
      <c r="U261" s="950"/>
      <c r="V261" s="135"/>
      <c r="W261" s="135"/>
      <c r="X261" s="135"/>
      <c r="Y261" s="135"/>
      <c r="Z261" s="135"/>
      <c r="AA261" s="240"/>
      <c r="AB261" s="135"/>
      <c r="AC261" s="135"/>
      <c r="AD261" s="241"/>
      <c r="AE261" s="135"/>
      <c r="AF261" s="145">
        <v>10000000.01</v>
      </c>
      <c r="AG261" s="135"/>
      <c r="AH261" s="135"/>
      <c r="AI261" s="135"/>
      <c r="AJ261" s="313">
        <f t="shared" si="101"/>
        <v>10000000.01</v>
      </c>
      <c r="AK261" s="313" t="s">
        <v>679</v>
      </c>
      <c r="AL261" s="60" t="s">
        <v>680</v>
      </c>
      <c r="AM261" s="7"/>
    </row>
    <row r="262" spans="1:39" s="37" customFormat="1" ht="111.75" customHeight="1" x14ac:dyDescent="0.2">
      <c r="A262" s="311"/>
      <c r="B262" s="70"/>
      <c r="C262" s="70"/>
      <c r="D262" s="70"/>
      <c r="E262" s="70"/>
      <c r="F262" s="312"/>
      <c r="G262" s="514"/>
      <c r="H262" s="509" t="s">
        <v>749</v>
      </c>
      <c r="I262" s="69">
        <v>2201071</v>
      </c>
      <c r="J262" s="86" t="s">
        <v>750</v>
      </c>
      <c r="K262" s="69">
        <v>2201071</v>
      </c>
      <c r="L262" s="86" t="s">
        <v>750</v>
      </c>
      <c r="M262" s="210">
        <v>220107100</v>
      </c>
      <c r="N262" s="504" t="s">
        <v>751</v>
      </c>
      <c r="O262" s="210">
        <v>220107100</v>
      </c>
      <c r="P262" s="504" t="s">
        <v>751</v>
      </c>
      <c r="Q262" s="232" t="s">
        <v>51</v>
      </c>
      <c r="R262" s="232">
        <v>54</v>
      </c>
      <c r="S262" s="976"/>
      <c r="T262" s="950"/>
      <c r="U262" s="950"/>
      <c r="V262" s="318"/>
      <c r="W262" s="318"/>
      <c r="X262" s="318"/>
      <c r="Y262" s="318">
        <v>1573920278.6600001</v>
      </c>
      <c r="Z262" s="318"/>
      <c r="AA262" s="319"/>
      <c r="AB262" s="320">
        <f>141320000000+3120000+207017358.94</f>
        <v>141530137358.94</v>
      </c>
      <c r="AC262" s="321">
        <v>25145000000</v>
      </c>
      <c r="AD262" s="322"/>
      <c r="AE262" s="318"/>
      <c r="AF262" s="195">
        <f>1195000000-7500000-252675151-30000000+985822393+2000000000+209925998.22-180000000</f>
        <v>3920573240.2199998</v>
      </c>
      <c r="AG262" s="318"/>
      <c r="AH262" s="318">
        <v>1792032472.8499999</v>
      </c>
      <c r="AI262" s="318"/>
      <c r="AJ262" s="313">
        <f t="shared" si="101"/>
        <v>173961663350.67001</v>
      </c>
      <c r="AK262" s="313" t="s">
        <v>679</v>
      </c>
      <c r="AL262" s="315" t="s">
        <v>680</v>
      </c>
      <c r="AM262" s="7"/>
    </row>
    <row r="263" spans="1:39" ht="168" customHeight="1" x14ac:dyDescent="0.2">
      <c r="A263" s="130"/>
      <c r="B263" s="78"/>
      <c r="C263" s="78"/>
      <c r="D263" s="78"/>
      <c r="E263" s="78"/>
      <c r="F263" s="74"/>
      <c r="G263" s="198"/>
      <c r="H263" s="506" t="s">
        <v>690</v>
      </c>
      <c r="I263" s="71">
        <v>2201050</v>
      </c>
      <c r="J263" s="515" t="s">
        <v>752</v>
      </c>
      <c r="K263" s="71">
        <v>2201050</v>
      </c>
      <c r="L263" s="515" t="s">
        <v>752</v>
      </c>
      <c r="M263" s="77">
        <v>220105000</v>
      </c>
      <c r="N263" s="512" t="s">
        <v>753</v>
      </c>
      <c r="O263" s="77">
        <v>220105000</v>
      </c>
      <c r="P263" s="512" t="s">
        <v>753</v>
      </c>
      <c r="Q263" s="178" t="s">
        <v>67</v>
      </c>
      <c r="R263" s="112">
        <v>8000</v>
      </c>
      <c r="S263" s="970" t="s">
        <v>754</v>
      </c>
      <c r="T263" s="968" t="s">
        <v>755</v>
      </c>
      <c r="U263" s="963" t="s">
        <v>756</v>
      </c>
      <c r="V263" s="135"/>
      <c r="W263" s="135"/>
      <c r="X263" s="135"/>
      <c r="Y263" s="135"/>
      <c r="Z263" s="135"/>
      <c r="AA263" s="240"/>
      <c r="AB263" s="311"/>
      <c r="AC263" s="135"/>
      <c r="AD263" s="241"/>
      <c r="AE263" s="135"/>
      <c r="AF263" s="195">
        <v>10000000.01</v>
      </c>
      <c r="AG263" s="135"/>
      <c r="AH263" s="135"/>
      <c r="AI263" s="135"/>
      <c r="AJ263" s="313">
        <f t="shared" si="101"/>
        <v>10000000.01</v>
      </c>
      <c r="AK263" s="313" t="s">
        <v>679</v>
      </c>
      <c r="AL263" s="60" t="s">
        <v>680</v>
      </c>
      <c r="AM263" s="7"/>
    </row>
    <row r="264" spans="1:39" ht="135" customHeight="1" x14ac:dyDescent="0.2">
      <c r="A264" s="130"/>
      <c r="B264" s="78"/>
      <c r="C264" s="78"/>
      <c r="D264" s="78"/>
      <c r="E264" s="78"/>
      <c r="F264" s="74"/>
      <c r="G264" s="198"/>
      <c r="H264" s="506" t="s">
        <v>690</v>
      </c>
      <c r="I264" s="71">
        <v>2201050</v>
      </c>
      <c r="J264" s="515" t="s">
        <v>752</v>
      </c>
      <c r="K264" s="71">
        <v>2201050</v>
      </c>
      <c r="L264" s="515" t="s">
        <v>752</v>
      </c>
      <c r="M264" s="237">
        <v>220105001</v>
      </c>
      <c r="N264" s="203" t="s">
        <v>757</v>
      </c>
      <c r="O264" s="237">
        <v>220105001</v>
      </c>
      <c r="P264" s="203" t="s">
        <v>757</v>
      </c>
      <c r="Q264" s="178" t="s">
        <v>51</v>
      </c>
      <c r="R264" s="112">
        <v>150</v>
      </c>
      <c r="S264" s="970"/>
      <c r="T264" s="968"/>
      <c r="U264" s="963"/>
      <c r="V264" s="135"/>
      <c r="W264" s="135"/>
      <c r="X264" s="135"/>
      <c r="Y264" s="135"/>
      <c r="Z264" s="135"/>
      <c r="AA264" s="240"/>
      <c r="AB264" s="135">
        <f>749000000-157054393</f>
        <v>591945607</v>
      </c>
      <c r="AC264" s="135">
        <v>0</v>
      </c>
      <c r="AD264" s="241">
        <v>0</v>
      </c>
      <c r="AE264" s="135">
        <v>0</v>
      </c>
      <c r="AF264" s="135">
        <v>0</v>
      </c>
      <c r="AG264" s="135">
        <v>0</v>
      </c>
      <c r="AH264" s="135">
        <v>0</v>
      </c>
      <c r="AI264" s="135"/>
      <c r="AJ264" s="313">
        <f t="shared" si="101"/>
        <v>591945607</v>
      </c>
      <c r="AK264" s="313" t="s">
        <v>679</v>
      </c>
      <c r="AL264" s="60" t="s">
        <v>680</v>
      </c>
      <c r="AM264" s="7"/>
    </row>
    <row r="265" spans="1:39" ht="120.75" customHeight="1" x14ac:dyDescent="0.2">
      <c r="A265" s="130"/>
      <c r="B265" s="78"/>
      <c r="C265" s="78"/>
      <c r="D265" s="78"/>
      <c r="E265" s="78"/>
      <c r="F265" s="74"/>
      <c r="G265" s="198"/>
      <c r="H265" s="506" t="s">
        <v>699</v>
      </c>
      <c r="I265" s="69" t="s">
        <v>46</v>
      </c>
      <c r="J265" s="515" t="s">
        <v>758</v>
      </c>
      <c r="K265" s="71">
        <v>2201001</v>
      </c>
      <c r="L265" s="515" t="s">
        <v>248</v>
      </c>
      <c r="M265" s="69" t="s">
        <v>46</v>
      </c>
      <c r="N265" s="505" t="s">
        <v>759</v>
      </c>
      <c r="O265" s="77">
        <v>220100100</v>
      </c>
      <c r="P265" s="505" t="s">
        <v>760</v>
      </c>
      <c r="Q265" s="112" t="s">
        <v>51</v>
      </c>
      <c r="R265" s="112">
        <v>2</v>
      </c>
      <c r="S265" s="970"/>
      <c r="T265" s="968"/>
      <c r="U265" s="963"/>
      <c r="V265" s="135"/>
      <c r="W265" s="135"/>
      <c r="X265" s="135"/>
      <c r="Y265" s="135"/>
      <c r="Z265" s="135"/>
      <c r="AA265" s="240"/>
      <c r="AB265" s="135"/>
      <c r="AC265" s="135"/>
      <c r="AD265" s="241"/>
      <c r="AE265" s="135"/>
      <c r="AF265" s="195">
        <v>10000000.01</v>
      </c>
      <c r="AG265" s="135"/>
      <c r="AH265" s="135"/>
      <c r="AI265" s="135"/>
      <c r="AJ265" s="313">
        <f t="shared" si="101"/>
        <v>10000000.01</v>
      </c>
      <c r="AK265" s="313" t="s">
        <v>679</v>
      </c>
      <c r="AL265" s="60" t="s">
        <v>680</v>
      </c>
      <c r="AM265" s="7"/>
    </row>
    <row r="266" spans="1:39" ht="114" customHeight="1" x14ac:dyDescent="0.2">
      <c r="A266" s="130"/>
      <c r="B266" s="78"/>
      <c r="C266" s="78"/>
      <c r="D266" s="78"/>
      <c r="E266" s="78"/>
      <c r="F266" s="74"/>
      <c r="G266" s="198"/>
      <c r="H266" s="506" t="s">
        <v>761</v>
      </c>
      <c r="I266" s="71">
        <v>2201034</v>
      </c>
      <c r="J266" s="515" t="s">
        <v>762</v>
      </c>
      <c r="K266" s="71">
        <v>2201034</v>
      </c>
      <c r="L266" s="515" t="s">
        <v>762</v>
      </c>
      <c r="M266" s="237">
        <v>220103400</v>
      </c>
      <c r="N266" s="203" t="s">
        <v>763</v>
      </c>
      <c r="O266" s="237">
        <v>220103400</v>
      </c>
      <c r="P266" s="203" t="s">
        <v>763</v>
      </c>
      <c r="Q266" s="178" t="s">
        <v>67</v>
      </c>
      <c r="R266" s="112">
        <v>5500</v>
      </c>
      <c r="S266" s="970" t="s">
        <v>764</v>
      </c>
      <c r="T266" s="966" t="s">
        <v>765</v>
      </c>
      <c r="U266" s="950" t="s">
        <v>766</v>
      </c>
      <c r="V266" s="135"/>
      <c r="W266" s="135"/>
      <c r="X266" s="135"/>
      <c r="Y266" s="135"/>
      <c r="Z266" s="135"/>
      <c r="AA266" s="240"/>
      <c r="AB266" s="135"/>
      <c r="AC266" s="135"/>
      <c r="AD266" s="241"/>
      <c r="AE266" s="135"/>
      <c r="AF266" s="195">
        <v>10000000.01</v>
      </c>
      <c r="AG266" s="135"/>
      <c r="AH266" s="135"/>
      <c r="AI266" s="135"/>
      <c r="AJ266" s="313">
        <f t="shared" si="101"/>
        <v>10000000.01</v>
      </c>
      <c r="AK266" s="313" t="s">
        <v>679</v>
      </c>
      <c r="AL266" s="60" t="s">
        <v>680</v>
      </c>
      <c r="AM266" s="7"/>
    </row>
    <row r="267" spans="1:39" ht="103.5" customHeight="1" x14ac:dyDescent="0.2">
      <c r="A267" s="130"/>
      <c r="B267" s="78"/>
      <c r="C267" s="78"/>
      <c r="D267" s="78"/>
      <c r="E267" s="78"/>
      <c r="F267" s="74"/>
      <c r="G267" s="198"/>
      <c r="H267" s="506" t="s">
        <v>761</v>
      </c>
      <c r="I267" s="71">
        <v>2201034</v>
      </c>
      <c r="J267" s="515" t="s">
        <v>767</v>
      </c>
      <c r="K267" s="71">
        <v>2201034</v>
      </c>
      <c r="L267" s="515" t="s">
        <v>767</v>
      </c>
      <c r="M267" s="77">
        <v>220103401</v>
      </c>
      <c r="N267" s="512" t="s">
        <v>768</v>
      </c>
      <c r="O267" s="77">
        <v>220103401</v>
      </c>
      <c r="P267" s="512" t="s">
        <v>768</v>
      </c>
      <c r="Q267" s="178" t="s">
        <v>51</v>
      </c>
      <c r="R267" s="112">
        <v>54</v>
      </c>
      <c r="S267" s="970"/>
      <c r="T267" s="966"/>
      <c r="U267" s="950"/>
      <c r="V267" s="135"/>
      <c r="W267" s="135"/>
      <c r="X267" s="135"/>
      <c r="Y267" s="135"/>
      <c r="Z267" s="135"/>
      <c r="AA267" s="240"/>
      <c r="AB267" s="135"/>
      <c r="AC267" s="135"/>
      <c r="AD267" s="241"/>
      <c r="AE267" s="135"/>
      <c r="AF267" s="195">
        <v>9999999.9800000004</v>
      </c>
      <c r="AG267" s="135"/>
      <c r="AH267" s="135"/>
      <c r="AI267" s="135"/>
      <c r="AJ267" s="313">
        <f t="shared" si="101"/>
        <v>9999999.9800000004</v>
      </c>
      <c r="AK267" s="313" t="s">
        <v>679</v>
      </c>
      <c r="AL267" s="60" t="s">
        <v>680</v>
      </c>
      <c r="AM267" s="7"/>
    </row>
    <row r="268" spans="1:39" ht="93.75" customHeight="1" x14ac:dyDescent="0.2">
      <c r="A268" s="130"/>
      <c r="B268" s="78"/>
      <c r="C268" s="78"/>
      <c r="D268" s="78"/>
      <c r="E268" s="78"/>
      <c r="F268" s="74"/>
      <c r="G268" s="198"/>
      <c r="H268" s="506" t="s">
        <v>761</v>
      </c>
      <c r="I268" s="71">
        <v>2201060</v>
      </c>
      <c r="J268" s="515" t="s">
        <v>769</v>
      </c>
      <c r="K268" s="71">
        <v>2201060</v>
      </c>
      <c r="L268" s="515" t="s">
        <v>769</v>
      </c>
      <c r="M268" s="237">
        <v>220106000</v>
      </c>
      <c r="N268" s="512" t="s">
        <v>770</v>
      </c>
      <c r="O268" s="237">
        <v>220106000</v>
      </c>
      <c r="P268" s="512" t="s">
        <v>770</v>
      </c>
      <c r="Q268" s="178" t="s">
        <v>67</v>
      </c>
      <c r="R268" s="112">
        <v>200</v>
      </c>
      <c r="S268" s="970"/>
      <c r="T268" s="966"/>
      <c r="U268" s="950"/>
      <c r="V268" s="135"/>
      <c r="W268" s="135"/>
      <c r="X268" s="135"/>
      <c r="Y268" s="135"/>
      <c r="Z268" s="135"/>
      <c r="AA268" s="240"/>
      <c r="AB268" s="135"/>
      <c r="AC268" s="135"/>
      <c r="AD268" s="241"/>
      <c r="AE268" s="135"/>
      <c r="AF268" s="195">
        <v>10000000.01</v>
      </c>
      <c r="AG268" s="135"/>
      <c r="AH268" s="135"/>
      <c r="AI268" s="135"/>
      <c r="AJ268" s="313">
        <f t="shared" si="101"/>
        <v>10000000.01</v>
      </c>
      <c r="AK268" s="313" t="s">
        <v>679</v>
      </c>
      <c r="AL268" s="60" t="s">
        <v>680</v>
      </c>
      <c r="AM268" s="7"/>
    </row>
    <row r="269" spans="1:39" ht="159.75" customHeight="1" x14ac:dyDescent="0.2">
      <c r="A269" s="130"/>
      <c r="B269" s="78"/>
      <c r="C269" s="78"/>
      <c r="D269" s="78"/>
      <c r="E269" s="78"/>
      <c r="F269" s="74"/>
      <c r="G269" s="198"/>
      <c r="H269" s="506" t="s">
        <v>739</v>
      </c>
      <c r="I269" s="71">
        <v>2201001</v>
      </c>
      <c r="J269" s="515" t="s">
        <v>248</v>
      </c>
      <c r="K269" s="71">
        <v>2201001</v>
      </c>
      <c r="L269" s="515" t="s">
        <v>248</v>
      </c>
      <c r="M269" s="71">
        <v>2201001</v>
      </c>
      <c r="N269" s="512" t="s">
        <v>760</v>
      </c>
      <c r="O269" s="71">
        <v>2201001</v>
      </c>
      <c r="P269" s="512" t="s">
        <v>760</v>
      </c>
      <c r="Q269" s="112" t="s">
        <v>51</v>
      </c>
      <c r="R269" s="112">
        <v>5</v>
      </c>
      <c r="S269" s="970" t="s">
        <v>771</v>
      </c>
      <c r="T269" s="966" t="s">
        <v>772</v>
      </c>
      <c r="U269" s="966" t="s">
        <v>773</v>
      </c>
      <c r="V269" s="135"/>
      <c r="W269" s="135"/>
      <c r="X269" s="135"/>
      <c r="Y269" s="135"/>
      <c r="Z269" s="135"/>
      <c r="AA269" s="240"/>
      <c r="AB269" s="135"/>
      <c r="AC269" s="135"/>
      <c r="AD269" s="241"/>
      <c r="AE269" s="135"/>
      <c r="AF269" s="195">
        <v>9000000</v>
      </c>
      <c r="AG269" s="135"/>
      <c r="AH269" s="135"/>
      <c r="AI269" s="135"/>
      <c r="AJ269" s="313">
        <f t="shared" si="101"/>
        <v>9000000</v>
      </c>
      <c r="AK269" s="313" t="s">
        <v>679</v>
      </c>
      <c r="AL269" s="60" t="s">
        <v>680</v>
      </c>
      <c r="AM269" s="7"/>
    </row>
    <row r="270" spans="1:39" ht="122.25" customHeight="1" x14ac:dyDescent="0.2">
      <c r="A270" s="130"/>
      <c r="B270" s="78"/>
      <c r="C270" s="78"/>
      <c r="D270" s="78"/>
      <c r="E270" s="78"/>
      <c r="F270" s="74"/>
      <c r="G270" s="198"/>
      <c r="H270" s="506" t="s">
        <v>690</v>
      </c>
      <c r="I270" s="71">
        <v>2201048</v>
      </c>
      <c r="J270" s="515" t="s">
        <v>774</v>
      </c>
      <c r="K270" s="71">
        <v>2201048</v>
      </c>
      <c r="L270" s="515" t="s">
        <v>774</v>
      </c>
      <c r="M270" s="77">
        <v>220104801</v>
      </c>
      <c r="N270" s="512" t="s">
        <v>775</v>
      </c>
      <c r="O270" s="77">
        <v>220104801</v>
      </c>
      <c r="P270" s="512" t="s">
        <v>775</v>
      </c>
      <c r="Q270" s="178" t="s">
        <v>51</v>
      </c>
      <c r="R270" s="112">
        <v>1</v>
      </c>
      <c r="S270" s="970"/>
      <c r="T270" s="966"/>
      <c r="U270" s="966"/>
      <c r="V270" s="135"/>
      <c r="W270" s="135"/>
      <c r="X270" s="135"/>
      <c r="Y270" s="135"/>
      <c r="Z270" s="135"/>
      <c r="AA270" s="240"/>
      <c r="AB270" s="135"/>
      <c r="AC270" s="135"/>
      <c r="AD270" s="241"/>
      <c r="AE270" s="135"/>
      <c r="AF270" s="195">
        <v>9000000</v>
      </c>
      <c r="AG270" s="135"/>
      <c r="AH270" s="135"/>
      <c r="AI270" s="135"/>
      <c r="AJ270" s="313">
        <f t="shared" si="101"/>
        <v>9000000</v>
      </c>
      <c r="AK270" s="313" t="s">
        <v>679</v>
      </c>
      <c r="AL270" s="60" t="s">
        <v>680</v>
      </c>
      <c r="AM270" s="7"/>
    </row>
    <row r="271" spans="1:39" ht="24" customHeight="1" x14ac:dyDescent="0.2">
      <c r="A271" s="130"/>
      <c r="B271" s="78"/>
      <c r="C271" s="78"/>
      <c r="D271" s="78"/>
      <c r="E271" s="78"/>
      <c r="F271" s="138">
        <v>2202</v>
      </c>
      <c r="G271" s="68" t="s">
        <v>1521</v>
      </c>
      <c r="H271" s="177"/>
      <c r="I271" s="177"/>
      <c r="J271" s="595"/>
      <c r="K271" s="623"/>
      <c r="L271" s="595"/>
      <c r="M271" s="595"/>
      <c r="N271" s="590"/>
      <c r="O271" s="591"/>
      <c r="P271" s="590"/>
      <c r="Q271" s="624"/>
      <c r="R271" s="591"/>
      <c r="S271" s="625"/>
      <c r="T271" s="132"/>
      <c r="U271" s="132"/>
      <c r="V271" s="133">
        <f>SUM(V272:V272)</f>
        <v>0</v>
      </c>
      <c r="W271" s="133">
        <f t="shared" ref="W271:AJ271" si="102">SUM(W272:W272)</f>
        <v>0</v>
      </c>
      <c r="X271" s="133">
        <f t="shared" si="102"/>
        <v>0</v>
      </c>
      <c r="Y271" s="133">
        <f t="shared" si="102"/>
        <v>0</v>
      </c>
      <c r="Z271" s="133">
        <f t="shared" si="102"/>
        <v>0</v>
      </c>
      <c r="AA271" s="133">
        <f t="shared" si="102"/>
        <v>0</v>
      </c>
      <c r="AB271" s="133">
        <f t="shared" si="102"/>
        <v>0</v>
      </c>
      <c r="AC271" s="133">
        <f t="shared" si="102"/>
        <v>0</v>
      </c>
      <c r="AD271" s="133">
        <f t="shared" si="102"/>
        <v>0</v>
      </c>
      <c r="AE271" s="133">
        <f t="shared" si="102"/>
        <v>0</v>
      </c>
      <c r="AF271" s="133">
        <f t="shared" si="102"/>
        <v>100000000</v>
      </c>
      <c r="AG271" s="133">
        <f t="shared" si="102"/>
        <v>0</v>
      </c>
      <c r="AH271" s="133">
        <f t="shared" si="102"/>
        <v>0</v>
      </c>
      <c r="AI271" s="133"/>
      <c r="AJ271" s="133">
        <f t="shared" si="102"/>
        <v>100000000</v>
      </c>
      <c r="AK271" s="133"/>
      <c r="AL271" s="140"/>
      <c r="AM271" s="7"/>
    </row>
    <row r="272" spans="1:39" s="324" customFormat="1" ht="156" customHeight="1" x14ac:dyDescent="0.25">
      <c r="A272" s="323"/>
      <c r="B272" s="70"/>
      <c r="C272" s="70"/>
      <c r="D272" s="70"/>
      <c r="E272" s="70"/>
      <c r="F272" s="312"/>
      <c r="G272" s="243"/>
      <c r="H272" s="509" t="s">
        <v>776</v>
      </c>
      <c r="I272" s="69" t="s">
        <v>46</v>
      </c>
      <c r="J272" s="509" t="s">
        <v>777</v>
      </c>
      <c r="K272" s="69">
        <v>2202006</v>
      </c>
      <c r="L272" s="509" t="s">
        <v>777</v>
      </c>
      <c r="M272" s="69" t="s">
        <v>46</v>
      </c>
      <c r="N272" s="504" t="s">
        <v>778</v>
      </c>
      <c r="O272" s="69">
        <v>220200604</v>
      </c>
      <c r="P272" s="504" t="s">
        <v>779</v>
      </c>
      <c r="Q272" s="232" t="s">
        <v>51</v>
      </c>
      <c r="R272" s="232">
        <v>2</v>
      </c>
      <c r="S272" s="514" t="s">
        <v>780</v>
      </c>
      <c r="T272" s="504" t="s">
        <v>781</v>
      </c>
      <c r="U272" s="509" t="s">
        <v>782</v>
      </c>
      <c r="V272" s="135"/>
      <c r="W272" s="135"/>
      <c r="X272" s="135"/>
      <c r="Y272" s="135"/>
      <c r="Z272" s="135"/>
      <c r="AA272" s="240"/>
      <c r="AB272" s="189"/>
      <c r="AC272" s="189"/>
      <c r="AD272" s="241"/>
      <c r="AE272" s="135"/>
      <c r="AF272" s="145">
        <f>100000000+2000000000-2000000000</f>
        <v>100000000</v>
      </c>
      <c r="AG272" s="135"/>
      <c r="AH272" s="135"/>
      <c r="AI272" s="135"/>
      <c r="AJ272" s="313">
        <f>+V272+W272+X272+Y272+Z272+AA272+AB272+AC272+AD272+AE272+AF272+AG272+AH272</f>
        <v>100000000</v>
      </c>
      <c r="AK272" s="313" t="s">
        <v>679</v>
      </c>
      <c r="AL272" s="315" t="s">
        <v>680</v>
      </c>
      <c r="AM272" s="7"/>
    </row>
    <row r="273" spans="1:77" ht="24" customHeight="1" x14ac:dyDescent="0.2">
      <c r="A273" s="130"/>
      <c r="B273" s="116">
        <v>2</v>
      </c>
      <c r="C273" s="116"/>
      <c r="D273" s="61" t="s">
        <v>417</v>
      </c>
      <c r="E273" s="157"/>
      <c r="F273" s="61"/>
      <c r="G273" s="163"/>
      <c r="H273" s="366"/>
      <c r="I273" s="366"/>
      <c r="J273" s="165"/>
      <c r="K273" s="164"/>
      <c r="L273" s="165"/>
      <c r="M273" s="165"/>
      <c r="N273" s="167"/>
      <c r="O273" s="166"/>
      <c r="P273" s="167"/>
      <c r="Q273" s="168"/>
      <c r="R273" s="166"/>
      <c r="S273" s="626"/>
      <c r="T273" s="118"/>
      <c r="U273" s="118"/>
      <c r="V273" s="119">
        <f>V274</f>
        <v>0</v>
      </c>
      <c r="W273" s="119">
        <f t="shared" ref="W273:AJ275" si="103">W274</f>
        <v>0</v>
      </c>
      <c r="X273" s="119">
        <f t="shared" si="103"/>
        <v>0</v>
      </c>
      <c r="Y273" s="119">
        <f t="shared" si="103"/>
        <v>0</v>
      </c>
      <c r="Z273" s="119">
        <f t="shared" si="103"/>
        <v>0</v>
      </c>
      <c r="AA273" s="119">
        <f t="shared" si="103"/>
        <v>0</v>
      </c>
      <c r="AB273" s="119">
        <f t="shared" si="103"/>
        <v>0</v>
      </c>
      <c r="AC273" s="119">
        <f t="shared" si="103"/>
        <v>0</v>
      </c>
      <c r="AD273" s="119">
        <f t="shared" si="103"/>
        <v>0</v>
      </c>
      <c r="AE273" s="119">
        <f t="shared" si="103"/>
        <v>0</v>
      </c>
      <c r="AF273" s="119">
        <f t="shared" si="103"/>
        <v>7500000</v>
      </c>
      <c r="AG273" s="119">
        <f t="shared" si="103"/>
        <v>0</v>
      </c>
      <c r="AH273" s="119">
        <f t="shared" si="103"/>
        <v>0</v>
      </c>
      <c r="AI273" s="119"/>
      <c r="AJ273" s="119">
        <f>AJ274</f>
        <v>7500000</v>
      </c>
      <c r="AK273" s="119"/>
      <c r="AL273" s="152"/>
      <c r="AM273" s="7"/>
    </row>
    <row r="274" spans="1:77" s="8" customFormat="1" ht="24" customHeight="1" x14ac:dyDescent="0.25">
      <c r="A274" s="115"/>
      <c r="B274" s="70"/>
      <c r="C274" s="70"/>
      <c r="D274" s="64">
        <v>39</v>
      </c>
      <c r="E274" s="62" t="s">
        <v>1522</v>
      </c>
      <c r="F274" s="62"/>
      <c r="G274" s="120"/>
      <c r="H274" s="121"/>
      <c r="I274" s="121"/>
      <c r="J274" s="123"/>
      <c r="K274" s="122"/>
      <c r="L274" s="123"/>
      <c r="M274" s="123"/>
      <c r="N274" s="125"/>
      <c r="O274" s="124"/>
      <c r="P274" s="125"/>
      <c r="Q274" s="126"/>
      <c r="R274" s="124"/>
      <c r="S274" s="186"/>
      <c r="T274" s="128"/>
      <c r="U274" s="128"/>
      <c r="V274" s="129">
        <f>V275</f>
        <v>0</v>
      </c>
      <c r="W274" s="129">
        <f t="shared" si="103"/>
        <v>0</v>
      </c>
      <c r="X274" s="129">
        <f t="shared" si="103"/>
        <v>0</v>
      </c>
      <c r="Y274" s="129">
        <f t="shared" si="103"/>
        <v>0</v>
      </c>
      <c r="Z274" s="129">
        <f t="shared" si="103"/>
        <v>0</v>
      </c>
      <c r="AA274" s="129">
        <f t="shared" si="103"/>
        <v>0</v>
      </c>
      <c r="AB274" s="129">
        <f t="shared" si="103"/>
        <v>0</v>
      </c>
      <c r="AC274" s="129">
        <f t="shared" si="103"/>
        <v>0</v>
      </c>
      <c r="AD274" s="129">
        <f t="shared" si="103"/>
        <v>0</v>
      </c>
      <c r="AE274" s="129">
        <f t="shared" si="103"/>
        <v>0</v>
      </c>
      <c r="AF274" s="129">
        <f t="shared" si="103"/>
        <v>7500000</v>
      </c>
      <c r="AG274" s="129">
        <f t="shared" si="103"/>
        <v>0</v>
      </c>
      <c r="AH274" s="129">
        <f t="shared" si="103"/>
        <v>0</v>
      </c>
      <c r="AI274" s="129"/>
      <c r="AJ274" s="129">
        <f t="shared" si="103"/>
        <v>7500000</v>
      </c>
      <c r="AK274" s="129"/>
      <c r="AL274" s="153"/>
      <c r="AM274" s="7"/>
      <c r="AN274" s="7"/>
      <c r="AO274" s="7"/>
      <c r="AP274" s="7"/>
      <c r="AQ274" s="7"/>
      <c r="AR274" s="7"/>
      <c r="AS274" s="7"/>
      <c r="AT274" s="7"/>
      <c r="AU274" s="7"/>
      <c r="AV274" s="7"/>
      <c r="AW274" s="7"/>
      <c r="AX274" s="7"/>
      <c r="AY274" s="7"/>
      <c r="AZ274" s="7"/>
      <c r="BA274" s="7"/>
      <c r="BB274" s="7"/>
      <c r="BC274" s="7"/>
      <c r="BD274" s="7"/>
      <c r="BE274" s="7"/>
      <c r="BF274" s="7"/>
      <c r="BG274" s="7"/>
      <c r="BH274" s="7"/>
      <c r="BI274" s="7"/>
      <c r="BJ274" s="7"/>
      <c r="BK274" s="7"/>
      <c r="BL274" s="7"/>
      <c r="BM274" s="7"/>
      <c r="BN274" s="7"/>
      <c r="BO274" s="7"/>
      <c r="BP274" s="7"/>
      <c r="BQ274" s="7"/>
      <c r="BR274" s="7"/>
      <c r="BS274" s="7"/>
      <c r="BT274" s="7"/>
      <c r="BU274" s="7"/>
      <c r="BV274" s="7"/>
      <c r="BW274" s="7"/>
      <c r="BX274" s="7"/>
      <c r="BY274" s="7"/>
    </row>
    <row r="275" spans="1:77" ht="24" customHeight="1" x14ac:dyDescent="0.2">
      <c r="A275" s="130"/>
      <c r="B275" s="78"/>
      <c r="C275" s="78"/>
      <c r="D275" s="78"/>
      <c r="E275" s="78"/>
      <c r="F275" s="138">
        <v>3904</v>
      </c>
      <c r="G275" s="68" t="s">
        <v>783</v>
      </c>
      <c r="H275" s="177"/>
      <c r="I275" s="177"/>
      <c r="J275" s="595"/>
      <c r="K275" s="623"/>
      <c r="L275" s="595"/>
      <c r="M275" s="595"/>
      <c r="N275" s="590"/>
      <c r="O275" s="591"/>
      <c r="P275" s="590"/>
      <c r="Q275" s="624"/>
      <c r="R275" s="591"/>
      <c r="S275" s="625"/>
      <c r="T275" s="132"/>
      <c r="U275" s="132"/>
      <c r="V275" s="133">
        <f>V276</f>
        <v>0</v>
      </c>
      <c r="W275" s="133">
        <f t="shared" si="103"/>
        <v>0</v>
      </c>
      <c r="X275" s="133">
        <f t="shared" si="103"/>
        <v>0</v>
      </c>
      <c r="Y275" s="133">
        <f t="shared" si="103"/>
        <v>0</v>
      </c>
      <c r="Z275" s="133">
        <f t="shared" si="103"/>
        <v>0</v>
      </c>
      <c r="AA275" s="133">
        <f t="shared" si="103"/>
        <v>0</v>
      </c>
      <c r="AB275" s="133">
        <f t="shared" si="103"/>
        <v>0</v>
      </c>
      <c r="AC275" s="133">
        <f t="shared" si="103"/>
        <v>0</v>
      </c>
      <c r="AD275" s="133">
        <f t="shared" si="103"/>
        <v>0</v>
      </c>
      <c r="AE275" s="133">
        <f t="shared" si="103"/>
        <v>0</v>
      </c>
      <c r="AF275" s="133">
        <f t="shared" si="103"/>
        <v>7500000</v>
      </c>
      <c r="AG275" s="133">
        <f t="shared" si="103"/>
        <v>0</v>
      </c>
      <c r="AH275" s="133">
        <f t="shared" si="103"/>
        <v>0</v>
      </c>
      <c r="AI275" s="133"/>
      <c r="AJ275" s="133">
        <f t="shared" si="103"/>
        <v>7500000</v>
      </c>
      <c r="AK275" s="133"/>
      <c r="AL275" s="140"/>
      <c r="AM275" s="7"/>
    </row>
    <row r="276" spans="1:77" s="23" customFormat="1" ht="147.75" customHeight="1" x14ac:dyDescent="0.25">
      <c r="A276" s="107"/>
      <c r="B276" s="78"/>
      <c r="C276" s="78"/>
      <c r="D276" s="78"/>
      <c r="E276" s="78"/>
      <c r="F276" s="74"/>
      <c r="G276" s="513"/>
      <c r="H276" s="506" t="s">
        <v>784</v>
      </c>
      <c r="I276" s="511">
        <v>3904006</v>
      </c>
      <c r="J276" s="506" t="s">
        <v>785</v>
      </c>
      <c r="K276" s="511">
        <v>3904006</v>
      </c>
      <c r="L276" s="506" t="s">
        <v>785</v>
      </c>
      <c r="M276" s="92">
        <v>390400604</v>
      </c>
      <c r="N276" s="521" t="s">
        <v>786</v>
      </c>
      <c r="O276" s="92">
        <v>390400604</v>
      </c>
      <c r="P276" s="521" t="s">
        <v>787</v>
      </c>
      <c r="Q276" s="513" t="s">
        <v>67</v>
      </c>
      <c r="R276" s="112">
        <v>18</v>
      </c>
      <c r="S276" s="243" t="s">
        <v>788</v>
      </c>
      <c r="T276" s="512" t="s">
        <v>789</v>
      </c>
      <c r="U276" s="515" t="s">
        <v>790</v>
      </c>
      <c r="V276" s="135"/>
      <c r="W276" s="135"/>
      <c r="X276" s="135"/>
      <c r="Y276" s="135"/>
      <c r="Z276" s="135"/>
      <c r="AA276" s="240"/>
      <c r="AB276" s="189"/>
      <c r="AC276" s="189"/>
      <c r="AD276" s="241"/>
      <c r="AE276" s="135"/>
      <c r="AF276" s="148">
        <v>7500000</v>
      </c>
      <c r="AG276" s="135"/>
      <c r="AH276" s="135"/>
      <c r="AI276" s="135"/>
      <c r="AJ276" s="136">
        <f>+V276+W276+X276+Y276+Z276+AA276+AB276+AC276+AD276+AE276+AF276+AG276+AH276</f>
        <v>7500000</v>
      </c>
      <c r="AK276" s="136" t="s">
        <v>679</v>
      </c>
      <c r="AL276" s="60" t="s">
        <v>680</v>
      </c>
      <c r="AM276" s="7"/>
      <c r="AN276" s="57"/>
      <c r="AO276" s="57"/>
      <c r="AP276" s="57"/>
      <c r="AQ276" s="57"/>
      <c r="AR276" s="57"/>
      <c r="AS276" s="57"/>
      <c r="AT276" s="57"/>
      <c r="AU276" s="57"/>
      <c r="AV276" s="57"/>
      <c r="AW276" s="57"/>
      <c r="AX276" s="57"/>
      <c r="AY276" s="57"/>
      <c r="AZ276" s="57"/>
      <c r="BA276" s="57"/>
      <c r="BB276" s="57"/>
      <c r="BC276" s="57"/>
      <c r="BD276" s="57"/>
      <c r="BE276" s="57"/>
      <c r="BF276" s="57"/>
      <c r="BG276" s="57"/>
      <c r="BH276" s="57"/>
      <c r="BI276" s="57"/>
      <c r="BJ276" s="57"/>
      <c r="BK276" s="57"/>
      <c r="BL276" s="57"/>
      <c r="BM276" s="57"/>
      <c r="BN276" s="57"/>
      <c r="BO276" s="57"/>
      <c r="BP276" s="57"/>
      <c r="BQ276" s="57"/>
      <c r="BR276" s="57"/>
      <c r="BS276" s="57"/>
      <c r="BT276" s="57"/>
      <c r="BU276" s="57"/>
      <c r="BV276" s="57"/>
      <c r="BW276" s="57"/>
      <c r="BX276" s="57"/>
      <c r="BY276" s="57"/>
    </row>
    <row r="277" spans="1:77" s="436" customFormat="1" ht="16.5" customHeight="1" x14ac:dyDescent="0.25">
      <c r="A277" s="432"/>
      <c r="B277" s="432"/>
      <c r="C277" s="432"/>
      <c r="D277" s="432"/>
      <c r="E277" s="432"/>
      <c r="F277" s="432"/>
      <c r="G277" s="432"/>
      <c r="H277" s="433"/>
      <c r="I277" s="432"/>
      <c r="J277" s="432"/>
      <c r="K277" s="432"/>
      <c r="L277" s="432"/>
      <c r="M277" s="432"/>
      <c r="N277" s="432"/>
      <c r="O277" s="432"/>
      <c r="P277" s="432"/>
      <c r="Q277" s="434"/>
      <c r="R277" s="432"/>
      <c r="S277" s="434"/>
      <c r="T277" s="434"/>
      <c r="U277" s="434"/>
      <c r="V277" s="435"/>
      <c r="W277" s="435"/>
      <c r="X277" s="435"/>
      <c r="Y277" s="435"/>
      <c r="Z277" s="435"/>
      <c r="AA277" s="435"/>
      <c r="AB277" s="435"/>
      <c r="AC277" s="435"/>
      <c r="AD277" s="435"/>
      <c r="AE277" s="435"/>
      <c r="AF277" s="435"/>
      <c r="AG277" s="435"/>
      <c r="AH277" s="435"/>
      <c r="AI277" s="435"/>
      <c r="AJ277" s="435"/>
      <c r="AK277" s="435"/>
      <c r="AL277" s="435"/>
      <c r="AM277" s="7"/>
    </row>
    <row r="278" spans="1:77" s="365" customFormat="1" ht="24" customHeight="1" x14ac:dyDescent="0.2">
      <c r="A278" s="34" t="s">
        <v>791</v>
      </c>
      <c r="B278" s="34"/>
      <c r="C278" s="34"/>
      <c r="D278" s="34"/>
      <c r="E278" s="34"/>
      <c r="F278" s="35"/>
      <c r="G278" s="36"/>
      <c r="H278" s="357"/>
      <c r="I278" s="357"/>
      <c r="J278" s="357"/>
      <c r="K278" s="360"/>
      <c r="L278" s="357"/>
      <c r="M278" s="357"/>
      <c r="N278" s="362"/>
      <c r="O278" s="361"/>
      <c r="P278" s="362"/>
      <c r="Q278" s="363"/>
      <c r="R278" s="361"/>
      <c r="S278" s="36"/>
      <c r="T278" s="362"/>
      <c r="U278" s="362"/>
      <c r="V278" s="358">
        <f t="shared" ref="V278:AJ278" si="104">V279+V313+V320</f>
        <v>4070085007.0100002</v>
      </c>
      <c r="W278" s="358">
        <f t="shared" si="104"/>
        <v>0</v>
      </c>
      <c r="X278" s="358">
        <f t="shared" si="104"/>
        <v>0</v>
      </c>
      <c r="Y278" s="358">
        <f t="shared" si="104"/>
        <v>0</v>
      </c>
      <c r="Z278" s="358">
        <f t="shared" si="104"/>
        <v>0</v>
      </c>
      <c r="AA278" s="358">
        <f t="shared" si="104"/>
        <v>0</v>
      </c>
      <c r="AB278" s="358">
        <f t="shared" si="104"/>
        <v>0</v>
      </c>
      <c r="AC278" s="358">
        <f t="shared" si="104"/>
        <v>0</v>
      </c>
      <c r="AD278" s="358">
        <f t="shared" si="104"/>
        <v>0</v>
      </c>
      <c r="AE278" s="358">
        <f t="shared" si="104"/>
        <v>0</v>
      </c>
      <c r="AF278" s="358">
        <f t="shared" si="104"/>
        <v>1948776106</v>
      </c>
      <c r="AG278" s="358">
        <f t="shared" si="104"/>
        <v>0</v>
      </c>
      <c r="AH278" s="358">
        <f t="shared" si="104"/>
        <v>0</v>
      </c>
      <c r="AI278" s="358"/>
      <c r="AJ278" s="358">
        <f t="shared" si="104"/>
        <v>6018861113.0100002</v>
      </c>
      <c r="AK278" s="358"/>
      <c r="AL278" s="359"/>
      <c r="AM278" s="7"/>
      <c r="AN278" s="364"/>
      <c r="AO278" s="364"/>
      <c r="AP278" s="364"/>
      <c r="AQ278" s="364"/>
      <c r="AR278" s="364"/>
      <c r="AS278" s="364"/>
      <c r="AT278" s="364"/>
      <c r="AU278" s="364"/>
      <c r="AV278" s="364"/>
      <c r="AW278" s="364"/>
      <c r="AX278" s="364"/>
      <c r="AY278" s="364"/>
      <c r="AZ278" s="364"/>
      <c r="BA278" s="364"/>
      <c r="BB278" s="364"/>
      <c r="BC278" s="364"/>
      <c r="BD278" s="364"/>
      <c r="BE278" s="364"/>
      <c r="BF278" s="364"/>
      <c r="BG278" s="364"/>
      <c r="BH278" s="364"/>
      <c r="BI278" s="364"/>
      <c r="BJ278" s="364"/>
      <c r="BK278" s="364"/>
      <c r="BL278" s="364"/>
      <c r="BM278" s="364"/>
      <c r="BN278" s="364"/>
      <c r="BO278" s="364"/>
      <c r="BP278" s="364"/>
      <c r="BQ278" s="364"/>
      <c r="BR278" s="364"/>
      <c r="BS278" s="364"/>
      <c r="BT278" s="364"/>
      <c r="BU278" s="364"/>
      <c r="BV278" s="364"/>
      <c r="BW278" s="364"/>
      <c r="BX278" s="364"/>
      <c r="BY278" s="364"/>
    </row>
    <row r="279" spans="1:77" ht="24" customHeight="1" x14ac:dyDescent="0.2">
      <c r="A279" s="130"/>
      <c r="B279" s="116">
        <v>1</v>
      </c>
      <c r="C279" s="116"/>
      <c r="D279" s="61" t="s">
        <v>148</v>
      </c>
      <c r="E279" s="523"/>
      <c r="F279" s="366"/>
      <c r="G279" s="163"/>
      <c r="H279" s="366"/>
      <c r="I279" s="366"/>
      <c r="J279" s="165"/>
      <c r="K279" s="164"/>
      <c r="L279" s="165"/>
      <c r="M279" s="165"/>
      <c r="N279" s="167"/>
      <c r="O279" s="166"/>
      <c r="P279" s="167"/>
      <c r="Q279" s="168"/>
      <c r="R279" s="166"/>
      <c r="S279" s="626"/>
      <c r="T279" s="118"/>
      <c r="U279" s="118"/>
      <c r="V279" s="119">
        <f>V280+V284+V287</f>
        <v>4070085007.0100002</v>
      </c>
      <c r="W279" s="119">
        <f t="shared" ref="W279:AL279" si="105">W280+W284+W287</f>
        <v>0</v>
      </c>
      <c r="X279" s="119">
        <f t="shared" si="105"/>
        <v>0</v>
      </c>
      <c r="Y279" s="119">
        <f t="shared" si="105"/>
        <v>0</v>
      </c>
      <c r="Z279" s="119">
        <f t="shared" si="105"/>
        <v>0</v>
      </c>
      <c r="AA279" s="119">
        <f t="shared" si="105"/>
        <v>0</v>
      </c>
      <c r="AB279" s="119">
        <f t="shared" si="105"/>
        <v>0</v>
      </c>
      <c r="AC279" s="119">
        <f t="shared" si="105"/>
        <v>0</v>
      </c>
      <c r="AD279" s="119">
        <f t="shared" si="105"/>
        <v>0</v>
      </c>
      <c r="AE279" s="119">
        <f t="shared" si="105"/>
        <v>0</v>
      </c>
      <c r="AF279" s="119">
        <f t="shared" si="105"/>
        <v>1427686603</v>
      </c>
      <c r="AG279" s="119">
        <f t="shared" si="105"/>
        <v>0</v>
      </c>
      <c r="AH279" s="119">
        <f t="shared" si="105"/>
        <v>0</v>
      </c>
      <c r="AI279" s="119"/>
      <c r="AJ279" s="119">
        <f t="shared" si="105"/>
        <v>5497771610.0100002</v>
      </c>
      <c r="AK279" s="119">
        <f t="shared" si="105"/>
        <v>0</v>
      </c>
      <c r="AL279" s="119">
        <f t="shared" si="105"/>
        <v>0</v>
      </c>
      <c r="AM279" s="7"/>
    </row>
    <row r="280" spans="1:77" s="8" customFormat="1" ht="24" customHeight="1" x14ac:dyDescent="0.25">
      <c r="A280" s="115"/>
      <c r="B280" s="70"/>
      <c r="C280" s="70"/>
      <c r="D280" s="64">
        <v>19</v>
      </c>
      <c r="E280" s="62" t="s">
        <v>160</v>
      </c>
      <c r="F280" s="120"/>
      <c r="G280" s="120"/>
      <c r="H280" s="121"/>
      <c r="I280" s="121"/>
      <c r="J280" s="123"/>
      <c r="K280" s="122"/>
      <c r="L280" s="123"/>
      <c r="M280" s="123"/>
      <c r="N280" s="125"/>
      <c r="O280" s="124"/>
      <c r="P280" s="125"/>
      <c r="Q280" s="126"/>
      <c r="R280" s="124"/>
      <c r="S280" s="186"/>
      <c r="T280" s="128"/>
      <c r="U280" s="128"/>
      <c r="V280" s="129">
        <f>V281</f>
        <v>0</v>
      </c>
      <c r="W280" s="129">
        <f t="shared" ref="W280:AJ280" si="106">W281</f>
        <v>0</v>
      </c>
      <c r="X280" s="129">
        <f t="shared" si="106"/>
        <v>0</v>
      </c>
      <c r="Y280" s="129">
        <f t="shared" si="106"/>
        <v>0</v>
      </c>
      <c r="Z280" s="129">
        <f t="shared" si="106"/>
        <v>0</v>
      </c>
      <c r="AA280" s="129">
        <f t="shared" si="106"/>
        <v>0</v>
      </c>
      <c r="AB280" s="129">
        <f t="shared" si="106"/>
        <v>0</v>
      </c>
      <c r="AC280" s="129">
        <f t="shared" si="106"/>
        <v>0</v>
      </c>
      <c r="AD280" s="129">
        <f t="shared" si="106"/>
        <v>0</v>
      </c>
      <c r="AE280" s="129">
        <f t="shared" si="106"/>
        <v>0</v>
      </c>
      <c r="AF280" s="129">
        <f t="shared" si="106"/>
        <v>175000000</v>
      </c>
      <c r="AG280" s="129">
        <f t="shared" si="106"/>
        <v>0</v>
      </c>
      <c r="AH280" s="129">
        <f t="shared" si="106"/>
        <v>0</v>
      </c>
      <c r="AI280" s="129"/>
      <c r="AJ280" s="129">
        <f t="shared" si="106"/>
        <v>175000000</v>
      </c>
      <c r="AK280" s="129"/>
      <c r="AL280" s="153"/>
      <c r="AM280" s="7"/>
      <c r="AN280" s="7"/>
      <c r="AO280" s="7"/>
      <c r="AP280" s="7"/>
      <c r="AQ280" s="7"/>
      <c r="AR280" s="7"/>
      <c r="AS280" s="7"/>
      <c r="AT280" s="7"/>
      <c r="AU280" s="7"/>
      <c r="AV280" s="7"/>
      <c r="AW280" s="7"/>
      <c r="AX280" s="7"/>
      <c r="AY280" s="7"/>
      <c r="AZ280" s="7"/>
      <c r="BA280" s="7"/>
      <c r="BB280" s="7"/>
      <c r="BC280" s="7"/>
      <c r="BD280" s="7"/>
      <c r="BE280" s="7"/>
      <c r="BF280" s="7"/>
      <c r="BG280" s="7"/>
      <c r="BH280" s="7"/>
      <c r="BI280" s="7"/>
      <c r="BJ280" s="7"/>
      <c r="BK280" s="7"/>
      <c r="BL280" s="7"/>
      <c r="BM280" s="7"/>
      <c r="BN280" s="7"/>
      <c r="BO280" s="7"/>
      <c r="BP280" s="7"/>
      <c r="BQ280" s="7"/>
      <c r="BR280" s="7"/>
      <c r="BS280" s="7"/>
      <c r="BT280" s="7"/>
      <c r="BU280" s="7"/>
      <c r="BV280" s="7"/>
      <c r="BW280" s="7"/>
      <c r="BX280" s="7"/>
      <c r="BY280" s="7"/>
    </row>
    <row r="281" spans="1:77" ht="24" customHeight="1" x14ac:dyDescent="0.2">
      <c r="A281" s="130"/>
      <c r="B281" s="78"/>
      <c r="C281" s="78"/>
      <c r="D281" s="78"/>
      <c r="E281" s="78"/>
      <c r="F281" s="138">
        <v>1905</v>
      </c>
      <c r="G281" s="244" t="s">
        <v>792</v>
      </c>
      <c r="H281" s="244"/>
      <c r="I281" s="637"/>
      <c r="J281" s="595"/>
      <c r="K281" s="623"/>
      <c r="L281" s="595"/>
      <c r="M281" s="595"/>
      <c r="N281" s="590"/>
      <c r="O281" s="591"/>
      <c r="P281" s="590"/>
      <c r="Q281" s="624"/>
      <c r="R281" s="591"/>
      <c r="S281" s="625"/>
      <c r="T281" s="132"/>
      <c r="U281" s="132"/>
      <c r="V281" s="144">
        <f>SUM(V282:V283)</f>
        <v>0</v>
      </c>
      <c r="W281" s="144">
        <f t="shared" ref="W281:AJ281" si="107">SUM(W282:W283)</f>
        <v>0</v>
      </c>
      <c r="X281" s="144">
        <f t="shared" si="107"/>
        <v>0</v>
      </c>
      <c r="Y281" s="144">
        <f t="shared" si="107"/>
        <v>0</v>
      </c>
      <c r="Z281" s="144">
        <f t="shared" si="107"/>
        <v>0</v>
      </c>
      <c r="AA281" s="144">
        <f t="shared" si="107"/>
        <v>0</v>
      </c>
      <c r="AB281" s="144">
        <f t="shared" si="107"/>
        <v>0</v>
      </c>
      <c r="AC281" s="144">
        <f t="shared" si="107"/>
        <v>0</v>
      </c>
      <c r="AD281" s="144">
        <f t="shared" si="107"/>
        <v>0</v>
      </c>
      <c r="AE281" s="144">
        <f t="shared" si="107"/>
        <v>0</v>
      </c>
      <c r="AF281" s="144">
        <f>SUM(AF282:AF283)</f>
        <v>175000000</v>
      </c>
      <c r="AG281" s="144">
        <f t="shared" si="107"/>
        <v>0</v>
      </c>
      <c r="AH281" s="144">
        <f t="shared" si="107"/>
        <v>0</v>
      </c>
      <c r="AI281" s="144"/>
      <c r="AJ281" s="144">
        <f t="shared" si="107"/>
        <v>175000000</v>
      </c>
      <c r="AK281" s="144"/>
      <c r="AL281" s="144"/>
      <c r="AM281" s="7"/>
    </row>
    <row r="282" spans="1:77" ht="222.75" customHeight="1" x14ac:dyDescent="0.2">
      <c r="A282" s="130"/>
      <c r="B282" s="78"/>
      <c r="C282" s="78"/>
      <c r="D282" s="78"/>
      <c r="E282" s="78"/>
      <c r="F282" s="511"/>
      <c r="G282" s="198"/>
      <c r="H282" s="506" t="s">
        <v>793</v>
      </c>
      <c r="I282" s="72">
        <v>1905021</v>
      </c>
      <c r="J282" s="509" t="s">
        <v>794</v>
      </c>
      <c r="K282" s="72">
        <v>1905021</v>
      </c>
      <c r="L282" s="509" t="s">
        <v>794</v>
      </c>
      <c r="M282" s="72">
        <v>190502100</v>
      </c>
      <c r="N282" s="505" t="s">
        <v>795</v>
      </c>
      <c r="O282" s="72">
        <v>190502100</v>
      </c>
      <c r="P282" s="505" t="s">
        <v>795</v>
      </c>
      <c r="Q282" s="178" t="s">
        <v>51</v>
      </c>
      <c r="R282" s="112">
        <v>12</v>
      </c>
      <c r="S282" s="987" t="s">
        <v>796</v>
      </c>
      <c r="T282" s="951" t="s">
        <v>797</v>
      </c>
      <c r="U282" s="951" t="s">
        <v>798</v>
      </c>
      <c r="V282" s="135">
        <v>0</v>
      </c>
      <c r="W282" s="135">
        <v>0</v>
      </c>
      <c r="X282" s="135">
        <v>0</v>
      </c>
      <c r="Y282" s="135">
        <v>0</v>
      </c>
      <c r="Z282" s="135">
        <v>0</v>
      </c>
      <c r="AA282" s="240">
        <v>0</v>
      </c>
      <c r="AB282" s="135">
        <v>0</v>
      </c>
      <c r="AC282" s="135">
        <v>0</v>
      </c>
      <c r="AD282" s="241">
        <v>0</v>
      </c>
      <c r="AE282" s="135">
        <v>0</v>
      </c>
      <c r="AF282" s="145">
        <v>100000000</v>
      </c>
      <c r="AG282" s="135">
        <v>0</v>
      </c>
      <c r="AH282" s="135">
        <v>0</v>
      </c>
      <c r="AI282" s="135"/>
      <c r="AJ282" s="136">
        <f>+V282+W282+X282+Y282+Z282+AA282+AB282+AC282+AD282+AE282+AF282+AG282+AH282</f>
        <v>100000000</v>
      </c>
      <c r="AK282" s="136" t="s">
        <v>799</v>
      </c>
      <c r="AL282" s="60" t="s">
        <v>800</v>
      </c>
      <c r="AM282" s="7"/>
    </row>
    <row r="283" spans="1:77" ht="186" customHeight="1" x14ac:dyDescent="0.2">
      <c r="A283" s="130"/>
      <c r="B283" s="78"/>
      <c r="C283" s="78"/>
      <c r="D283" s="78"/>
      <c r="E283" s="78"/>
      <c r="F283" s="511"/>
      <c r="G283" s="198"/>
      <c r="H283" s="506" t="s">
        <v>801</v>
      </c>
      <c r="I283" s="88">
        <v>1905022</v>
      </c>
      <c r="J283" s="110" t="s">
        <v>802</v>
      </c>
      <c r="K283" s="88">
        <v>1905022</v>
      </c>
      <c r="L283" s="110" t="s">
        <v>802</v>
      </c>
      <c r="M283" s="92">
        <v>190502200</v>
      </c>
      <c r="N283" s="521" t="s">
        <v>803</v>
      </c>
      <c r="O283" s="92">
        <v>190502200</v>
      </c>
      <c r="P283" s="521" t="s">
        <v>803</v>
      </c>
      <c r="Q283" s="178" t="s">
        <v>51</v>
      </c>
      <c r="R283" s="112">
        <v>12</v>
      </c>
      <c r="S283" s="987"/>
      <c r="T283" s="951"/>
      <c r="U283" s="951"/>
      <c r="V283" s="135">
        <v>0</v>
      </c>
      <c r="W283" s="135"/>
      <c r="X283" s="135"/>
      <c r="Y283" s="135"/>
      <c r="Z283" s="135"/>
      <c r="AA283" s="240"/>
      <c r="AB283" s="135"/>
      <c r="AC283" s="135"/>
      <c r="AD283" s="241"/>
      <c r="AE283" s="135"/>
      <c r="AF283" s="145">
        <v>75000000</v>
      </c>
      <c r="AG283" s="135"/>
      <c r="AH283" s="135"/>
      <c r="AI283" s="135"/>
      <c r="AJ283" s="136">
        <f>+V283+W283+X283+Y283+Z283+AA283+AB283+AC283+AD283+AE283+AF283+AG283+AH283</f>
        <v>75000000</v>
      </c>
      <c r="AK283" s="136" t="s">
        <v>799</v>
      </c>
      <c r="AL283" s="60" t="s">
        <v>800</v>
      </c>
      <c r="AM283" s="7"/>
    </row>
    <row r="284" spans="1:77" s="8" customFormat="1" ht="24" customHeight="1" x14ac:dyDescent="0.25">
      <c r="A284" s="115"/>
      <c r="B284" s="70"/>
      <c r="C284" s="70"/>
      <c r="D284" s="64">
        <v>33</v>
      </c>
      <c r="E284" s="183" t="s">
        <v>179</v>
      </c>
      <c r="F284" s="62"/>
      <c r="G284" s="120"/>
      <c r="H284" s="121"/>
      <c r="I284" s="121"/>
      <c r="J284" s="123"/>
      <c r="K284" s="122"/>
      <c r="L284" s="123"/>
      <c r="M284" s="123"/>
      <c r="N284" s="125"/>
      <c r="O284" s="124"/>
      <c r="P284" s="125"/>
      <c r="Q284" s="126"/>
      <c r="R284" s="124"/>
      <c r="S284" s="186"/>
      <c r="T284" s="128"/>
      <c r="U284" s="128"/>
      <c r="V284" s="129">
        <f>V285</f>
        <v>0</v>
      </c>
      <c r="W284" s="129">
        <f t="shared" ref="W284:AJ284" si="108">W285</f>
        <v>0</v>
      </c>
      <c r="X284" s="129">
        <f t="shared" si="108"/>
        <v>0</v>
      </c>
      <c r="Y284" s="129">
        <f t="shared" si="108"/>
        <v>0</v>
      </c>
      <c r="Z284" s="129">
        <f t="shared" si="108"/>
        <v>0</v>
      </c>
      <c r="AA284" s="129">
        <f t="shared" si="108"/>
        <v>0</v>
      </c>
      <c r="AB284" s="129">
        <f t="shared" si="108"/>
        <v>0</v>
      </c>
      <c r="AC284" s="129">
        <f t="shared" si="108"/>
        <v>0</v>
      </c>
      <c r="AD284" s="129">
        <f t="shared" si="108"/>
        <v>0</v>
      </c>
      <c r="AE284" s="129">
        <f t="shared" si="108"/>
        <v>0</v>
      </c>
      <c r="AF284" s="129">
        <f t="shared" si="108"/>
        <v>14250000</v>
      </c>
      <c r="AG284" s="129">
        <f t="shared" si="108"/>
        <v>0</v>
      </c>
      <c r="AH284" s="129">
        <f t="shared" si="108"/>
        <v>0</v>
      </c>
      <c r="AI284" s="129"/>
      <c r="AJ284" s="129">
        <f t="shared" si="108"/>
        <v>14250000</v>
      </c>
      <c r="AK284" s="129"/>
      <c r="AL284" s="153"/>
      <c r="AM284" s="7"/>
      <c r="AN284" s="7"/>
      <c r="AO284" s="7"/>
      <c r="AP284" s="7"/>
      <c r="AQ284" s="7"/>
      <c r="AR284" s="7"/>
      <c r="AS284" s="7"/>
      <c r="AT284" s="7"/>
      <c r="AU284" s="7"/>
      <c r="AV284" s="7"/>
      <c r="AW284" s="7"/>
      <c r="AX284" s="7"/>
      <c r="AY284" s="7"/>
      <c r="AZ284" s="7"/>
      <c r="BA284" s="7"/>
      <c r="BB284" s="7"/>
      <c r="BC284" s="7"/>
      <c r="BD284" s="7"/>
      <c r="BE284" s="7"/>
      <c r="BF284" s="7"/>
      <c r="BG284" s="7"/>
      <c r="BH284" s="7"/>
      <c r="BI284" s="7"/>
      <c r="BJ284" s="7"/>
      <c r="BK284" s="7"/>
      <c r="BL284" s="7"/>
      <c r="BM284" s="7"/>
      <c r="BN284" s="7"/>
      <c r="BO284" s="7"/>
      <c r="BP284" s="7"/>
      <c r="BQ284" s="7"/>
      <c r="BR284" s="7"/>
      <c r="BS284" s="7"/>
      <c r="BT284" s="7"/>
      <c r="BU284" s="7"/>
      <c r="BV284" s="7"/>
      <c r="BW284" s="7"/>
      <c r="BX284" s="7"/>
      <c r="BY284" s="7"/>
    </row>
    <row r="285" spans="1:77" ht="24" customHeight="1" x14ac:dyDescent="0.2">
      <c r="A285" s="130"/>
      <c r="B285" s="78"/>
      <c r="C285" s="78"/>
      <c r="D285" s="78"/>
      <c r="E285" s="78"/>
      <c r="F285" s="138">
        <v>3301</v>
      </c>
      <c r="G285" s="68" t="s">
        <v>180</v>
      </c>
      <c r="H285" s="177"/>
      <c r="I285" s="177"/>
      <c r="J285" s="595"/>
      <c r="K285" s="623"/>
      <c r="L285" s="595"/>
      <c r="M285" s="595"/>
      <c r="N285" s="590"/>
      <c r="O285" s="591"/>
      <c r="P285" s="590"/>
      <c r="Q285" s="636"/>
      <c r="R285" s="591"/>
      <c r="S285" s="625"/>
      <c r="T285" s="132"/>
      <c r="U285" s="132"/>
      <c r="V285" s="144">
        <f>SUM(V286)</f>
        <v>0</v>
      </c>
      <c r="W285" s="144">
        <f t="shared" ref="W285:AJ285" si="109">SUM(W286)</f>
        <v>0</v>
      </c>
      <c r="X285" s="144">
        <f t="shared" si="109"/>
        <v>0</v>
      </c>
      <c r="Y285" s="144">
        <f t="shared" si="109"/>
        <v>0</v>
      </c>
      <c r="Z285" s="144">
        <f t="shared" si="109"/>
        <v>0</v>
      </c>
      <c r="AA285" s="144">
        <f t="shared" si="109"/>
        <v>0</v>
      </c>
      <c r="AB285" s="144">
        <f t="shared" si="109"/>
        <v>0</v>
      </c>
      <c r="AC285" s="144">
        <f t="shared" si="109"/>
        <v>0</v>
      </c>
      <c r="AD285" s="144">
        <f t="shared" si="109"/>
        <v>0</v>
      </c>
      <c r="AE285" s="144">
        <f t="shared" si="109"/>
        <v>0</v>
      </c>
      <c r="AF285" s="144">
        <f>SUM(AF286)</f>
        <v>14250000</v>
      </c>
      <c r="AG285" s="144">
        <f t="shared" si="109"/>
        <v>0</v>
      </c>
      <c r="AH285" s="144">
        <f t="shared" si="109"/>
        <v>0</v>
      </c>
      <c r="AI285" s="144"/>
      <c r="AJ285" s="144">
        <f t="shared" si="109"/>
        <v>14250000</v>
      </c>
      <c r="AK285" s="144"/>
      <c r="AL285" s="144"/>
      <c r="AM285" s="7"/>
    </row>
    <row r="286" spans="1:77" ht="183" customHeight="1" x14ac:dyDescent="0.2">
      <c r="A286" s="130"/>
      <c r="B286" s="78"/>
      <c r="C286" s="78"/>
      <c r="D286" s="78"/>
      <c r="E286" s="78"/>
      <c r="F286" s="511"/>
      <c r="G286" s="198"/>
      <c r="H286" s="506" t="s">
        <v>804</v>
      </c>
      <c r="I286" s="72">
        <v>3301051</v>
      </c>
      <c r="J286" s="506" t="s">
        <v>805</v>
      </c>
      <c r="K286" s="72">
        <v>3301051</v>
      </c>
      <c r="L286" s="506" t="s">
        <v>805</v>
      </c>
      <c r="M286" s="72">
        <v>330105110</v>
      </c>
      <c r="N286" s="505" t="s">
        <v>806</v>
      </c>
      <c r="O286" s="72">
        <v>330105110</v>
      </c>
      <c r="P286" s="505" t="s">
        <v>806</v>
      </c>
      <c r="Q286" s="178" t="s">
        <v>67</v>
      </c>
      <c r="R286" s="112">
        <v>250</v>
      </c>
      <c r="S286" s="514" t="s">
        <v>807</v>
      </c>
      <c r="T286" s="505" t="s">
        <v>808</v>
      </c>
      <c r="U286" s="506" t="s">
        <v>809</v>
      </c>
      <c r="V286" s="135"/>
      <c r="W286" s="135"/>
      <c r="X286" s="135"/>
      <c r="Y286" s="135"/>
      <c r="Z286" s="135"/>
      <c r="AA286" s="240"/>
      <c r="AB286" s="135"/>
      <c r="AC286" s="135"/>
      <c r="AD286" s="241"/>
      <c r="AE286" s="135"/>
      <c r="AF286" s="145">
        <v>14250000</v>
      </c>
      <c r="AG286" s="135"/>
      <c r="AH286" s="135"/>
      <c r="AI286" s="135"/>
      <c r="AJ286" s="136">
        <f>+V286+W286+X286+Y286+Z286+AA286+AB286+AC286+AD286+AE286+AF286+AG286+AH286</f>
        <v>14250000</v>
      </c>
      <c r="AK286" s="136" t="s">
        <v>799</v>
      </c>
      <c r="AL286" s="60" t="s">
        <v>800</v>
      </c>
      <c r="AM286" s="7"/>
    </row>
    <row r="287" spans="1:77" s="8" customFormat="1" ht="24" customHeight="1" x14ac:dyDescent="0.25">
      <c r="A287" s="115"/>
      <c r="B287" s="70"/>
      <c r="C287" s="70"/>
      <c r="D287" s="379">
        <v>41</v>
      </c>
      <c r="E287" s="62" t="s">
        <v>810</v>
      </c>
      <c r="F287" s="62"/>
      <c r="G287" s="120"/>
      <c r="H287" s="121"/>
      <c r="I287" s="121"/>
      <c r="J287" s="123"/>
      <c r="K287" s="122"/>
      <c r="L287" s="123"/>
      <c r="M287" s="123"/>
      <c r="N287" s="125"/>
      <c r="O287" s="124"/>
      <c r="P287" s="125"/>
      <c r="Q287" s="126"/>
      <c r="R287" s="124"/>
      <c r="S287" s="186"/>
      <c r="T287" s="128"/>
      <c r="U287" s="128"/>
      <c r="V287" s="129">
        <f t="shared" ref="V287:AJ287" si="110">V288+V299+V307</f>
        <v>4070085007.0100002</v>
      </c>
      <c r="W287" s="129">
        <f t="shared" si="110"/>
        <v>0</v>
      </c>
      <c r="X287" s="129">
        <f t="shared" si="110"/>
        <v>0</v>
      </c>
      <c r="Y287" s="129">
        <f t="shared" si="110"/>
        <v>0</v>
      </c>
      <c r="Z287" s="129">
        <f t="shared" si="110"/>
        <v>0</v>
      </c>
      <c r="AA287" s="129">
        <f t="shared" si="110"/>
        <v>0</v>
      </c>
      <c r="AB287" s="129">
        <f t="shared" si="110"/>
        <v>0</v>
      </c>
      <c r="AC287" s="129">
        <f t="shared" si="110"/>
        <v>0</v>
      </c>
      <c r="AD287" s="129">
        <f t="shared" si="110"/>
        <v>0</v>
      </c>
      <c r="AE287" s="129">
        <f t="shared" si="110"/>
        <v>0</v>
      </c>
      <c r="AF287" s="129">
        <f t="shared" si="110"/>
        <v>1238436603</v>
      </c>
      <c r="AG287" s="129">
        <f t="shared" si="110"/>
        <v>0</v>
      </c>
      <c r="AH287" s="129">
        <f t="shared" si="110"/>
        <v>0</v>
      </c>
      <c r="AI287" s="129"/>
      <c r="AJ287" s="129">
        <f t="shared" si="110"/>
        <v>5308521610.0100002</v>
      </c>
      <c r="AK287" s="129"/>
      <c r="AL287" s="153"/>
      <c r="AM287" s="7"/>
      <c r="AN287" s="7"/>
      <c r="AO287" s="7"/>
      <c r="AP287" s="7"/>
      <c r="AQ287" s="7"/>
      <c r="AR287" s="7"/>
      <c r="AS287" s="7"/>
      <c r="AT287" s="7"/>
      <c r="AU287" s="7"/>
      <c r="AV287" s="7"/>
      <c r="AW287" s="7"/>
      <c r="AX287" s="7"/>
      <c r="AY287" s="7"/>
      <c r="AZ287" s="7"/>
      <c r="BA287" s="7"/>
      <c r="BB287" s="7"/>
      <c r="BC287" s="7"/>
      <c r="BD287" s="7"/>
      <c r="BE287" s="7"/>
      <c r="BF287" s="7"/>
      <c r="BG287" s="7"/>
      <c r="BH287" s="7"/>
      <c r="BI287" s="7"/>
      <c r="BJ287" s="7"/>
      <c r="BK287" s="7"/>
      <c r="BL287" s="7"/>
      <c r="BM287" s="7"/>
      <c r="BN287" s="7"/>
      <c r="BO287" s="7"/>
      <c r="BP287" s="7"/>
      <c r="BQ287" s="7"/>
      <c r="BR287" s="7"/>
      <c r="BS287" s="7"/>
      <c r="BT287" s="7"/>
      <c r="BU287" s="7"/>
      <c r="BV287" s="7"/>
      <c r="BW287" s="7"/>
      <c r="BX287" s="7"/>
      <c r="BY287" s="7"/>
    </row>
    <row r="288" spans="1:77" ht="24" customHeight="1" x14ac:dyDescent="0.2">
      <c r="A288" s="130"/>
      <c r="B288" s="78"/>
      <c r="C288" s="78"/>
      <c r="D288" s="78"/>
      <c r="E288" s="78"/>
      <c r="F288" s="138">
        <v>4102</v>
      </c>
      <c r="G288" s="68" t="s">
        <v>811</v>
      </c>
      <c r="H288" s="177"/>
      <c r="I288" s="177"/>
      <c r="J288" s="595"/>
      <c r="K288" s="623"/>
      <c r="L288" s="595"/>
      <c r="M288" s="595"/>
      <c r="N288" s="590"/>
      <c r="O288" s="591"/>
      <c r="P288" s="590"/>
      <c r="Q288" s="624"/>
      <c r="R288" s="591"/>
      <c r="S288" s="625"/>
      <c r="T288" s="132"/>
      <c r="U288" s="132"/>
      <c r="V288" s="144">
        <f t="shared" ref="V288:AJ288" si="111">SUM(V289:V298)</f>
        <v>0</v>
      </c>
      <c r="W288" s="144">
        <f t="shared" si="111"/>
        <v>0</v>
      </c>
      <c r="X288" s="144">
        <f t="shared" si="111"/>
        <v>0</v>
      </c>
      <c r="Y288" s="144">
        <f t="shared" si="111"/>
        <v>0</v>
      </c>
      <c r="Z288" s="144">
        <f t="shared" si="111"/>
        <v>0</v>
      </c>
      <c r="AA288" s="144">
        <f t="shared" si="111"/>
        <v>0</v>
      </c>
      <c r="AB288" s="144">
        <f t="shared" si="111"/>
        <v>0</v>
      </c>
      <c r="AC288" s="144">
        <f t="shared" si="111"/>
        <v>0</v>
      </c>
      <c r="AD288" s="144">
        <f t="shared" si="111"/>
        <v>0</v>
      </c>
      <c r="AE288" s="144">
        <f t="shared" si="111"/>
        <v>0</v>
      </c>
      <c r="AF288" s="144">
        <f t="shared" si="111"/>
        <v>847562889</v>
      </c>
      <c r="AG288" s="144">
        <f t="shared" si="111"/>
        <v>0</v>
      </c>
      <c r="AH288" s="144">
        <f t="shared" si="111"/>
        <v>0</v>
      </c>
      <c r="AI288" s="144"/>
      <c r="AJ288" s="144">
        <f t="shared" si="111"/>
        <v>847562889</v>
      </c>
      <c r="AK288" s="144"/>
      <c r="AL288" s="144"/>
      <c r="AM288" s="7"/>
    </row>
    <row r="289" spans="1:39" ht="127.5" customHeight="1" x14ac:dyDescent="0.2">
      <c r="A289" s="130"/>
      <c r="B289" s="78"/>
      <c r="C289" s="78"/>
      <c r="D289" s="78"/>
      <c r="E289" s="78"/>
      <c r="F289" s="74"/>
      <c r="G289" s="198"/>
      <c r="H289" s="506" t="s">
        <v>812</v>
      </c>
      <c r="I289" s="69" t="s">
        <v>46</v>
      </c>
      <c r="J289" s="515" t="s">
        <v>813</v>
      </c>
      <c r="K289" s="77">
        <v>4102035</v>
      </c>
      <c r="L289" s="515" t="s">
        <v>95</v>
      </c>
      <c r="M289" s="69" t="s">
        <v>46</v>
      </c>
      <c r="N289" s="521" t="s">
        <v>814</v>
      </c>
      <c r="O289" s="216">
        <v>410203500</v>
      </c>
      <c r="P289" s="521" t="s">
        <v>97</v>
      </c>
      <c r="Q289" s="182" t="s">
        <v>51</v>
      </c>
      <c r="R289" s="174">
        <v>1</v>
      </c>
      <c r="S289" s="970" t="s">
        <v>815</v>
      </c>
      <c r="T289" s="949" t="s">
        <v>1523</v>
      </c>
      <c r="U289" s="955" t="s">
        <v>816</v>
      </c>
      <c r="V289" s="135"/>
      <c r="W289" s="135"/>
      <c r="X289" s="135"/>
      <c r="Y289" s="135"/>
      <c r="Z289" s="135"/>
      <c r="AA289" s="240"/>
      <c r="AB289" s="135"/>
      <c r="AC289" s="135"/>
      <c r="AD289" s="241"/>
      <c r="AE289" s="135"/>
      <c r="AF289" s="145">
        <f>20000000+30000000</f>
        <v>50000000</v>
      </c>
      <c r="AG289" s="135"/>
      <c r="AH289" s="135"/>
      <c r="AI289" s="135"/>
      <c r="AJ289" s="136">
        <f t="shared" ref="AJ289:AJ298" si="112">+V289+W289+X289+Y289+Z289+AA289+AB289+AC289+AD289+AE289+AF289+AG289+AH289</f>
        <v>50000000</v>
      </c>
      <c r="AK289" s="136" t="s">
        <v>799</v>
      </c>
      <c r="AL289" s="60" t="s">
        <v>800</v>
      </c>
      <c r="AM289" s="7"/>
    </row>
    <row r="290" spans="1:39" ht="92.25" customHeight="1" x14ac:dyDescent="0.2">
      <c r="A290" s="56"/>
      <c r="B290" s="78"/>
      <c r="C290" s="78"/>
      <c r="D290" s="78"/>
      <c r="E290" s="78"/>
      <c r="F290" s="99"/>
      <c r="G290" s="102"/>
      <c r="H290" s="515" t="s">
        <v>817</v>
      </c>
      <c r="I290" s="69" t="s">
        <v>46</v>
      </c>
      <c r="J290" s="515" t="s">
        <v>818</v>
      </c>
      <c r="K290" s="408">
        <v>4102001</v>
      </c>
      <c r="L290" s="515" t="s">
        <v>819</v>
      </c>
      <c r="M290" s="69" t="s">
        <v>46</v>
      </c>
      <c r="N290" s="521" t="s">
        <v>820</v>
      </c>
      <c r="O290" s="77">
        <v>410200100</v>
      </c>
      <c r="P290" s="521" t="s">
        <v>821</v>
      </c>
      <c r="Q290" s="182" t="s">
        <v>51</v>
      </c>
      <c r="R290" s="174">
        <v>12</v>
      </c>
      <c r="S290" s="970"/>
      <c r="T290" s="949"/>
      <c r="U290" s="955"/>
      <c r="V290" s="135"/>
      <c r="W290" s="135"/>
      <c r="X290" s="135"/>
      <c r="Y290" s="135"/>
      <c r="Z290" s="135"/>
      <c r="AA290" s="240"/>
      <c r="AB290" s="135"/>
      <c r="AC290" s="135"/>
      <c r="AD290" s="241"/>
      <c r="AE290" s="135"/>
      <c r="AF290" s="145">
        <f>50000000+1930000</f>
        <v>51930000</v>
      </c>
      <c r="AG290" s="135"/>
      <c r="AH290" s="135"/>
      <c r="AI290" s="135"/>
      <c r="AJ290" s="136">
        <f t="shared" si="112"/>
        <v>51930000</v>
      </c>
      <c r="AK290" s="136" t="s">
        <v>799</v>
      </c>
      <c r="AL290" s="60" t="s">
        <v>800</v>
      </c>
      <c r="AM290" s="7"/>
    </row>
    <row r="291" spans="1:39" ht="177.75" customHeight="1" x14ac:dyDescent="0.2">
      <c r="A291" s="130"/>
      <c r="B291" s="78"/>
      <c r="C291" s="78"/>
      <c r="D291" s="78"/>
      <c r="E291" s="78"/>
      <c r="F291" s="511"/>
      <c r="G291" s="513"/>
      <c r="H291" s="506" t="s">
        <v>822</v>
      </c>
      <c r="I291" s="69" t="s">
        <v>46</v>
      </c>
      <c r="J291" s="411" t="s">
        <v>823</v>
      </c>
      <c r="K291" s="410" t="s">
        <v>824</v>
      </c>
      <c r="L291" s="836" t="s">
        <v>825</v>
      </c>
      <c r="M291" s="400" t="s">
        <v>46</v>
      </c>
      <c r="N291" s="521" t="s">
        <v>826</v>
      </c>
      <c r="O291" s="245" t="s">
        <v>827</v>
      </c>
      <c r="P291" s="521" t="s">
        <v>828</v>
      </c>
      <c r="Q291" s="182" t="s">
        <v>51</v>
      </c>
      <c r="R291" s="174">
        <v>1</v>
      </c>
      <c r="S291" s="514" t="s">
        <v>829</v>
      </c>
      <c r="T291" s="505" t="s">
        <v>830</v>
      </c>
      <c r="U291" s="506" t="s">
        <v>831</v>
      </c>
      <c r="V291" s="135"/>
      <c r="W291" s="135"/>
      <c r="X291" s="135"/>
      <c r="Y291" s="135"/>
      <c r="Z291" s="135"/>
      <c r="AA291" s="240"/>
      <c r="AB291" s="135"/>
      <c r="AC291" s="135"/>
      <c r="AD291" s="241"/>
      <c r="AE291" s="135"/>
      <c r="AF291" s="145">
        <v>135000000</v>
      </c>
      <c r="AG291" s="135"/>
      <c r="AH291" s="135"/>
      <c r="AI291" s="135"/>
      <c r="AJ291" s="136">
        <f t="shared" si="112"/>
        <v>135000000</v>
      </c>
      <c r="AK291" s="136" t="s">
        <v>799</v>
      </c>
      <c r="AL291" s="60" t="s">
        <v>800</v>
      </c>
      <c r="AM291" s="7"/>
    </row>
    <row r="292" spans="1:39" ht="336" customHeight="1" x14ac:dyDescent="0.2">
      <c r="A292" s="130"/>
      <c r="B292" s="78"/>
      <c r="C292" s="78"/>
      <c r="D292" s="78"/>
      <c r="E292" s="78"/>
      <c r="F292" s="511"/>
      <c r="G292" s="198"/>
      <c r="H292" s="506" t="s">
        <v>832</v>
      </c>
      <c r="I292" s="69" t="s">
        <v>46</v>
      </c>
      <c r="J292" s="509" t="s">
        <v>833</v>
      </c>
      <c r="K292" s="409" t="s">
        <v>834</v>
      </c>
      <c r="L292" s="509" t="s">
        <v>95</v>
      </c>
      <c r="M292" s="69" t="s">
        <v>46</v>
      </c>
      <c r="N292" s="504" t="s">
        <v>835</v>
      </c>
      <c r="O292" s="72" t="s">
        <v>836</v>
      </c>
      <c r="P292" s="504" t="s">
        <v>837</v>
      </c>
      <c r="Q292" s="182" t="s">
        <v>67</v>
      </c>
      <c r="R292" s="182">
        <v>1</v>
      </c>
      <c r="S292" s="991" t="s">
        <v>838</v>
      </c>
      <c r="T292" s="992" t="s">
        <v>839</v>
      </c>
      <c r="U292" s="952" t="s">
        <v>840</v>
      </c>
      <c r="V292" s="135"/>
      <c r="W292" s="135"/>
      <c r="X292" s="135"/>
      <c r="Y292" s="135"/>
      <c r="Z292" s="135"/>
      <c r="AA292" s="240"/>
      <c r="AB292" s="135"/>
      <c r="AC292" s="135"/>
      <c r="AD292" s="241"/>
      <c r="AE292" s="135"/>
      <c r="AF292" s="145">
        <v>36000000</v>
      </c>
      <c r="AG292" s="135"/>
      <c r="AH292" s="135"/>
      <c r="AI292" s="135"/>
      <c r="AJ292" s="136">
        <f t="shared" si="112"/>
        <v>36000000</v>
      </c>
      <c r="AK292" s="136" t="s">
        <v>799</v>
      </c>
      <c r="AL292" s="60" t="s">
        <v>800</v>
      </c>
      <c r="AM292" s="7"/>
    </row>
    <row r="293" spans="1:39" ht="282" customHeight="1" x14ac:dyDescent="0.2">
      <c r="A293" s="130"/>
      <c r="B293" s="78"/>
      <c r="C293" s="78"/>
      <c r="D293" s="78"/>
      <c r="E293" s="78"/>
      <c r="F293" s="511"/>
      <c r="G293" s="198"/>
      <c r="H293" s="506" t="s">
        <v>832</v>
      </c>
      <c r="I293" s="69" t="s">
        <v>46</v>
      </c>
      <c r="J293" s="509" t="s">
        <v>841</v>
      </c>
      <c r="K293" s="381" t="s">
        <v>824</v>
      </c>
      <c r="L293" s="509" t="s">
        <v>842</v>
      </c>
      <c r="M293" s="69" t="s">
        <v>46</v>
      </c>
      <c r="N293" s="504" t="s">
        <v>843</v>
      </c>
      <c r="O293" s="72">
        <v>410204301</v>
      </c>
      <c r="P293" s="504" t="s">
        <v>844</v>
      </c>
      <c r="Q293" s="182" t="s">
        <v>51</v>
      </c>
      <c r="R293" s="182">
        <v>1</v>
      </c>
      <c r="S293" s="978"/>
      <c r="T293" s="980"/>
      <c r="U293" s="953"/>
      <c r="V293" s="135"/>
      <c r="W293" s="135"/>
      <c r="X293" s="135"/>
      <c r="Y293" s="135"/>
      <c r="Z293" s="135"/>
      <c r="AA293" s="240"/>
      <c r="AB293" s="135"/>
      <c r="AC293" s="135"/>
      <c r="AD293" s="241"/>
      <c r="AE293" s="135"/>
      <c r="AF293" s="145">
        <f>204000000+54647889</f>
        <v>258647889</v>
      </c>
      <c r="AG293" s="135"/>
      <c r="AH293" s="135"/>
      <c r="AI293" s="135"/>
      <c r="AJ293" s="136">
        <f t="shared" si="112"/>
        <v>258647889</v>
      </c>
      <c r="AK293" s="136" t="s">
        <v>799</v>
      </c>
      <c r="AL293" s="60" t="s">
        <v>800</v>
      </c>
      <c r="AM293" s="7"/>
    </row>
    <row r="294" spans="1:39" s="37" customFormat="1" ht="204" customHeight="1" x14ac:dyDescent="0.2">
      <c r="A294" s="311"/>
      <c r="B294" s="70"/>
      <c r="C294" s="70"/>
      <c r="D294" s="70"/>
      <c r="E294" s="70"/>
      <c r="F294" s="69"/>
      <c r="G294" s="503"/>
      <c r="H294" s="509" t="s">
        <v>845</v>
      </c>
      <c r="I294" s="69" t="s">
        <v>46</v>
      </c>
      <c r="J294" s="509" t="s">
        <v>846</v>
      </c>
      <c r="K294" s="72">
        <v>4102038</v>
      </c>
      <c r="L294" s="509" t="s">
        <v>847</v>
      </c>
      <c r="M294" s="69" t="s">
        <v>46</v>
      </c>
      <c r="N294" s="509" t="s">
        <v>848</v>
      </c>
      <c r="O294" s="72">
        <v>410203800</v>
      </c>
      <c r="P294" s="509" t="s">
        <v>876</v>
      </c>
      <c r="Q294" s="182" t="s">
        <v>51</v>
      </c>
      <c r="R294" s="182">
        <v>1</v>
      </c>
      <c r="S294" s="514" t="s">
        <v>849</v>
      </c>
      <c r="T294" s="504" t="s">
        <v>850</v>
      </c>
      <c r="U294" s="509" t="s">
        <v>851</v>
      </c>
      <c r="V294" s="135"/>
      <c r="W294" s="135"/>
      <c r="X294" s="135"/>
      <c r="Y294" s="135"/>
      <c r="Z294" s="135"/>
      <c r="AA294" s="240"/>
      <c r="AB294" s="135"/>
      <c r="AC294" s="135"/>
      <c r="AD294" s="241"/>
      <c r="AE294" s="135"/>
      <c r="AF294" s="145">
        <v>210000000</v>
      </c>
      <c r="AG294" s="135"/>
      <c r="AH294" s="135"/>
      <c r="AI294" s="135"/>
      <c r="AJ294" s="313">
        <f t="shared" si="112"/>
        <v>210000000</v>
      </c>
      <c r="AK294" s="313" t="s">
        <v>799</v>
      </c>
      <c r="AL294" s="315" t="s">
        <v>800</v>
      </c>
      <c r="AM294" s="7"/>
    </row>
    <row r="295" spans="1:39" ht="189.75" customHeight="1" x14ac:dyDescent="0.2">
      <c r="A295" s="130"/>
      <c r="B295" s="78"/>
      <c r="C295" s="78"/>
      <c r="D295" s="78"/>
      <c r="E295" s="78"/>
      <c r="F295" s="511"/>
      <c r="G295" s="198"/>
      <c r="H295" s="506" t="s">
        <v>852</v>
      </c>
      <c r="I295" s="69" t="s">
        <v>46</v>
      </c>
      <c r="J295" s="509" t="s">
        <v>853</v>
      </c>
      <c r="K295" s="72">
        <v>4102042</v>
      </c>
      <c r="L295" s="509" t="s">
        <v>854</v>
      </c>
      <c r="M295" s="69" t="s">
        <v>46</v>
      </c>
      <c r="N295" s="505" t="s">
        <v>855</v>
      </c>
      <c r="O295" s="72">
        <v>410204200</v>
      </c>
      <c r="P295" s="505" t="s">
        <v>856</v>
      </c>
      <c r="Q295" s="182" t="s">
        <v>51</v>
      </c>
      <c r="R295" s="174">
        <v>12</v>
      </c>
      <c r="S295" s="516" t="s">
        <v>857</v>
      </c>
      <c r="T295" s="246" t="s">
        <v>858</v>
      </c>
      <c r="U295" s="110" t="s">
        <v>859</v>
      </c>
      <c r="V295" s="135"/>
      <c r="W295" s="135"/>
      <c r="X295" s="135"/>
      <c r="Y295" s="135"/>
      <c r="Z295" s="135"/>
      <c r="AA295" s="240"/>
      <c r="AB295" s="135"/>
      <c r="AC295" s="135"/>
      <c r="AD295" s="241"/>
      <c r="AE295" s="135"/>
      <c r="AF295" s="145">
        <v>18000000</v>
      </c>
      <c r="AG295" s="135"/>
      <c r="AH295" s="135"/>
      <c r="AI295" s="135"/>
      <c r="AJ295" s="136">
        <f t="shared" si="112"/>
        <v>18000000</v>
      </c>
      <c r="AK295" s="136" t="s">
        <v>799</v>
      </c>
      <c r="AL295" s="60" t="s">
        <v>800</v>
      </c>
      <c r="AM295" s="7"/>
    </row>
    <row r="296" spans="1:39" ht="116.25" customHeight="1" x14ac:dyDescent="0.2">
      <c r="A296" s="130"/>
      <c r="B296" s="78"/>
      <c r="C296" s="78"/>
      <c r="D296" s="78"/>
      <c r="E296" s="78"/>
      <c r="F296" s="511"/>
      <c r="G296" s="198"/>
      <c r="H296" s="506" t="s">
        <v>860</v>
      </c>
      <c r="I296" s="69" t="s">
        <v>46</v>
      </c>
      <c r="J296" s="98" t="s">
        <v>861</v>
      </c>
      <c r="K296" s="77">
        <v>4102001</v>
      </c>
      <c r="L296" s="98" t="s">
        <v>862</v>
      </c>
      <c r="M296" s="69" t="s">
        <v>46</v>
      </c>
      <c r="N296" s="97" t="s">
        <v>863</v>
      </c>
      <c r="O296" s="77">
        <v>410200100</v>
      </c>
      <c r="P296" s="97" t="s">
        <v>864</v>
      </c>
      <c r="Q296" s="182" t="s">
        <v>51</v>
      </c>
      <c r="R296" s="174">
        <v>1</v>
      </c>
      <c r="S296" s="976" t="s">
        <v>865</v>
      </c>
      <c r="T296" s="984" t="s">
        <v>866</v>
      </c>
      <c r="U296" s="984" t="s">
        <v>867</v>
      </c>
      <c r="V296" s="135"/>
      <c r="W296" s="135"/>
      <c r="X296" s="135"/>
      <c r="Y296" s="135"/>
      <c r="Z296" s="135"/>
      <c r="AA296" s="240"/>
      <c r="AB296" s="135"/>
      <c r="AC296" s="135"/>
      <c r="AD296" s="241"/>
      <c r="AE296" s="135"/>
      <c r="AF296" s="145">
        <f>20000000+12985000</f>
        <v>32985000</v>
      </c>
      <c r="AG296" s="135"/>
      <c r="AH296" s="135"/>
      <c r="AI296" s="135"/>
      <c r="AJ296" s="136">
        <f t="shared" si="112"/>
        <v>32985000</v>
      </c>
      <c r="AK296" s="136" t="s">
        <v>799</v>
      </c>
      <c r="AL296" s="60" t="s">
        <v>800</v>
      </c>
      <c r="AM296" s="7"/>
    </row>
    <row r="297" spans="1:39" ht="248.25" customHeight="1" x14ac:dyDescent="0.2">
      <c r="A297" s="130"/>
      <c r="B297" s="78"/>
      <c r="C297" s="78"/>
      <c r="D297" s="78"/>
      <c r="E297" s="78"/>
      <c r="F297" s="511"/>
      <c r="G297" s="198"/>
      <c r="H297" s="506" t="s">
        <v>868</v>
      </c>
      <c r="I297" s="69">
        <v>4102022</v>
      </c>
      <c r="J297" s="111" t="s">
        <v>869</v>
      </c>
      <c r="K297" s="105">
        <v>4102046</v>
      </c>
      <c r="L297" s="111" t="s">
        <v>870</v>
      </c>
      <c r="M297" s="426" t="s">
        <v>871</v>
      </c>
      <c r="N297" s="106" t="s">
        <v>872</v>
      </c>
      <c r="O297" s="105">
        <v>410204600</v>
      </c>
      <c r="P297" s="106" t="s">
        <v>873</v>
      </c>
      <c r="Q297" s="182" t="s">
        <v>67</v>
      </c>
      <c r="R297" s="174">
        <v>16</v>
      </c>
      <c r="S297" s="976"/>
      <c r="T297" s="984"/>
      <c r="U297" s="984"/>
      <c r="V297" s="135"/>
      <c r="W297" s="135"/>
      <c r="X297" s="135"/>
      <c r="Y297" s="135"/>
      <c r="Z297" s="135"/>
      <c r="AA297" s="240"/>
      <c r="AB297" s="135"/>
      <c r="AC297" s="135"/>
      <c r="AD297" s="241"/>
      <c r="AE297" s="135"/>
      <c r="AF297" s="145">
        <v>18000000</v>
      </c>
      <c r="AG297" s="135"/>
      <c r="AH297" s="135"/>
      <c r="AI297" s="135"/>
      <c r="AJ297" s="136">
        <f t="shared" si="112"/>
        <v>18000000</v>
      </c>
      <c r="AK297" s="136" t="s">
        <v>799</v>
      </c>
      <c r="AL297" s="60" t="s">
        <v>800</v>
      </c>
      <c r="AM297" s="7"/>
    </row>
    <row r="298" spans="1:39" ht="174" customHeight="1" x14ac:dyDescent="0.2">
      <c r="A298" s="130"/>
      <c r="B298" s="78"/>
      <c r="C298" s="78"/>
      <c r="D298" s="78"/>
      <c r="E298" s="78"/>
      <c r="F298" s="511"/>
      <c r="G298" s="198"/>
      <c r="H298" s="506" t="s">
        <v>874</v>
      </c>
      <c r="I298" s="511">
        <v>4102038</v>
      </c>
      <c r="J298" s="506" t="s">
        <v>875</v>
      </c>
      <c r="K298" s="511">
        <v>4102038</v>
      </c>
      <c r="L298" s="506" t="s">
        <v>875</v>
      </c>
      <c r="M298" s="92">
        <v>410203800</v>
      </c>
      <c r="N298" s="521" t="s">
        <v>876</v>
      </c>
      <c r="O298" s="92">
        <v>410203800</v>
      </c>
      <c r="P298" s="521" t="s">
        <v>876</v>
      </c>
      <c r="Q298" s="182" t="s">
        <v>67</v>
      </c>
      <c r="R298" s="174">
        <v>10</v>
      </c>
      <c r="S298" s="516" t="s">
        <v>877</v>
      </c>
      <c r="T298" s="89" t="s">
        <v>878</v>
      </c>
      <c r="U298" s="91" t="s">
        <v>879</v>
      </c>
      <c r="V298" s="135"/>
      <c r="W298" s="135"/>
      <c r="X298" s="135"/>
      <c r="Y298" s="135"/>
      <c r="Z298" s="135"/>
      <c r="AA298" s="240"/>
      <c r="AB298" s="135"/>
      <c r="AC298" s="135"/>
      <c r="AD298" s="241"/>
      <c r="AE298" s="135"/>
      <c r="AF298" s="145">
        <v>37000000</v>
      </c>
      <c r="AG298" s="135"/>
      <c r="AH298" s="135"/>
      <c r="AI298" s="135"/>
      <c r="AJ298" s="136">
        <f t="shared" si="112"/>
        <v>37000000</v>
      </c>
      <c r="AK298" s="136" t="s">
        <v>799</v>
      </c>
      <c r="AL298" s="60" t="s">
        <v>800</v>
      </c>
      <c r="AM298" s="7"/>
    </row>
    <row r="299" spans="1:39" ht="24" customHeight="1" x14ac:dyDescent="0.2">
      <c r="A299" s="130"/>
      <c r="B299" s="78"/>
      <c r="C299" s="78"/>
      <c r="D299" s="78"/>
      <c r="E299" s="78"/>
      <c r="F299" s="138">
        <v>4103</v>
      </c>
      <c r="G299" s="68" t="s">
        <v>318</v>
      </c>
      <c r="H299" s="177"/>
      <c r="I299" s="177"/>
      <c r="J299" s="595"/>
      <c r="K299" s="623"/>
      <c r="L299" s="595"/>
      <c r="M299" s="595"/>
      <c r="N299" s="590"/>
      <c r="O299" s="591"/>
      <c r="P299" s="590"/>
      <c r="Q299" s="624"/>
      <c r="R299" s="591"/>
      <c r="S299" s="625"/>
      <c r="T299" s="132"/>
      <c r="U299" s="132"/>
      <c r="V299" s="144">
        <f>SUM(V300:V306)</f>
        <v>0</v>
      </c>
      <c r="W299" s="144">
        <f t="shared" ref="W299:AH299" si="113">SUM(W300:W306)</f>
        <v>0</v>
      </c>
      <c r="X299" s="144">
        <f t="shared" si="113"/>
        <v>0</v>
      </c>
      <c r="Y299" s="144">
        <f t="shared" si="113"/>
        <v>0</v>
      </c>
      <c r="Z299" s="144">
        <f t="shared" si="113"/>
        <v>0</v>
      </c>
      <c r="AA299" s="247">
        <f t="shared" si="113"/>
        <v>0</v>
      </c>
      <c r="AB299" s="144">
        <f t="shared" si="113"/>
        <v>0</v>
      </c>
      <c r="AC299" s="144">
        <f t="shared" si="113"/>
        <v>0</v>
      </c>
      <c r="AD299" s="248">
        <f t="shared" si="113"/>
        <v>0</v>
      </c>
      <c r="AE299" s="144">
        <f t="shared" si="113"/>
        <v>0</v>
      </c>
      <c r="AF299" s="144">
        <f>SUM(AF300:AF306)</f>
        <v>233793714</v>
      </c>
      <c r="AG299" s="144">
        <f t="shared" si="113"/>
        <v>0</v>
      </c>
      <c r="AH299" s="144">
        <f t="shared" si="113"/>
        <v>0</v>
      </c>
      <c r="AI299" s="144"/>
      <c r="AJ299" s="144">
        <f>SUM(AJ300:AJ306)</f>
        <v>233793714</v>
      </c>
      <c r="AK299" s="144"/>
      <c r="AL299" s="144"/>
      <c r="AM299" s="7"/>
    </row>
    <row r="300" spans="1:39" ht="141" customHeight="1" x14ac:dyDescent="0.2">
      <c r="A300" s="130"/>
      <c r="B300" s="96"/>
      <c r="C300" s="96"/>
      <c r="D300" s="96"/>
      <c r="E300" s="96"/>
      <c r="F300" s="511"/>
      <c r="G300" s="198"/>
      <c r="H300" s="506" t="s">
        <v>880</v>
      </c>
      <c r="I300" s="72">
        <v>4103059</v>
      </c>
      <c r="J300" s="506" t="s">
        <v>881</v>
      </c>
      <c r="K300" s="72">
        <v>4103059</v>
      </c>
      <c r="L300" s="506" t="s">
        <v>881</v>
      </c>
      <c r="M300" s="180">
        <v>410305900</v>
      </c>
      <c r="N300" s="521" t="s">
        <v>882</v>
      </c>
      <c r="O300" s="180">
        <v>410305900</v>
      </c>
      <c r="P300" s="521" t="s">
        <v>882</v>
      </c>
      <c r="Q300" s="178" t="s">
        <v>67</v>
      </c>
      <c r="R300" s="112">
        <v>10</v>
      </c>
      <c r="S300" s="514" t="s">
        <v>883</v>
      </c>
      <c r="T300" s="506" t="s">
        <v>884</v>
      </c>
      <c r="U300" s="506" t="s">
        <v>885</v>
      </c>
      <c r="V300" s="135"/>
      <c r="W300" s="135"/>
      <c r="X300" s="135"/>
      <c r="Y300" s="135"/>
      <c r="Z300" s="135"/>
      <c r="AA300" s="240"/>
      <c r="AB300" s="135"/>
      <c r="AC300" s="135"/>
      <c r="AD300" s="241"/>
      <c r="AE300" s="135"/>
      <c r="AF300" s="145">
        <v>15000000</v>
      </c>
      <c r="AG300" s="135"/>
      <c r="AH300" s="135"/>
      <c r="AI300" s="135"/>
      <c r="AJ300" s="136">
        <f t="shared" ref="AJ300:AJ306" si="114">+V300+W300+X300+Y300+Z300+AA300+AB300+AC300+AD300+AE300+AF300+AG300+AH300</f>
        <v>15000000</v>
      </c>
      <c r="AK300" s="136" t="s">
        <v>799</v>
      </c>
      <c r="AL300" s="60" t="s">
        <v>800</v>
      </c>
      <c r="AM300" s="7"/>
    </row>
    <row r="301" spans="1:39" ht="150.75" customHeight="1" x14ac:dyDescent="0.2">
      <c r="A301" s="130"/>
      <c r="B301" s="78"/>
      <c r="C301" s="78"/>
      <c r="D301" s="78"/>
      <c r="E301" s="78"/>
      <c r="F301" s="511"/>
      <c r="G301" s="198"/>
      <c r="H301" s="506" t="s">
        <v>886</v>
      </c>
      <c r="I301" s="511">
        <v>4103052</v>
      </c>
      <c r="J301" s="506" t="s">
        <v>321</v>
      </c>
      <c r="K301" s="511">
        <v>4103052</v>
      </c>
      <c r="L301" s="506" t="s">
        <v>321</v>
      </c>
      <c r="M301" s="92">
        <v>410305202</v>
      </c>
      <c r="N301" s="521" t="s">
        <v>887</v>
      </c>
      <c r="O301" s="92">
        <v>410305202</v>
      </c>
      <c r="P301" s="521" t="s">
        <v>887</v>
      </c>
      <c r="Q301" s="178" t="s">
        <v>51</v>
      </c>
      <c r="R301" s="112">
        <v>1</v>
      </c>
      <c r="S301" s="514" t="s">
        <v>888</v>
      </c>
      <c r="T301" s="506" t="s">
        <v>889</v>
      </c>
      <c r="U301" s="506" t="s">
        <v>890</v>
      </c>
      <c r="V301" s="135"/>
      <c r="W301" s="135"/>
      <c r="X301" s="135"/>
      <c r="Y301" s="135"/>
      <c r="Z301" s="135"/>
      <c r="AA301" s="240"/>
      <c r="AB301" s="135"/>
      <c r="AC301" s="135"/>
      <c r="AD301" s="241"/>
      <c r="AE301" s="135"/>
      <c r="AF301" s="145">
        <v>20000000</v>
      </c>
      <c r="AG301" s="135"/>
      <c r="AH301" s="135"/>
      <c r="AI301" s="135"/>
      <c r="AJ301" s="136">
        <f t="shared" si="114"/>
        <v>20000000</v>
      </c>
      <c r="AK301" s="136" t="s">
        <v>799</v>
      </c>
      <c r="AL301" s="60" t="s">
        <v>800</v>
      </c>
      <c r="AM301" s="7"/>
    </row>
    <row r="302" spans="1:39" ht="271.5" customHeight="1" x14ac:dyDescent="0.2">
      <c r="A302" s="130"/>
      <c r="B302" s="78"/>
      <c r="C302" s="78"/>
      <c r="D302" s="78"/>
      <c r="E302" s="78"/>
      <c r="F302" s="511"/>
      <c r="G302" s="198"/>
      <c r="H302" s="506" t="s">
        <v>868</v>
      </c>
      <c r="I302" s="511">
        <v>4103050</v>
      </c>
      <c r="J302" s="506" t="s">
        <v>891</v>
      </c>
      <c r="K302" s="511">
        <v>4103050</v>
      </c>
      <c r="L302" s="506" t="s">
        <v>891</v>
      </c>
      <c r="M302" s="92">
        <v>410305001</v>
      </c>
      <c r="N302" s="521" t="s">
        <v>892</v>
      </c>
      <c r="O302" s="92">
        <v>410305001</v>
      </c>
      <c r="P302" s="521" t="s">
        <v>892</v>
      </c>
      <c r="Q302" s="178" t="s">
        <v>51</v>
      </c>
      <c r="R302" s="112">
        <v>12</v>
      </c>
      <c r="S302" s="514" t="s">
        <v>893</v>
      </c>
      <c r="T302" s="506" t="s">
        <v>894</v>
      </c>
      <c r="U302" s="506" t="s">
        <v>895</v>
      </c>
      <c r="V302" s="135"/>
      <c r="W302" s="135"/>
      <c r="X302" s="135"/>
      <c r="Y302" s="135"/>
      <c r="Z302" s="135"/>
      <c r="AA302" s="240"/>
      <c r="AB302" s="135"/>
      <c r="AC302" s="135"/>
      <c r="AD302" s="241"/>
      <c r="AE302" s="135"/>
      <c r="AF302" s="145">
        <v>25000000</v>
      </c>
      <c r="AG302" s="135"/>
      <c r="AH302" s="135"/>
      <c r="AI302" s="135"/>
      <c r="AJ302" s="136">
        <f t="shared" si="114"/>
        <v>25000000</v>
      </c>
      <c r="AK302" s="136" t="s">
        <v>799</v>
      </c>
      <c r="AL302" s="60" t="s">
        <v>800</v>
      </c>
      <c r="AM302" s="7"/>
    </row>
    <row r="303" spans="1:39" ht="149.25" customHeight="1" x14ac:dyDescent="0.2">
      <c r="A303" s="130"/>
      <c r="B303" s="78"/>
      <c r="C303" s="78"/>
      <c r="D303" s="78"/>
      <c r="E303" s="78"/>
      <c r="F303" s="511"/>
      <c r="G303" s="198"/>
      <c r="H303" s="506" t="s">
        <v>896</v>
      </c>
      <c r="I303" s="72">
        <v>4103058</v>
      </c>
      <c r="J303" s="506" t="s">
        <v>897</v>
      </c>
      <c r="K303" s="72">
        <v>4103058</v>
      </c>
      <c r="L303" s="506" t="s">
        <v>897</v>
      </c>
      <c r="M303" s="180">
        <v>410305800</v>
      </c>
      <c r="N303" s="521" t="s">
        <v>898</v>
      </c>
      <c r="O303" s="180">
        <v>410305800</v>
      </c>
      <c r="P303" s="521" t="s">
        <v>898</v>
      </c>
      <c r="Q303" s="178" t="s">
        <v>67</v>
      </c>
      <c r="R303" s="112">
        <v>2</v>
      </c>
      <c r="S303" s="514" t="s">
        <v>899</v>
      </c>
      <c r="T303" s="506" t="s">
        <v>900</v>
      </c>
      <c r="U303" s="506" t="s">
        <v>901</v>
      </c>
      <c r="V303" s="135"/>
      <c r="W303" s="135"/>
      <c r="X303" s="135"/>
      <c r="Y303" s="135"/>
      <c r="Z303" s="135"/>
      <c r="AA303" s="240"/>
      <c r="AB303" s="135"/>
      <c r="AC303" s="135"/>
      <c r="AD303" s="241"/>
      <c r="AE303" s="135"/>
      <c r="AF303" s="145">
        <f>28000000+47112368</f>
        <v>75112368</v>
      </c>
      <c r="AG303" s="135"/>
      <c r="AH303" s="135"/>
      <c r="AI303" s="135"/>
      <c r="AJ303" s="136">
        <f t="shared" si="114"/>
        <v>75112368</v>
      </c>
      <c r="AK303" s="136" t="s">
        <v>799</v>
      </c>
      <c r="AL303" s="60" t="s">
        <v>800</v>
      </c>
      <c r="AM303" s="7"/>
    </row>
    <row r="304" spans="1:39" ht="96" customHeight="1" x14ac:dyDescent="0.2">
      <c r="A304" s="130"/>
      <c r="B304" s="78"/>
      <c r="C304" s="78"/>
      <c r="D304" s="78"/>
      <c r="E304" s="78"/>
      <c r="F304" s="511"/>
      <c r="G304" s="198"/>
      <c r="H304" s="518" t="s">
        <v>902</v>
      </c>
      <c r="I304" s="69" t="s">
        <v>46</v>
      </c>
      <c r="J304" s="515" t="s">
        <v>903</v>
      </c>
      <c r="K304" s="77">
        <v>4103060</v>
      </c>
      <c r="L304" s="515" t="s">
        <v>904</v>
      </c>
      <c r="M304" s="69" t="s">
        <v>46</v>
      </c>
      <c r="N304" s="521" t="s">
        <v>905</v>
      </c>
      <c r="O304" s="77">
        <v>410306000</v>
      </c>
      <c r="P304" s="521" t="s">
        <v>906</v>
      </c>
      <c r="Q304" s="178" t="s">
        <v>67</v>
      </c>
      <c r="R304" s="112">
        <v>5</v>
      </c>
      <c r="S304" s="976" t="s">
        <v>907</v>
      </c>
      <c r="T304" s="955" t="s">
        <v>908</v>
      </c>
      <c r="U304" s="955" t="s">
        <v>909</v>
      </c>
      <c r="V304" s="135"/>
      <c r="W304" s="135"/>
      <c r="X304" s="135"/>
      <c r="Y304" s="135"/>
      <c r="Z304" s="135"/>
      <c r="AA304" s="240"/>
      <c r="AB304" s="135"/>
      <c r="AC304" s="135"/>
      <c r="AD304" s="241"/>
      <c r="AE304" s="135"/>
      <c r="AF304" s="145">
        <v>27000000</v>
      </c>
      <c r="AG304" s="135"/>
      <c r="AH304" s="135"/>
      <c r="AI304" s="135"/>
      <c r="AJ304" s="136">
        <f t="shared" si="114"/>
        <v>27000000</v>
      </c>
      <c r="AK304" s="136" t="s">
        <v>799</v>
      </c>
      <c r="AL304" s="60" t="s">
        <v>800</v>
      </c>
      <c r="AM304" s="7"/>
    </row>
    <row r="305" spans="1:77" ht="98.25" customHeight="1" x14ac:dyDescent="0.2">
      <c r="A305" s="130"/>
      <c r="B305" s="78"/>
      <c r="C305" s="78"/>
      <c r="D305" s="78"/>
      <c r="E305" s="78"/>
      <c r="F305" s="511"/>
      <c r="G305" s="198"/>
      <c r="H305" s="518" t="s">
        <v>910</v>
      </c>
      <c r="I305" s="69" t="s">
        <v>46</v>
      </c>
      <c r="J305" s="515" t="s">
        <v>911</v>
      </c>
      <c r="K305" s="77">
        <v>4103060</v>
      </c>
      <c r="L305" s="515" t="s">
        <v>904</v>
      </c>
      <c r="M305" s="69" t="s">
        <v>46</v>
      </c>
      <c r="N305" s="505" t="s">
        <v>912</v>
      </c>
      <c r="O305" s="77">
        <v>410306000</v>
      </c>
      <c r="P305" s="505" t="s">
        <v>906</v>
      </c>
      <c r="Q305" s="178" t="s">
        <v>51</v>
      </c>
      <c r="R305" s="112">
        <v>2</v>
      </c>
      <c r="S305" s="976"/>
      <c r="T305" s="955"/>
      <c r="U305" s="955"/>
      <c r="V305" s="135"/>
      <c r="W305" s="135"/>
      <c r="X305" s="135"/>
      <c r="Y305" s="135"/>
      <c r="Z305" s="135"/>
      <c r="AA305" s="240"/>
      <c r="AB305" s="135"/>
      <c r="AC305" s="135"/>
      <c r="AD305" s="241"/>
      <c r="AE305" s="135"/>
      <c r="AF305" s="145">
        <v>20000000</v>
      </c>
      <c r="AG305" s="135"/>
      <c r="AH305" s="135"/>
      <c r="AI305" s="135"/>
      <c r="AJ305" s="136">
        <f t="shared" si="114"/>
        <v>20000000</v>
      </c>
      <c r="AK305" s="136" t="s">
        <v>799</v>
      </c>
      <c r="AL305" s="60" t="s">
        <v>800</v>
      </c>
      <c r="AM305" s="7"/>
    </row>
    <row r="306" spans="1:77" s="37" customFormat="1" ht="152.25" customHeight="1" x14ac:dyDescent="0.2">
      <c r="A306" s="311"/>
      <c r="B306" s="70"/>
      <c r="C306" s="70"/>
      <c r="D306" s="70"/>
      <c r="E306" s="70"/>
      <c r="F306" s="69"/>
      <c r="G306" s="503"/>
      <c r="H306" s="509" t="s">
        <v>913</v>
      </c>
      <c r="I306" s="69" t="s">
        <v>46</v>
      </c>
      <c r="J306" s="509" t="s">
        <v>914</v>
      </c>
      <c r="K306" s="72">
        <v>4103052</v>
      </c>
      <c r="L306" s="509" t="s">
        <v>321</v>
      </c>
      <c r="M306" s="69" t="s">
        <v>46</v>
      </c>
      <c r="N306" s="80" t="s">
        <v>915</v>
      </c>
      <c r="O306" s="72">
        <v>410305202</v>
      </c>
      <c r="P306" s="80" t="s">
        <v>887</v>
      </c>
      <c r="Q306" s="232" t="s">
        <v>51</v>
      </c>
      <c r="R306" s="232">
        <v>1</v>
      </c>
      <c r="S306" s="514" t="s">
        <v>916</v>
      </c>
      <c r="T306" s="509" t="s">
        <v>917</v>
      </c>
      <c r="U306" s="509" t="s">
        <v>918</v>
      </c>
      <c r="V306" s="135"/>
      <c r="W306" s="135"/>
      <c r="X306" s="135"/>
      <c r="Y306" s="135"/>
      <c r="Z306" s="135"/>
      <c r="AA306" s="240"/>
      <c r="AB306" s="135"/>
      <c r="AC306" s="135"/>
      <c r="AD306" s="241"/>
      <c r="AE306" s="135"/>
      <c r="AF306" s="145">
        <f>40000000+11681346</f>
        <v>51681346</v>
      </c>
      <c r="AG306" s="135"/>
      <c r="AH306" s="135"/>
      <c r="AI306" s="135"/>
      <c r="AJ306" s="313">
        <f t="shared" si="114"/>
        <v>51681346</v>
      </c>
      <c r="AK306" s="313" t="s">
        <v>799</v>
      </c>
      <c r="AL306" s="315" t="s">
        <v>800</v>
      </c>
      <c r="AM306" s="7"/>
    </row>
    <row r="307" spans="1:77" ht="24" customHeight="1" x14ac:dyDescent="0.2">
      <c r="A307" s="130"/>
      <c r="B307" s="78"/>
      <c r="C307" s="78"/>
      <c r="D307" s="78"/>
      <c r="E307" s="78"/>
      <c r="F307" s="138">
        <v>4104</v>
      </c>
      <c r="G307" s="68" t="s">
        <v>919</v>
      </c>
      <c r="H307" s="177"/>
      <c r="I307" s="177"/>
      <c r="J307" s="595"/>
      <c r="K307" s="623"/>
      <c r="L307" s="595"/>
      <c r="M307" s="595"/>
      <c r="N307" s="590"/>
      <c r="O307" s="591"/>
      <c r="P307" s="590"/>
      <c r="Q307" s="635"/>
      <c r="R307" s="591"/>
      <c r="S307" s="625"/>
      <c r="T307" s="132"/>
      <c r="U307" s="132"/>
      <c r="V307" s="144">
        <f t="shared" ref="V307:AJ307" si="115">SUM(V308:V312)</f>
        <v>4070085007.0100002</v>
      </c>
      <c r="W307" s="144">
        <f t="shared" si="115"/>
        <v>0</v>
      </c>
      <c r="X307" s="144">
        <f t="shared" si="115"/>
        <v>0</v>
      </c>
      <c r="Y307" s="144">
        <f t="shared" si="115"/>
        <v>0</v>
      </c>
      <c r="Z307" s="144">
        <f t="shared" si="115"/>
        <v>0</v>
      </c>
      <c r="AA307" s="247">
        <f t="shared" si="115"/>
        <v>0</v>
      </c>
      <c r="AB307" s="144">
        <f t="shared" si="115"/>
        <v>0</v>
      </c>
      <c r="AC307" s="144">
        <f t="shared" si="115"/>
        <v>0</v>
      </c>
      <c r="AD307" s="248">
        <f t="shared" si="115"/>
        <v>0</v>
      </c>
      <c r="AE307" s="144">
        <f t="shared" si="115"/>
        <v>0</v>
      </c>
      <c r="AF307" s="144">
        <f t="shared" si="115"/>
        <v>157080000</v>
      </c>
      <c r="AG307" s="144">
        <f t="shared" si="115"/>
        <v>0</v>
      </c>
      <c r="AH307" s="144">
        <f t="shared" si="115"/>
        <v>0</v>
      </c>
      <c r="AI307" s="144"/>
      <c r="AJ307" s="144">
        <f t="shared" si="115"/>
        <v>4227165007.0100002</v>
      </c>
      <c r="AK307" s="144"/>
      <c r="AL307" s="144"/>
      <c r="AM307" s="7"/>
    </row>
    <row r="308" spans="1:77" ht="152.25" customHeight="1" x14ac:dyDescent="0.2">
      <c r="A308" s="130"/>
      <c r="B308" s="78"/>
      <c r="C308" s="78"/>
      <c r="D308" s="78"/>
      <c r="E308" s="78"/>
      <c r="F308" s="511"/>
      <c r="G308" s="260"/>
      <c r="H308" s="567" t="s">
        <v>920</v>
      </c>
      <c r="I308" s="427">
        <v>4104035</v>
      </c>
      <c r="J308" s="565" t="s">
        <v>921</v>
      </c>
      <c r="K308" s="261">
        <v>4104020</v>
      </c>
      <c r="L308" s="565" t="s">
        <v>922</v>
      </c>
      <c r="M308" s="634">
        <v>410403500</v>
      </c>
      <c r="N308" s="572" t="s">
        <v>923</v>
      </c>
      <c r="O308" s="261">
        <v>410402000</v>
      </c>
      <c r="P308" s="571" t="s">
        <v>924</v>
      </c>
      <c r="Q308" s="263" t="s">
        <v>67</v>
      </c>
      <c r="R308" s="202">
        <v>50</v>
      </c>
      <c r="S308" s="975" t="s">
        <v>925</v>
      </c>
      <c r="T308" s="966" t="s">
        <v>926</v>
      </c>
      <c r="U308" s="955" t="s">
        <v>927</v>
      </c>
      <c r="V308" s="135"/>
      <c r="W308" s="135"/>
      <c r="X308" s="135"/>
      <c r="Y308" s="135"/>
      <c r="Z308" s="135"/>
      <c r="AA308" s="240"/>
      <c r="AB308" s="135"/>
      <c r="AC308" s="135"/>
      <c r="AD308" s="241"/>
      <c r="AE308" s="135"/>
      <c r="AF308" s="148">
        <f>25000000+54000000-11540000</f>
        <v>67460000</v>
      </c>
      <c r="AG308" s="135"/>
      <c r="AH308" s="135"/>
      <c r="AI308" s="135"/>
      <c r="AJ308" s="136">
        <f>+V308+W308+X308+Y308+Z308+AA308+AB308+AC308+AD308+AE308+AF308+AG308+AH308</f>
        <v>67460000</v>
      </c>
      <c r="AK308" s="136" t="s">
        <v>799</v>
      </c>
      <c r="AL308" s="60" t="s">
        <v>800</v>
      </c>
      <c r="AM308" s="7"/>
    </row>
    <row r="309" spans="1:77" ht="134.25" customHeight="1" x14ac:dyDescent="0.2">
      <c r="A309" s="130"/>
      <c r="B309" s="78"/>
      <c r="C309" s="78"/>
      <c r="D309" s="78"/>
      <c r="E309" s="78"/>
      <c r="F309" s="511"/>
      <c r="G309" s="198"/>
      <c r="H309" s="506" t="s">
        <v>928</v>
      </c>
      <c r="I309" s="69">
        <v>4104035</v>
      </c>
      <c r="J309" s="515" t="s">
        <v>921</v>
      </c>
      <c r="K309" s="77">
        <v>4104020</v>
      </c>
      <c r="L309" s="515" t="s">
        <v>922</v>
      </c>
      <c r="M309" s="69" t="s">
        <v>46</v>
      </c>
      <c r="N309" s="431" t="s">
        <v>929</v>
      </c>
      <c r="O309" s="77">
        <v>410402000</v>
      </c>
      <c r="P309" s="505" t="s">
        <v>924</v>
      </c>
      <c r="Q309" s="191" t="s">
        <v>51</v>
      </c>
      <c r="R309" s="112">
        <v>12</v>
      </c>
      <c r="S309" s="976"/>
      <c r="T309" s="966"/>
      <c r="U309" s="955"/>
      <c r="V309" s="135"/>
      <c r="W309" s="135"/>
      <c r="X309" s="135"/>
      <c r="Y309" s="135"/>
      <c r="Z309" s="135"/>
      <c r="AA309" s="240"/>
      <c r="AB309" s="135"/>
      <c r="AC309" s="135"/>
      <c r="AD309" s="241"/>
      <c r="AE309" s="135"/>
      <c r="AF309" s="145">
        <f>19000000+4080000+11540000</f>
        <v>34620000</v>
      </c>
      <c r="AG309" s="135"/>
      <c r="AH309" s="135"/>
      <c r="AI309" s="135"/>
      <c r="AJ309" s="136">
        <f>+V309+W309+X309+Y309+Z309+AA309+AB309+AC309+AD309+AE309+AF309+AG309+AH309</f>
        <v>34620000</v>
      </c>
      <c r="AK309" s="136" t="s">
        <v>799</v>
      </c>
      <c r="AL309" s="60" t="s">
        <v>800</v>
      </c>
      <c r="AM309" s="7"/>
    </row>
    <row r="310" spans="1:77" ht="108.75" customHeight="1" x14ac:dyDescent="0.2">
      <c r="A310" s="130"/>
      <c r="B310" s="78"/>
      <c r="C310" s="78"/>
      <c r="D310" s="78"/>
      <c r="E310" s="78"/>
      <c r="F310" s="511"/>
      <c r="G310" s="198"/>
      <c r="H310" s="506" t="s">
        <v>930</v>
      </c>
      <c r="I310" s="407">
        <v>4104026</v>
      </c>
      <c r="J310" s="515" t="s">
        <v>931</v>
      </c>
      <c r="K310" s="77">
        <v>4104027</v>
      </c>
      <c r="L310" s="515" t="s">
        <v>932</v>
      </c>
      <c r="M310" s="69" t="s">
        <v>46</v>
      </c>
      <c r="N310" s="504" t="s">
        <v>933</v>
      </c>
      <c r="O310" s="77">
        <v>410402700</v>
      </c>
      <c r="P310" s="505" t="s">
        <v>934</v>
      </c>
      <c r="Q310" s="178" t="s">
        <v>51</v>
      </c>
      <c r="R310" s="112">
        <v>12</v>
      </c>
      <c r="S310" s="519" t="s">
        <v>935</v>
      </c>
      <c r="T310" s="506" t="s">
        <v>936</v>
      </c>
      <c r="U310" s="506" t="s">
        <v>937</v>
      </c>
      <c r="V310" s="135"/>
      <c r="W310" s="135"/>
      <c r="X310" s="135"/>
      <c r="Y310" s="135"/>
      <c r="Z310" s="135"/>
      <c r="AA310" s="240"/>
      <c r="AB310" s="135"/>
      <c r="AC310" s="135"/>
      <c r="AD310" s="241"/>
      <c r="AE310" s="135"/>
      <c r="AF310" s="145">
        <v>35000000</v>
      </c>
      <c r="AG310" s="135"/>
      <c r="AH310" s="135"/>
      <c r="AI310" s="135"/>
      <c r="AJ310" s="136">
        <f>+V310+W310+X310+Y310+Z310+AA310+AB310+AC310+AD310+AE310+AF310+AG310+AH310</f>
        <v>35000000</v>
      </c>
      <c r="AK310" s="136" t="s">
        <v>799</v>
      </c>
      <c r="AL310" s="60" t="s">
        <v>800</v>
      </c>
      <c r="AM310" s="7"/>
    </row>
    <row r="311" spans="1:77" ht="131.25" customHeight="1" x14ac:dyDescent="0.2">
      <c r="A311" s="130"/>
      <c r="B311" s="78"/>
      <c r="C311" s="78"/>
      <c r="D311" s="78"/>
      <c r="E311" s="78"/>
      <c r="F311" s="511"/>
      <c r="G311" s="513"/>
      <c r="H311" s="506" t="s">
        <v>938</v>
      </c>
      <c r="I311" s="90">
        <v>4104015</v>
      </c>
      <c r="J311" s="110" t="s">
        <v>939</v>
      </c>
      <c r="K311" s="90">
        <v>4104015</v>
      </c>
      <c r="L311" s="110" t="s">
        <v>940</v>
      </c>
      <c r="M311" s="180">
        <v>410401500</v>
      </c>
      <c r="N311" s="521" t="s">
        <v>941</v>
      </c>
      <c r="O311" s="180">
        <v>410401500</v>
      </c>
      <c r="P311" s="521" t="s">
        <v>942</v>
      </c>
      <c r="Q311" s="178" t="s">
        <v>51</v>
      </c>
      <c r="R311" s="100">
        <v>7500</v>
      </c>
      <c r="S311" s="991" t="s">
        <v>943</v>
      </c>
      <c r="T311" s="981" t="s">
        <v>944</v>
      </c>
      <c r="U311" s="971" t="s">
        <v>945</v>
      </c>
      <c r="V311" s="135"/>
      <c r="W311" s="135"/>
      <c r="X311" s="135"/>
      <c r="Y311" s="135"/>
      <c r="Z311" s="135"/>
      <c r="AA311" s="240"/>
      <c r="AB311" s="135"/>
      <c r="AC311" s="135"/>
      <c r="AD311" s="241"/>
      <c r="AE311" s="135"/>
      <c r="AF311" s="145">
        <v>20000000</v>
      </c>
      <c r="AG311" s="135"/>
      <c r="AH311" s="135"/>
      <c r="AI311" s="135"/>
      <c r="AJ311" s="136">
        <f>+V311+W311+X311+Y311+Z311+AA311+AB311+AC311+AD311+AE311+AF311+AG311+AH311</f>
        <v>20000000</v>
      </c>
      <c r="AK311" s="136" t="s">
        <v>799</v>
      </c>
      <c r="AL311" s="60" t="s">
        <v>800</v>
      </c>
      <c r="AM311" s="7"/>
    </row>
    <row r="312" spans="1:77" s="37" customFormat="1" ht="203.25" customHeight="1" x14ac:dyDescent="0.2">
      <c r="A312" s="311"/>
      <c r="B312" s="70"/>
      <c r="C312" s="70"/>
      <c r="D312" s="70"/>
      <c r="E312" s="70"/>
      <c r="F312" s="69"/>
      <c r="G312" s="732"/>
      <c r="H312" s="733" t="s">
        <v>946</v>
      </c>
      <c r="I312" s="69" t="s">
        <v>46</v>
      </c>
      <c r="J312" s="91" t="s">
        <v>947</v>
      </c>
      <c r="K312" s="69">
        <v>4104008</v>
      </c>
      <c r="L312" s="91" t="s">
        <v>948</v>
      </c>
      <c r="M312" s="69" t="s">
        <v>46</v>
      </c>
      <c r="N312" s="431" t="s">
        <v>949</v>
      </c>
      <c r="O312" s="69">
        <v>410400800</v>
      </c>
      <c r="P312" s="431" t="s">
        <v>950</v>
      </c>
      <c r="Q312" s="732" t="s">
        <v>51</v>
      </c>
      <c r="R312" s="232">
        <v>12</v>
      </c>
      <c r="S312" s="978"/>
      <c r="T312" s="982"/>
      <c r="U312" s="971"/>
      <c r="V312" s="189">
        <f>1057961872+2468577702+543545433.01</f>
        <v>4070085007.0100002</v>
      </c>
      <c r="W312" s="734"/>
      <c r="X312" s="135"/>
      <c r="Y312" s="135"/>
      <c r="Z312" s="135"/>
      <c r="AA312" s="240"/>
      <c r="AB312" s="135"/>
      <c r="AC312" s="135"/>
      <c r="AD312" s="241"/>
      <c r="AE312" s="135"/>
      <c r="AF312" s="145">
        <v>0</v>
      </c>
      <c r="AG312" s="135"/>
      <c r="AH312" s="135"/>
      <c r="AI312" s="135"/>
      <c r="AJ312" s="313">
        <f>+V312+W312+X312+Y312+Z312+AA312+AB312+AC312+AD312+AE312+AF312+AG312+AH312</f>
        <v>4070085007.0100002</v>
      </c>
      <c r="AK312" s="313" t="s">
        <v>799</v>
      </c>
      <c r="AL312" s="315" t="s">
        <v>800</v>
      </c>
      <c r="AM312" s="7"/>
    </row>
    <row r="313" spans="1:77" ht="24" customHeight="1" x14ac:dyDescent="0.2">
      <c r="A313" s="130"/>
      <c r="B313" s="116">
        <v>2</v>
      </c>
      <c r="C313" s="116"/>
      <c r="D313" s="61" t="s">
        <v>417</v>
      </c>
      <c r="E313" s="157"/>
      <c r="F313" s="61"/>
      <c r="G313" s="61"/>
      <c r="H313" s="163"/>
      <c r="I313" s="366"/>
      <c r="J313" s="165"/>
      <c r="K313" s="164"/>
      <c r="L313" s="165"/>
      <c r="M313" s="165"/>
      <c r="N313" s="167"/>
      <c r="O313" s="166"/>
      <c r="P313" s="167"/>
      <c r="Q313" s="168"/>
      <c r="R313" s="166"/>
      <c r="S313" s="626"/>
      <c r="T313" s="117"/>
      <c r="U313" s="117"/>
      <c r="V313" s="119">
        <f>V314+V317</f>
        <v>0</v>
      </c>
      <c r="W313" s="119">
        <f t="shared" ref="W313:AH313" si="116">W314+W317</f>
        <v>0</v>
      </c>
      <c r="X313" s="119">
        <f t="shared" si="116"/>
        <v>0</v>
      </c>
      <c r="Y313" s="119">
        <f t="shared" si="116"/>
        <v>0</v>
      </c>
      <c r="Z313" s="119">
        <f t="shared" si="116"/>
        <v>0</v>
      </c>
      <c r="AA313" s="119">
        <f t="shared" si="116"/>
        <v>0</v>
      </c>
      <c r="AB313" s="119">
        <f t="shared" si="116"/>
        <v>0</v>
      </c>
      <c r="AC313" s="119">
        <f t="shared" si="116"/>
        <v>0</v>
      </c>
      <c r="AD313" s="119">
        <f t="shared" si="116"/>
        <v>0</v>
      </c>
      <c r="AE313" s="119">
        <f t="shared" si="116"/>
        <v>0</v>
      </c>
      <c r="AF313" s="119">
        <f t="shared" si="116"/>
        <v>56195000</v>
      </c>
      <c r="AG313" s="119">
        <f t="shared" si="116"/>
        <v>0</v>
      </c>
      <c r="AH313" s="119">
        <f t="shared" si="116"/>
        <v>0</v>
      </c>
      <c r="AI313" s="119"/>
      <c r="AJ313" s="119">
        <f>AJ314+AJ317</f>
        <v>56195000</v>
      </c>
      <c r="AK313" s="119"/>
      <c r="AL313" s="152"/>
      <c r="AM313" s="7"/>
    </row>
    <row r="314" spans="1:77" s="8" customFormat="1" ht="24" customHeight="1" x14ac:dyDescent="0.25">
      <c r="A314" s="115"/>
      <c r="B314" s="70"/>
      <c r="C314" s="70"/>
      <c r="D314" s="64">
        <v>17</v>
      </c>
      <c r="E314" s="62" t="s">
        <v>469</v>
      </c>
      <c r="F314" s="62"/>
      <c r="G314" s="120"/>
      <c r="H314" s="121"/>
      <c r="I314" s="121"/>
      <c r="J314" s="123"/>
      <c r="K314" s="122"/>
      <c r="L314" s="123"/>
      <c r="M314" s="123"/>
      <c r="N314" s="125"/>
      <c r="O314" s="124"/>
      <c r="P314" s="125"/>
      <c r="Q314" s="126"/>
      <c r="R314" s="124"/>
      <c r="S314" s="186"/>
      <c r="T314" s="128"/>
      <c r="U314" s="128"/>
      <c r="V314" s="129">
        <f>V315</f>
        <v>0</v>
      </c>
      <c r="W314" s="129">
        <f t="shared" ref="W314:AJ314" si="117">W315</f>
        <v>0</v>
      </c>
      <c r="X314" s="129">
        <f t="shared" si="117"/>
        <v>0</v>
      </c>
      <c r="Y314" s="129">
        <f t="shared" si="117"/>
        <v>0</v>
      </c>
      <c r="Z314" s="129">
        <f t="shared" si="117"/>
        <v>0</v>
      </c>
      <c r="AA314" s="129">
        <f t="shared" si="117"/>
        <v>0</v>
      </c>
      <c r="AB314" s="129">
        <f t="shared" si="117"/>
        <v>0</v>
      </c>
      <c r="AC314" s="129">
        <f t="shared" si="117"/>
        <v>0</v>
      </c>
      <c r="AD314" s="129">
        <f t="shared" si="117"/>
        <v>0</v>
      </c>
      <c r="AE314" s="129">
        <f t="shared" si="117"/>
        <v>0</v>
      </c>
      <c r="AF314" s="129">
        <f t="shared" si="117"/>
        <v>18000000</v>
      </c>
      <c r="AG314" s="129">
        <f t="shared" si="117"/>
        <v>0</v>
      </c>
      <c r="AH314" s="129">
        <f t="shared" si="117"/>
        <v>0</v>
      </c>
      <c r="AI314" s="129"/>
      <c r="AJ314" s="129">
        <f t="shared" si="117"/>
        <v>18000000</v>
      </c>
      <c r="AK314" s="129"/>
      <c r="AL314" s="153"/>
      <c r="AM314" s="7"/>
      <c r="AN314" s="7"/>
      <c r="AO314" s="7"/>
      <c r="AP314" s="7"/>
      <c r="AQ314" s="7"/>
      <c r="AR314" s="7"/>
      <c r="AS314" s="7"/>
      <c r="AT314" s="7"/>
      <c r="AU314" s="7"/>
      <c r="AV314" s="7"/>
      <c r="AW314" s="7"/>
      <c r="AX314" s="7"/>
      <c r="AY314" s="7"/>
      <c r="AZ314" s="7"/>
      <c r="BA314" s="7"/>
      <c r="BB314" s="7"/>
      <c r="BC314" s="7"/>
      <c r="BD314" s="7"/>
      <c r="BE314" s="7"/>
      <c r="BF314" s="7"/>
      <c r="BG314" s="7"/>
      <c r="BH314" s="7"/>
      <c r="BI314" s="7"/>
      <c r="BJ314" s="7"/>
      <c r="BK314" s="7"/>
      <c r="BL314" s="7"/>
      <c r="BM314" s="7"/>
      <c r="BN314" s="7"/>
      <c r="BO314" s="7"/>
      <c r="BP314" s="7"/>
      <c r="BQ314" s="7"/>
      <c r="BR314" s="7"/>
      <c r="BS314" s="7"/>
      <c r="BT314" s="7"/>
      <c r="BU314" s="7"/>
      <c r="BV314" s="7"/>
      <c r="BW314" s="7"/>
      <c r="BX314" s="7"/>
      <c r="BY314" s="7"/>
    </row>
    <row r="315" spans="1:77" ht="24" customHeight="1" x14ac:dyDescent="0.2">
      <c r="A315" s="130"/>
      <c r="B315" s="78"/>
      <c r="C315" s="78"/>
      <c r="D315" s="78"/>
      <c r="E315" s="78"/>
      <c r="F315" s="138">
        <v>1702</v>
      </c>
      <c r="G315" s="68" t="s">
        <v>470</v>
      </c>
      <c r="H315" s="171"/>
      <c r="I315" s="171"/>
      <c r="J315" s="633"/>
      <c r="K315" s="623"/>
      <c r="L315" s="595"/>
      <c r="M315" s="595"/>
      <c r="N315" s="590"/>
      <c r="O315" s="591"/>
      <c r="P315" s="590"/>
      <c r="Q315" s="624"/>
      <c r="R315" s="591"/>
      <c r="S315" s="625"/>
      <c r="T315" s="137"/>
      <c r="U315" s="137"/>
      <c r="V315" s="144">
        <f t="shared" ref="V315:AJ315" si="118">+V316</f>
        <v>0</v>
      </c>
      <c r="W315" s="144">
        <f t="shared" si="118"/>
        <v>0</v>
      </c>
      <c r="X315" s="144">
        <f t="shared" si="118"/>
        <v>0</v>
      </c>
      <c r="Y315" s="144">
        <f t="shared" si="118"/>
        <v>0</v>
      </c>
      <c r="Z315" s="144">
        <f t="shared" si="118"/>
        <v>0</v>
      </c>
      <c r="AA315" s="144">
        <f t="shared" si="118"/>
        <v>0</v>
      </c>
      <c r="AB315" s="144">
        <f t="shared" si="118"/>
        <v>0</v>
      </c>
      <c r="AC315" s="144">
        <f t="shared" si="118"/>
        <v>0</v>
      </c>
      <c r="AD315" s="144">
        <f t="shared" si="118"/>
        <v>0</v>
      </c>
      <c r="AE315" s="144">
        <f t="shared" si="118"/>
        <v>0</v>
      </c>
      <c r="AF315" s="144">
        <f t="shared" si="118"/>
        <v>18000000</v>
      </c>
      <c r="AG315" s="144">
        <f t="shared" si="118"/>
        <v>0</v>
      </c>
      <c r="AH315" s="144">
        <f t="shared" si="118"/>
        <v>0</v>
      </c>
      <c r="AI315" s="144"/>
      <c r="AJ315" s="144">
        <f t="shared" si="118"/>
        <v>18000000</v>
      </c>
      <c r="AK315" s="144"/>
      <c r="AL315" s="144"/>
      <c r="AM315" s="7"/>
    </row>
    <row r="316" spans="1:77" ht="135" customHeight="1" x14ac:dyDescent="0.2">
      <c r="A316" s="130"/>
      <c r="B316" s="78"/>
      <c r="C316" s="78"/>
      <c r="D316" s="78"/>
      <c r="E316" s="78"/>
      <c r="F316" s="511"/>
      <c r="G316" s="198"/>
      <c r="H316" s="506" t="s">
        <v>951</v>
      </c>
      <c r="I316" s="72">
        <v>1702011</v>
      </c>
      <c r="J316" s="506" t="s">
        <v>952</v>
      </c>
      <c r="K316" s="72">
        <v>1702011</v>
      </c>
      <c r="L316" s="506" t="s">
        <v>952</v>
      </c>
      <c r="M316" s="180" t="s">
        <v>953</v>
      </c>
      <c r="N316" s="521" t="s">
        <v>954</v>
      </c>
      <c r="O316" s="180" t="s">
        <v>953</v>
      </c>
      <c r="P316" s="521" t="s">
        <v>954</v>
      </c>
      <c r="Q316" s="220" t="s">
        <v>67</v>
      </c>
      <c r="R316" s="112">
        <v>4</v>
      </c>
      <c r="S316" s="514" t="s">
        <v>955</v>
      </c>
      <c r="T316" s="506" t="s">
        <v>956</v>
      </c>
      <c r="U316" s="506" t="s">
        <v>957</v>
      </c>
      <c r="V316" s="135"/>
      <c r="W316" s="135"/>
      <c r="X316" s="135"/>
      <c r="Y316" s="135"/>
      <c r="Z316" s="135"/>
      <c r="AA316" s="240"/>
      <c r="AB316" s="135"/>
      <c r="AC316" s="135"/>
      <c r="AD316" s="241"/>
      <c r="AE316" s="135"/>
      <c r="AF316" s="145">
        <v>18000000</v>
      </c>
      <c r="AG316" s="135"/>
      <c r="AH316" s="135"/>
      <c r="AI316" s="135"/>
      <c r="AJ316" s="136">
        <f>+V316+W316+X316+Y316+Z316+AA316+AB316+AC316+AD316+AE316+AF316+AG316+AH316</f>
        <v>18000000</v>
      </c>
      <c r="AK316" s="136" t="s">
        <v>799</v>
      </c>
      <c r="AL316" s="60" t="s">
        <v>800</v>
      </c>
      <c r="AM316" s="7"/>
    </row>
    <row r="317" spans="1:77" s="8" customFormat="1" ht="24" customHeight="1" x14ac:dyDescent="0.25">
      <c r="A317" s="115"/>
      <c r="B317" s="70"/>
      <c r="C317" s="70"/>
      <c r="D317" s="64">
        <v>36</v>
      </c>
      <c r="E317" s="62" t="s">
        <v>451</v>
      </c>
      <c r="F317" s="62"/>
      <c r="G317" s="120"/>
      <c r="H317" s="121"/>
      <c r="I317" s="121"/>
      <c r="J317" s="123"/>
      <c r="K317" s="122"/>
      <c r="L317" s="123"/>
      <c r="M317" s="123"/>
      <c r="N317" s="125"/>
      <c r="O317" s="124"/>
      <c r="P317" s="125"/>
      <c r="Q317" s="126"/>
      <c r="R317" s="124"/>
      <c r="S317" s="186"/>
      <c r="T317" s="128"/>
      <c r="U317" s="128"/>
      <c r="V317" s="129">
        <f>V318</f>
        <v>0</v>
      </c>
      <c r="W317" s="129">
        <f t="shared" ref="W317:AJ317" si="119">W318</f>
        <v>0</v>
      </c>
      <c r="X317" s="129">
        <f t="shared" si="119"/>
        <v>0</v>
      </c>
      <c r="Y317" s="129">
        <f t="shared" si="119"/>
        <v>0</v>
      </c>
      <c r="Z317" s="129">
        <f t="shared" si="119"/>
        <v>0</v>
      </c>
      <c r="AA317" s="129">
        <f t="shared" si="119"/>
        <v>0</v>
      </c>
      <c r="AB317" s="129">
        <f t="shared" si="119"/>
        <v>0</v>
      </c>
      <c r="AC317" s="129">
        <f t="shared" si="119"/>
        <v>0</v>
      </c>
      <c r="AD317" s="129">
        <f t="shared" si="119"/>
        <v>0</v>
      </c>
      <c r="AE317" s="129">
        <f t="shared" si="119"/>
        <v>0</v>
      </c>
      <c r="AF317" s="129">
        <f t="shared" si="119"/>
        <v>38195000</v>
      </c>
      <c r="AG317" s="129">
        <f t="shared" si="119"/>
        <v>0</v>
      </c>
      <c r="AH317" s="129">
        <f t="shared" si="119"/>
        <v>0</v>
      </c>
      <c r="AI317" s="129"/>
      <c r="AJ317" s="129">
        <f t="shared" si="119"/>
        <v>38195000</v>
      </c>
      <c r="AK317" s="129"/>
      <c r="AL317" s="153"/>
      <c r="AM317" s="7"/>
      <c r="AN317" s="7"/>
      <c r="AO317" s="7"/>
      <c r="AP317" s="7"/>
      <c r="AQ317" s="7"/>
      <c r="AR317" s="7"/>
      <c r="AS317" s="7"/>
      <c r="AT317" s="7"/>
      <c r="AU317" s="7"/>
      <c r="AV317" s="7"/>
      <c r="AW317" s="7"/>
      <c r="AX317" s="7"/>
      <c r="AY317" s="7"/>
      <c r="AZ317" s="7"/>
      <c r="BA317" s="7"/>
      <c r="BB317" s="7"/>
      <c r="BC317" s="7"/>
      <c r="BD317" s="7"/>
      <c r="BE317" s="7"/>
      <c r="BF317" s="7"/>
      <c r="BG317" s="7"/>
      <c r="BH317" s="7"/>
      <c r="BI317" s="7"/>
      <c r="BJ317" s="7"/>
      <c r="BK317" s="7"/>
      <c r="BL317" s="7"/>
      <c r="BM317" s="7"/>
      <c r="BN317" s="7"/>
      <c r="BO317" s="7"/>
      <c r="BP317" s="7"/>
      <c r="BQ317" s="7"/>
      <c r="BR317" s="7"/>
      <c r="BS317" s="7"/>
      <c r="BT317" s="7"/>
      <c r="BU317" s="7"/>
      <c r="BV317" s="7"/>
      <c r="BW317" s="7"/>
      <c r="BX317" s="7"/>
      <c r="BY317" s="7"/>
    </row>
    <row r="318" spans="1:77" ht="24" customHeight="1" x14ac:dyDescent="0.2">
      <c r="A318" s="130"/>
      <c r="B318" s="78"/>
      <c r="C318" s="78"/>
      <c r="D318" s="78"/>
      <c r="E318" s="78"/>
      <c r="F318" s="138">
        <v>3604</v>
      </c>
      <c r="G318" s="68" t="s">
        <v>958</v>
      </c>
      <c r="H318" s="68"/>
      <c r="I318" s="177"/>
      <c r="J318" s="595"/>
      <c r="K318" s="623"/>
      <c r="L318" s="595"/>
      <c r="M318" s="595"/>
      <c r="N318" s="590"/>
      <c r="O318" s="591"/>
      <c r="P318" s="590"/>
      <c r="Q318" s="624"/>
      <c r="R318" s="591"/>
      <c r="S318" s="625"/>
      <c r="T318" s="137"/>
      <c r="U318" s="137"/>
      <c r="V318" s="144">
        <f t="shared" ref="V318:AJ318" si="120">+V319</f>
        <v>0</v>
      </c>
      <c r="W318" s="144">
        <f t="shared" si="120"/>
        <v>0</v>
      </c>
      <c r="X318" s="144">
        <f t="shared" si="120"/>
        <v>0</v>
      </c>
      <c r="Y318" s="144">
        <f t="shared" si="120"/>
        <v>0</v>
      </c>
      <c r="Z318" s="144">
        <f t="shared" si="120"/>
        <v>0</v>
      </c>
      <c r="AA318" s="144">
        <f t="shared" si="120"/>
        <v>0</v>
      </c>
      <c r="AB318" s="144">
        <f t="shared" si="120"/>
        <v>0</v>
      </c>
      <c r="AC318" s="144">
        <f t="shared" si="120"/>
        <v>0</v>
      </c>
      <c r="AD318" s="144">
        <f t="shared" si="120"/>
        <v>0</v>
      </c>
      <c r="AE318" s="144">
        <f t="shared" si="120"/>
        <v>0</v>
      </c>
      <c r="AF318" s="144">
        <f t="shared" si="120"/>
        <v>38195000</v>
      </c>
      <c r="AG318" s="144">
        <f t="shared" si="120"/>
        <v>0</v>
      </c>
      <c r="AH318" s="144">
        <f t="shared" si="120"/>
        <v>0</v>
      </c>
      <c r="AI318" s="144"/>
      <c r="AJ318" s="144">
        <f t="shared" si="120"/>
        <v>38195000</v>
      </c>
      <c r="AK318" s="144"/>
      <c r="AL318" s="144"/>
      <c r="AM318" s="7"/>
    </row>
    <row r="319" spans="1:77" ht="131.25" customHeight="1" x14ac:dyDescent="0.2">
      <c r="A319" s="130"/>
      <c r="B319" s="78"/>
      <c r="C319" s="78"/>
      <c r="D319" s="78"/>
      <c r="E319" s="78"/>
      <c r="F319" s="511"/>
      <c r="G319" s="198"/>
      <c r="H319" s="506" t="s">
        <v>959</v>
      </c>
      <c r="I319" s="511">
        <v>3604006</v>
      </c>
      <c r="J319" s="506" t="s">
        <v>960</v>
      </c>
      <c r="K319" s="511">
        <v>3604006</v>
      </c>
      <c r="L319" s="506" t="s">
        <v>960</v>
      </c>
      <c r="M319" s="180">
        <v>360400600</v>
      </c>
      <c r="N319" s="141" t="s">
        <v>346</v>
      </c>
      <c r="O319" s="180">
        <v>360400600</v>
      </c>
      <c r="P319" s="141" t="s">
        <v>346</v>
      </c>
      <c r="Q319" s="235" t="s">
        <v>67</v>
      </c>
      <c r="R319" s="234">
        <v>200</v>
      </c>
      <c r="S319" s="514" t="s">
        <v>961</v>
      </c>
      <c r="T319" s="110" t="s">
        <v>962</v>
      </c>
      <c r="U319" s="110" t="s">
        <v>963</v>
      </c>
      <c r="V319" s="135"/>
      <c r="W319" s="135"/>
      <c r="X319" s="135"/>
      <c r="Y319" s="135"/>
      <c r="Z319" s="135"/>
      <c r="AA319" s="240"/>
      <c r="AB319" s="135"/>
      <c r="AC319" s="135"/>
      <c r="AD319" s="241"/>
      <c r="AE319" s="135"/>
      <c r="AF319" s="145">
        <f>18000000+20195000</f>
        <v>38195000</v>
      </c>
      <c r="AG319" s="135"/>
      <c r="AH319" s="135"/>
      <c r="AI319" s="135"/>
      <c r="AJ319" s="136">
        <f>+V319+W319+X319+Y319+Z319+AA319+AB319+AC319+AD319+AE319+AF319+AG319+AH319</f>
        <v>38195000</v>
      </c>
      <c r="AK319" s="136" t="s">
        <v>799</v>
      </c>
      <c r="AL319" s="60" t="s">
        <v>800</v>
      </c>
      <c r="AM319" s="7"/>
    </row>
    <row r="320" spans="1:77" ht="24" customHeight="1" x14ac:dyDescent="0.2">
      <c r="A320" s="130"/>
      <c r="B320" s="116">
        <v>4</v>
      </c>
      <c r="C320" s="116"/>
      <c r="D320" s="61" t="s">
        <v>42</v>
      </c>
      <c r="E320" s="157"/>
      <c r="F320" s="61"/>
      <c r="G320" s="163"/>
      <c r="H320" s="366"/>
      <c r="I320" s="366"/>
      <c r="J320" s="165"/>
      <c r="K320" s="164"/>
      <c r="L320" s="165"/>
      <c r="M320" s="165"/>
      <c r="N320" s="167"/>
      <c r="O320" s="166"/>
      <c r="P320" s="167"/>
      <c r="Q320" s="168"/>
      <c r="R320" s="166"/>
      <c r="S320" s="626"/>
      <c r="T320" s="117"/>
      <c r="U320" s="117"/>
      <c r="V320" s="142">
        <f>V321</f>
        <v>0</v>
      </c>
      <c r="W320" s="142">
        <f t="shared" ref="W320:AJ321" si="121">W321</f>
        <v>0</v>
      </c>
      <c r="X320" s="142">
        <f t="shared" si="121"/>
        <v>0</v>
      </c>
      <c r="Y320" s="142">
        <f>Y321+Y328</f>
        <v>0</v>
      </c>
      <c r="Z320" s="142">
        <f t="shared" ref="Z320:AJ320" si="122">Z321+Z328</f>
        <v>0</v>
      </c>
      <c r="AA320" s="142">
        <f t="shared" si="122"/>
        <v>0</v>
      </c>
      <c r="AB320" s="142">
        <f t="shared" si="122"/>
        <v>0</v>
      </c>
      <c r="AC320" s="142">
        <f t="shared" si="122"/>
        <v>0</v>
      </c>
      <c r="AD320" s="142">
        <f t="shared" si="122"/>
        <v>0</v>
      </c>
      <c r="AE320" s="142">
        <f t="shared" si="122"/>
        <v>0</v>
      </c>
      <c r="AF320" s="142">
        <f t="shared" si="122"/>
        <v>464894503</v>
      </c>
      <c r="AG320" s="142">
        <f t="shared" si="122"/>
        <v>0</v>
      </c>
      <c r="AH320" s="142">
        <f t="shared" si="122"/>
        <v>0</v>
      </c>
      <c r="AI320" s="142"/>
      <c r="AJ320" s="142">
        <f t="shared" si="122"/>
        <v>464894503</v>
      </c>
      <c r="AK320" s="142"/>
      <c r="AL320" s="142"/>
      <c r="AM320" s="7"/>
    </row>
    <row r="321" spans="1:77" s="8" customFormat="1" ht="24" customHeight="1" x14ac:dyDescent="0.25">
      <c r="A321" s="115"/>
      <c r="B321" s="70"/>
      <c r="C321" s="70"/>
      <c r="D321" s="64">
        <v>45</v>
      </c>
      <c r="E321" s="62" t="s">
        <v>964</v>
      </c>
      <c r="F321" s="62"/>
      <c r="G321" s="120"/>
      <c r="H321" s="121"/>
      <c r="I321" s="121"/>
      <c r="J321" s="123"/>
      <c r="K321" s="122"/>
      <c r="L321" s="123"/>
      <c r="M321" s="123"/>
      <c r="N321" s="125"/>
      <c r="O321" s="124"/>
      <c r="P321" s="125"/>
      <c r="Q321" s="126"/>
      <c r="R321" s="124"/>
      <c r="S321" s="186"/>
      <c r="T321" s="128"/>
      <c r="U321" s="128"/>
      <c r="V321" s="129">
        <f>V322</f>
        <v>0</v>
      </c>
      <c r="W321" s="129">
        <f t="shared" si="121"/>
        <v>0</v>
      </c>
      <c r="X321" s="129">
        <f t="shared" si="121"/>
        <v>0</v>
      </c>
      <c r="Y321" s="129">
        <f t="shared" si="121"/>
        <v>0</v>
      </c>
      <c r="Z321" s="129">
        <f t="shared" si="121"/>
        <v>0</v>
      </c>
      <c r="AA321" s="129">
        <f t="shared" si="121"/>
        <v>0</v>
      </c>
      <c r="AB321" s="129">
        <f t="shared" si="121"/>
        <v>0</v>
      </c>
      <c r="AC321" s="129">
        <f t="shared" si="121"/>
        <v>0</v>
      </c>
      <c r="AD321" s="129">
        <f t="shared" si="121"/>
        <v>0</v>
      </c>
      <c r="AE321" s="129">
        <f t="shared" si="121"/>
        <v>0</v>
      </c>
      <c r="AF321" s="129">
        <f t="shared" si="121"/>
        <v>251000000</v>
      </c>
      <c r="AG321" s="129">
        <f t="shared" si="121"/>
        <v>0</v>
      </c>
      <c r="AH321" s="129">
        <f t="shared" si="121"/>
        <v>0</v>
      </c>
      <c r="AI321" s="129"/>
      <c r="AJ321" s="129">
        <f t="shared" si="121"/>
        <v>251000000</v>
      </c>
      <c r="AK321" s="129"/>
      <c r="AL321" s="153"/>
      <c r="AM321" s="7"/>
      <c r="AN321" s="7"/>
      <c r="AO321" s="7"/>
      <c r="AP321" s="7"/>
      <c r="AQ321" s="7"/>
      <c r="AR321" s="7"/>
      <c r="AS321" s="7"/>
      <c r="AT321" s="7"/>
      <c r="AU321" s="7"/>
      <c r="AV321" s="7"/>
      <c r="AW321" s="7"/>
      <c r="AX321" s="7"/>
      <c r="AY321" s="7"/>
      <c r="AZ321" s="7"/>
      <c r="BA321" s="7"/>
      <c r="BB321" s="7"/>
      <c r="BC321" s="7"/>
      <c r="BD321" s="7"/>
      <c r="BE321" s="7"/>
      <c r="BF321" s="7"/>
      <c r="BG321" s="7"/>
      <c r="BH321" s="7"/>
      <c r="BI321" s="7"/>
      <c r="BJ321" s="7"/>
      <c r="BK321" s="7"/>
      <c r="BL321" s="7"/>
      <c r="BM321" s="7"/>
      <c r="BN321" s="7"/>
      <c r="BO321" s="7"/>
      <c r="BP321" s="7"/>
      <c r="BQ321" s="7"/>
      <c r="BR321" s="7"/>
      <c r="BS321" s="7"/>
      <c r="BT321" s="7"/>
      <c r="BU321" s="7"/>
      <c r="BV321" s="7"/>
      <c r="BW321" s="7"/>
      <c r="BX321" s="7"/>
      <c r="BY321" s="7"/>
    </row>
    <row r="322" spans="1:77" ht="24" customHeight="1" x14ac:dyDescent="0.2">
      <c r="A322" s="249"/>
      <c r="B322" s="250"/>
      <c r="C322" s="250"/>
      <c r="D322" s="250"/>
      <c r="E322" s="250"/>
      <c r="F322" s="405">
        <v>4502</v>
      </c>
      <c r="G322" s="68" t="s">
        <v>70</v>
      </c>
      <c r="H322" s="177"/>
      <c r="I322" s="177"/>
      <c r="J322" s="595"/>
      <c r="K322" s="623"/>
      <c r="L322" s="595"/>
      <c r="M322" s="595"/>
      <c r="N322" s="590"/>
      <c r="O322" s="591"/>
      <c r="P322" s="590"/>
      <c r="Q322" s="624"/>
      <c r="R322" s="591"/>
      <c r="S322" s="625"/>
      <c r="T322" s="270"/>
      <c r="U322" s="270"/>
      <c r="V322" s="406">
        <f t="shared" ref="V322:AE322" si="123">+V323</f>
        <v>0</v>
      </c>
      <c r="W322" s="406">
        <f t="shared" si="123"/>
        <v>0</v>
      </c>
      <c r="X322" s="406">
        <f t="shared" si="123"/>
        <v>0</v>
      </c>
      <c r="Y322" s="406">
        <f t="shared" si="123"/>
        <v>0</v>
      </c>
      <c r="Z322" s="406">
        <f t="shared" si="123"/>
        <v>0</v>
      </c>
      <c r="AA322" s="406">
        <f t="shared" si="123"/>
        <v>0</v>
      </c>
      <c r="AB322" s="406">
        <f t="shared" si="123"/>
        <v>0</v>
      </c>
      <c r="AC322" s="406">
        <f t="shared" si="123"/>
        <v>0</v>
      </c>
      <c r="AD322" s="406">
        <f t="shared" si="123"/>
        <v>0</v>
      </c>
      <c r="AE322" s="406">
        <f t="shared" si="123"/>
        <v>0</v>
      </c>
      <c r="AF322" s="406">
        <f>SUM(AF323:AF327)</f>
        <v>251000000</v>
      </c>
      <c r="AG322" s="406">
        <f t="shared" ref="AG322:AL322" si="124">SUM(AG323:AG327)</f>
        <v>0</v>
      </c>
      <c r="AH322" s="406">
        <f t="shared" si="124"/>
        <v>0</v>
      </c>
      <c r="AI322" s="406"/>
      <c r="AJ322" s="406">
        <f t="shared" si="124"/>
        <v>251000000</v>
      </c>
      <c r="AK322" s="406">
        <f t="shared" si="124"/>
        <v>0</v>
      </c>
      <c r="AL322" s="406">
        <f t="shared" si="124"/>
        <v>0</v>
      </c>
      <c r="AM322" s="7"/>
    </row>
    <row r="323" spans="1:77" ht="122.25" customHeight="1" x14ac:dyDescent="0.2">
      <c r="A323" s="258"/>
      <c r="B323" s="259"/>
      <c r="C323" s="259"/>
      <c r="D323" s="259"/>
      <c r="E323" s="259"/>
      <c r="F323" s="109"/>
      <c r="G323" s="260"/>
      <c r="H323" s="510" t="s">
        <v>965</v>
      </c>
      <c r="I323" s="104">
        <v>4502001</v>
      </c>
      <c r="J323" s="510" t="s">
        <v>82</v>
      </c>
      <c r="K323" s="104">
        <v>4502001</v>
      </c>
      <c r="L323" s="510" t="s">
        <v>82</v>
      </c>
      <c r="M323" s="427" t="s">
        <v>46</v>
      </c>
      <c r="N323" s="262" t="s">
        <v>966</v>
      </c>
      <c r="O323" s="261">
        <v>450200108</v>
      </c>
      <c r="P323" s="262" t="s">
        <v>967</v>
      </c>
      <c r="Q323" s="263" t="s">
        <v>67</v>
      </c>
      <c r="R323" s="202">
        <v>1</v>
      </c>
      <c r="S323" s="517" t="s">
        <v>968</v>
      </c>
      <c r="T323" s="510" t="s">
        <v>969</v>
      </c>
      <c r="U323" s="510" t="s">
        <v>970</v>
      </c>
      <c r="V323" s="264"/>
      <c r="W323" s="264"/>
      <c r="X323" s="264"/>
      <c r="Y323" s="264"/>
      <c r="Z323" s="264"/>
      <c r="AA323" s="265"/>
      <c r="AB323" s="264"/>
      <c r="AC323" s="264"/>
      <c r="AD323" s="266"/>
      <c r="AE323" s="264"/>
      <c r="AF323" s="267">
        <v>18000000</v>
      </c>
      <c r="AG323" s="264"/>
      <c r="AH323" s="264"/>
      <c r="AI323" s="264"/>
      <c r="AJ323" s="268">
        <f>+V323+W323+X323+Y323+Z323+AA323+AB323+AC323+AD323+AE323+AF323+AG323+AH323</f>
        <v>18000000</v>
      </c>
      <c r="AK323" s="268" t="s">
        <v>799</v>
      </c>
      <c r="AL323" s="269" t="s">
        <v>800</v>
      </c>
      <c r="AM323" s="7"/>
    </row>
    <row r="324" spans="1:77" s="3" customFormat="1" ht="224.25" customHeight="1" x14ac:dyDescent="0.2">
      <c r="A324" s="56"/>
      <c r="B324" s="96"/>
      <c r="C324" s="96"/>
      <c r="D324" s="96"/>
      <c r="E324" s="96"/>
      <c r="F324" s="71"/>
      <c r="G324" s="95"/>
      <c r="H324" s="515" t="s">
        <v>971</v>
      </c>
      <c r="I324" s="427" t="s">
        <v>46</v>
      </c>
      <c r="J324" s="515" t="s">
        <v>972</v>
      </c>
      <c r="K324" s="105">
        <v>4502038</v>
      </c>
      <c r="L324" s="515" t="s">
        <v>973</v>
      </c>
      <c r="M324" s="427" t="s">
        <v>46</v>
      </c>
      <c r="N324" s="203" t="s">
        <v>974</v>
      </c>
      <c r="O324" s="100">
        <v>450203800</v>
      </c>
      <c r="P324" s="203" t="s">
        <v>975</v>
      </c>
      <c r="Q324" s="112" t="s">
        <v>51</v>
      </c>
      <c r="R324" s="112">
        <v>1</v>
      </c>
      <c r="S324" s="95" t="s">
        <v>976</v>
      </c>
      <c r="T324" s="515" t="s">
        <v>977</v>
      </c>
      <c r="U324" s="515" t="s">
        <v>978</v>
      </c>
      <c r="V324" s="113"/>
      <c r="W324" s="113"/>
      <c r="X324" s="113"/>
      <c r="Y324" s="113"/>
      <c r="Z324" s="113"/>
      <c r="AA324" s="238"/>
      <c r="AB324" s="113"/>
      <c r="AC324" s="113"/>
      <c r="AD324" s="239"/>
      <c r="AE324" s="113"/>
      <c r="AF324" s="148">
        <f>95000000-18000000</f>
        <v>77000000</v>
      </c>
      <c r="AG324" s="113"/>
      <c r="AH324" s="113"/>
      <c r="AI324" s="113"/>
      <c r="AJ324" s="204">
        <f>+V324+W324+X324+Y324+Z324+AA324+AB324+AC324+AD324+AE324+AF324+AG324+AH324</f>
        <v>77000000</v>
      </c>
      <c r="AK324" s="204" t="s">
        <v>799</v>
      </c>
      <c r="AL324" s="205" t="s">
        <v>800</v>
      </c>
      <c r="AM324" s="7"/>
    </row>
    <row r="325" spans="1:77" s="3" customFormat="1" ht="216" customHeight="1" x14ac:dyDescent="0.2">
      <c r="A325" s="56"/>
      <c r="B325" s="96"/>
      <c r="C325" s="96"/>
      <c r="D325" s="96"/>
      <c r="E325" s="96"/>
      <c r="F325" s="71"/>
      <c r="G325" s="95"/>
      <c r="H325" s="515" t="s">
        <v>979</v>
      </c>
      <c r="I325" s="427" t="s">
        <v>46</v>
      </c>
      <c r="J325" s="515" t="s">
        <v>980</v>
      </c>
      <c r="K325" s="105">
        <v>4502038</v>
      </c>
      <c r="L325" s="515" t="s">
        <v>973</v>
      </c>
      <c r="M325" s="427" t="s">
        <v>46</v>
      </c>
      <c r="N325" s="203" t="s">
        <v>981</v>
      </c>
      <c r="O325" s="100">
        <v>450203800</v>
      </c>
      <c r="P325" s="203" t="s">
        <v>975</v>
      </c>
      <c r="Q325" s="112" t="s">
        <v>51</v>
      </c>
      <c r="R325" s="112">
        <v>1</v>
      </c>
      <c r="S325" s="95" t="s">
        <v>982</v>
      </c>
      <c r="T325" s="515" t="s">
        <v>983</v>
      </c>
      <c r="U325" s="515" t="s">
        <v>984</v>
      </c>
      <c r="V325" s="113"/>
      <c r="W325" s="113"/>
      <c r="X325" s="113"/>
      <c r="Y325" s="113"/>
      <c r="Z325" s="113"/>
      <c r="AA325" s="238"/>
      <c r="AB325" s="113"/>
      <c r="AC325" s="113"/>
      <c r="AD325" s="239"/>
      <c r="AE325" s="113"/>
      <c r="AF325" s="148">
        <v>90000000</v>
      </c>
      <c r="AG325" s="113"/>
      <c r="AH325" s="113"/>
      <c r="AI325" s="113"/>
      <c r="AJ325" s="204">
        <f>+V325+W325+X325+Y325+Z325+AA325+AB325+AC325+AD325+AE325+AF325+AG325+AH325</f>
        <v>90000000</v>
      </c>
      <c r="AK325" s="204" t="s">
        <v>799</v>
      </c>
      <c r="AL325" s="205" t="s">
        <v>800</v>
      </c>
      <c r="AM325" s="7"/>
    </row>
    <row r="326" spans="1:77" s="3" customFormat="1" ht="180" customHeight="1" x14ac:dyDescent="0.2">
      <c r="A326" s="56"/>
      <c r="B326" s="96"/>
      <c r="C326" s="96"/>
      <c r="D326" s="96"/>
      <c r="E326" s="96"/>
      <c r="F326" s="71"/>
      <c r="G326" s="102"/>
      <c r="H326" s="515" t="s">
        <v>985</v>
      </c>
      <c r="I326" s="77">
        <v>4501024</v>
      </c>
      <c r="J326" s="515" t="s">
        <v>357</v>
      </c>
      <c r="K326" s="77">
        <v>4502024</v>
      </c>
      <c r="L326" s="515" t="s">
        <v>357</v>
      </c>
      <c r="M326" s="427" t="s">
        <v>46</v>
      </c>
      <c r="N326" s="512" t="s">
        <v>986</v>
      </c>
      <c r="O326" s="77">
        <v>450202401</v>
      </c>
      <c r="P326" s="512" t="s">
        <v>987</v>
      </c>
      <c r="Q326" s="112" t="s">
        <v>51</v>
      </c>
      <c r="R326" s="112">
        <v>1</v>
      </c>
      <c r="S326" s="95" t="s">
        <v>988</v>
      </c>
      <c r="T326" s="515" t="s">
        <v>989</v>
      </c>
      <c r="U326" s="515" t="s">
        <v>990</v>
      </c>
      <c r="V326" s="113">
        <v>0</v>
      </c>
      <c r="W326" s="113">
        <v>0</v>
      </c>
      <c r="X326" s="113">
        <v>0</v>
      </c>
      <c r="Y326" s="113">
        <v>0</v>
      </c>
      <c r="Z326" s="113">
        <v>0</v>
      </c>
      <c r="AA326" s="238">
        <v>0</v>
      </c>
      <c r="AB326" s="113">
        <v>0</v>
      </c>
      <c r="AC326" s="113">
        <v>0</v>
      </c>
      <c r="AD326" s="239">
        <v>0</v>
      </c>
      <c r="AE326" s="113">
        <v>0</v>
      </c>
      <c r="AF326" s="148">
        <v>33000000</v>
      </c>
      <c r="AG326" s="113"/>
      <c r="AH326" s="113"/>
      <c r="AI326" s="113"/>
      <c r="AJ326" s="204">
        <f>+V326+W326+X326+Y326+Z326+AA326+AB326+AC326+AD326+AE326+AF326+AG326+AH326</f>
        <v>33000000</v>
      </c>
      <c r="AK326" s="204" t="s">
        <v>799</v>
      </c>
      <c r="AL326" s="205" t="s">
        <v>800</v>
      </c>
      <c r="AM326" s="7"/>
    </row>
    <row r="327" spans="1:77" s="3" customFormat="1" ht="178.5" customHeight="1" x14ac:dyDescent="0.2">
      <c r="A327" s="56"/>
      <c r="B327" s="96"/>
      <c r="C327" s="96"/>
      <c r="D327" s="96"/>
      <c r="E327" s="96"/>
      <c r="F327" s="71"/>
      <c r="G327" s="102"/>
      <c r="H327" s="515" t="s">
        <v>985</v>
      </c>
      <c r="I327" s="77">
        <v>4501024</v>
      </c>
      <c r="J327" s="515" t="s">
        <v>357</v>
      </c>
      <c r="K327" s="77">
        <v>4502024</v>
      </c>
      <c r="L327" s="515" t="s">
        <v>357</v>
      </c>
      <c r="M327" s="427" t="s">
        <v>46</v>
      </c>
      <c r="N327" s="512" t="s">
        <v>991</v>
      </c>
      <c r="O327" s="77">
        <v>450202401</v>
      </c>
      <c r="P327" s="512" t="s">
        <v>987</v>
      </c>
      <c r="Q327" s="112" t="s">
        <v>51</v>
      </c>
      <c r="R327" s="112">
        <v>1</v>
      </c>
      <c r="S327" s="95" t="s">
        <v>992</v>
      </c>
      <c r="T327" s="515" t="s">
        <v>993</v>
      </c>
      <c r="U327" s="515" t="s">
        <v>994</v>
      </c>
      <c r="V327" s="113"/>
      <c r="W327" s="113"/>
      <c r="X327" s="113"/>
      <c r="Y327" s="113"/>
      <c r="Z327" s="113"/>
      <c r="AA327" s="238"/>
      <c r="AB327" s="113"/>
      <c r="AC327" s="113"/>
      <c r="AD327" s="239"/>
      <c r="AE327" s="113"/>
      <c r="AF327" s="148">
        <v>33000000</v>
      </c>
      <c r="AG327" s="113"/>
      <c r="AH327" s="113"/>
      <c r="AI327" s="113"/>
      <c r="AJ327" s="204">
        <f>+V327+W327+X327+Y327+Z327+AA327+AB327+AC327+AD327+AE327+AF327+AG327+AH327</f>
        <v>33000000</v>
      </c>
      <c r="AK327" s="204" t="s">
        <v>799</v>
      </c>
      <c r="AL327" s="205" t="s">
        <v>800</v>
      </c>
      <c r="AM327" s="7"/>
    </row>
    <row r="328" spans="1:77" ht="24" customHeight="1" x14ac:dyDescent="0.2">
      <c r="A328" s="249"/>
      <c r="B328" s="250"/>
      <c r="C328" s="250"/>
      <c r="D328" s="250"/>
      <c r="E328" s="250"/>
      <c r="F328" s="201">
        <v>4599</v>
      </c>
      <c r="G328" s="108" t="s">
        <v>654</v>
      </c>
      <c r="H328" s="251"/>
      <c r="I328" s="251"/>
      <c r="J328" s="253"/>
      <c r="K328" s="252"/>
      <c r="L328" s="253"/>
      <c r="M328" s="253"/>
      <c r="N328" s="254"/>
      <c r="O328" s="201"/>
      <c r="P328" s="254"/>
      <c r="Q328" s="255"/>
      <c r="R328" s="201"/>
      <c r="S328" s="256"/>
      <c r="T328" s="253"/>
      <c r="U328" s="270"/>
      <c r="V328" s="257">
        <f t="shared" ref="V328:X328" si="125">+V329</f>
        <v>0</v>
      </c>
      <c r="W328" s="257">
        <f t="shared" si="125"/>
        <v>0</v>
      </c>
      <c r="X328" s="257">
        <f t="shared" si="125"/>
        <v>0</v>
      </c>
      <c r="Y328" s="257">
        <f t="shared" ref="Y328:AK328" si="126">SUM(Y329:Y331)</f>
        <v>0</v>
      </c>
      <c r="Z328" s="257">
        <f t="shared" si="126"/>
        <v>0</v>
      </c>
      <c r="AA328" s="257">
        <f t="shared" si="126"/>
        <v>0</v>
      </c>
      <c r="AB328" s="257">
        <f t="shared" si="126"/>
        <v>0</v>
      </c>
      <c r="AC328" s="257">
        <f t="shared" si="126"/>
        <v>0</v>
      </c>
      <c r="AD328" s="257">
        <f t="shared" si="126"/>
        <v>0</v>
      </c>
      <c r="AE328" s="257">
        <f t="shared" si="126"/>
        <v>0</v>
      </c>
      <c r="AF328" s="257">
        <f t="shared" si="126"/>
        <v>213894503</v>
      </c>
      <c r="AG328" s="257">
        <f t="shared" si="126"/>
        <v>0</v>
      </c>
      <c r="AH328" s="257">
        <f t="shared" si="126"/>
        <v>0</v>
      </c>
      <c r="AI328" s="257"/>
      <c r="AJ328" s="257">
        <f t="shared" si="126"/>
        <v>213894503</v>
      </c>
      <c r="AK328" s="257">
        <f t="shared" si="126"/>
        <v>0</v>
      </c>
      <c r="AL328" s="257">
        <f>SUM(AL329:AL331)</f>
        <v>0</v>
      </c>
      <c r="AM328" s="7"/>
    </row>
    <row r="329" spans="1:77" s="3" customFormat="1" ht="207" customHeight="1" x14ac:dyDescent="0.2">
      <c r="A329" s="56"/>
      <c r="B329" s="96"/>
      <c r="C329" s="96"/>
      <c r="D329" s="96"/>
      <c r="E329" s="96"/>
      <c r="F329" s="71"/>
      <c r="G329" s="95"/>
      <c r="H329" s="413" t="s">
        <v>995</v>
      </c>
      <c r="I329" s="427" t="s">
        <v>46</v>
      </c>
      <c r="J329" s="429" t="s">
        <v>996</v>
      </c>
      <c r="K329" s="271" t="s">
        <v>997</v>
      </c>
      <c r="L329" s="412" t="s">
        <v>372</v>
      </c>
      <c r="M329" s="427" t="s">
        <v>46</v>
      </c>
      <c r="N329" s="272" t="s">
        <v>998</v>
      </c>
      <c r="O329" s="271" t="s">
        <v>999</v>
      </c>
      <c r="P329" s="272" t="s">
        <v>1000</v>
      </c>
      <c r="Q329" s="112" t="s">
        <v>51</v>
      </c>
      <c r="R329" s="112">
        <v>1</v>
      </c>
      <c r="S329" s="514" t="s">
        <v>1001</v>
      </c>
      <c r="T329" s="111" t="s">
        <v>1524</v>
      </c>
      <c r="U329" s="522" t="s">
        <v>1525</v>
      </c>
      <c r="V329" s="113"/>
      <c r="W329" s="113"/>
      <c r="X329" s="113"/>
      <c r="Y329" s="113"/>
      <c r="Z329" s="113"/>
      <c r="AA329" s="238"/>
      <c r="AB329" s="113"/>
      <c r="AC329" s="113"/>
      <c r="AD329" s="239"/>
      <c r="AE329" s="113"/>
      <c r="AF329" s="148">
        <v>50000000</v>
      </c>
      <c r="AG329" s="113"/>
      <c r="AH329" s="113"/>
      <c r="AI329" s="113"/>
      <c r="AJ329" s="204">
        <f>+V329+W329+X329+Y329+Z329+AA329+AB329+AC329+AD329+AE329+AF329+AG329+AH329</f>
        <v>50000000</v>
      </c>
      <c r="AK329" s="204" t="s">
        <v>799</v>
      </c>
      <c r="AL329" s="205" t="s">
        <v>800</v>
      </c>
      <c r="AM329" s="7"/>
    </row>
    <row r="330" spans="1:77" s="3" customFormat="1" ht="237" customHeight="1" x14ac:dyDescent="0.2">
      <c r="A330" s="56"/>
      <c r="B330" s="96"/>
      <c r="C330" s="96"/>
      <c r="D330" s="96"/>
      <c r="E330" s="96"/>
      <c r="F330" s="71"/>
      <c r="G330" s="95"/>
      <c r="H330" s="413" t="s">
        <v>971</v>
      </c>
      <c r="I330" s="427" t="s">
        <v>46</v>
      </c>
      <c r="J330" s="428" t="s">
        <v>1002</v>
      </c>
      <c r="K330" s="382" t="s">
        <v>997</v>
      </c>
      <c r="L330" s="412" t="s">
        <v>372</v>
      </c>
      <c r="M330" s="427" t="s">
        <v>46</v>
      </c>
      <c r="N330" s="80" t="s">
        <v>1003</v>
      </c>
      <c r="O330" s="382" t="s">
        <v>999</v>
      </c>
      <c r="P330" s="272" t="s">
        <v>1000</v>
      </c>
      <c r="Q330" s="112" t="s">
        <v>51</v>
      </c>
      <c r="R330" s="112">
        <v>1</v>
      </c>
      <c r="S330" s="514" t="s">
        <v>1004</v>
      </c>
      <c r="T330" s="515" t="s">
        <v>1005</v>
      </c>
      <c r="U330" s="515" t="s">
        <v>978</v>
      </c>
      <c r="V330" s="113"/>
      <c r="W330" s="113"/>
      <c r="X330" s="113"/>
      <c r="Y330" s="113"/>
      <c r="Z330" s="113"/>
      <c r="AA330" s="238"/>
      <c r="AB330" s="113"/>
      <c r="AC330" s="113"/>
      <c r="AD330" s="239"/>
      <c r="AE330" s="113"/>
      <c r="AF330" s="148">
        <f>95000000-36000000-41000000</f>
        <v>18000000</v>
      </c>
      <c r="AG330" s="113"/>
      <c r="AH330" s="113"/>
      <c r="AI330" s="113"/>
      <c r="AJ330" s="204">
        <f>+V330+W330+X330+Y330+Z330+AA330+AB330+AC330+AD330+AE330+AF330+AG330+AH330</f>
        <v>18000000</v>
      </c>
      <c r="AK330" s="204" t="s">
        <v>799</v>
      </c>
      <c r="AL330" s="205" t="s">
        <v>800</v>
      </c>
      <c r="AM330" s="7"/>
    </row>
    <row r="331" spans="1:77" s="3" customFormat="1" ht="189" customHeight="1" x14ac:dyDescent="0.2">
      <c r="A331" s="56"/>
      <c r="B331" s="96"/>
      <c r="C331" s="96"/>
      <c r="D331" s="96"/>
      <c r="E331" s="96"/>
      <c r="F331" s="71"/>
      <c r="G331" s="95"/>
      <c r="H331" s="515" t="s">
        <v>1006</v>
      </c>
      <c r="I331" s="427" t="s">
        <v>46</v>
      </c>
      <c r="J331" s="384" t="s">
        <v>1007</v>
      </c>
      <c r="K331" s="383" t="s">
        <v>997</v>
      </c>
      <c r="L331" s="412" t="s">
        <v>372</v>
      </c>
      <c r="M331" s="427" t="s">
        <v>46</v>
      </c>
      <c r="N331" s="80" t="s">
        <v>1008</v>
      </c>
      <c r="O331" s="385" t="s">
        <v>999</v>
      </c>
      <c r="P331" s="272" t="s">
        <v>1000</v>
      </c>
      <c r="Q331" s="95" t="s">
        <v>51</v>
      </c>
      <c r="R331" s="112">
        <v>1</v>
      </c>
      <c r="S331" s="95" t="s">
        <v>1009</v>
      </c>
      <c r="T331" s="515" t="s">
        <v>1010</v>
      </c>
      <c r="U331" s="515" t="s">
        <v>1011</v>
      </c>
      <c r="V331" s="113"/>
      <c r="W331" s="113"/>
      <c r="X331" s="113"/>
      <c r="Y331" s="113"/>
      <c r="Z331" s="113"/>
      <c r="AA331" s="238"/>
      <c r="AB331" s="113"/>
      <c r="AC331" s="113"/>
      <c r="AD331" s="239"/>
      <c r="AE331" s="113"/>
      <c r="AF331" s="148">
        <f>36000000+109894503</f>
        <v>145894503</v>
      </c>
      <c r="AG331" s="113"/>
      <c r="AH331" s="113"/>
      <c r="AI331" s="113"/>
      <c r="AJ331" s="204">
        <f>+V331+W331+X331+Y331+Z331+AA331+AB331+AC331+AD331+AE331+AF331+AG331+AH331</f>
        <v>145894503</v>
      </c>
      <c r="AK331" s="204" t="s">
        <v>799</v>
      </c>
      <c r="AL331" s="205" t="s">
        <v>800</v>
      </c>
      <c r="AM331" s="7"/>
    </row>
    <row r="332" spans="1:77" s="436" customFormat="1" ht="16.5" customHeight="1" x14ac:dyDescent="0.25">
      <c r="A332" s="432"/>
      <c r="B332" s="432"/>
      <c r="C332" s="432"/>
      <c r="D332" s="432"/>
      <c r="E332" s="432"/>
      <c r="F332" s="432"/>
      <c r="G332" s="432"/>
      <c r="H332" s="433"/>
      <c r="I332" s="432"/>
      <c r="J332" s="432"/>
      <c r="K332" s="432"/>
      <c r="L332" s="432"/>
      <c r="M332" s="432"/>
      <c r="N332" s="432"/>
      <c r="O332" s="432"/>
      <c r="P332" s="432"/>
      <c r="Q332" s="434"/>
      <c r="R332" s="432"/>
      <c r="S332" s="434"/>
      <c r="T332" s="434"/>
      <c r="U332" s="434"/>
      <c r="V332" s="435"/>
      <c r="W332" s="435"/>
      <c r="X332" s="435"/>
      <c r="Y332" s="435"/>
      <c r="Z332" s="435"/>
      <c r="AA332" s="435"/>
      <c r="AB332" s="435"/>
      <c r="AC332" s="435"/>
      <c r="AD332" s="435"/>
      <c r="AE332" s="435"/>
      <c r="AF332" s="435"/>
      <c r="AG332" s="435"/>
      <c r="AH332" s="435"/>
      <c r="AI332" s="435"/>
      <c r="AJ332" s="435"/>
      <c r="AK332" s="435"/>
      <c r="AL332" s="435"/>
      <c r="AM332" s="7"/>
    </row>
    <row r="333" spans="1:77" s="365" customFormat="1" ht="24" customHeight="1" x14ac:dyDescent="0.2">
      <c r="A333" s="34" t="s">
        <v>1012</v>
      </c>
      <c r="B333" s="34"/>
      <c r="C333" s="34"/>
      <c r="D333" s="34"/>
      <c r="E333" s="34"/>
      <c r="F333" s="35"/>
      <c r="G333" s="36"/>
      <c r="H333" s="357"/>
      <c r="I333" s="357"/>
      <c r="J333" s="357"/>
      <c r="K333" s="360"/>
      <c r="L333" s="357"/>
      <c r="M333" s="357"/>
      <c r="N333" s="362"/>
      <c r="O333" s="361"/>
      <c r="P333" s="362"/>
      <c r="Q333" s="363"/>
      <c r="R333" s="361"/>
      <c r="S333" s="36"/>
      <c r="T333" s="362"/>
      <c r="U333" s="362"/>
      <c r="V333" s="358">
        <f>+V334</f>
        <v>0</v>
      </c>
      <c r="W333" s="358">
        <f t="shared" ref="W333:AJ333" si="127">+W334</f>
        <v>0</v>
      </c>
      <c r="X333" s="358">
        <f t="shared" si="127"/>
        <v>0</v>
      </c>
      <c r="Y333" s="358">
        <f t="shared" si="127"/>
        <v>800000000</v>
      </c>
      <c r="Z333" s="358">
        <f t="shared" si="127"/>
        <v>6474048726.8999996</v>
      </c>
      <c r="AA333" s="358">
        <f t="shared" si="127"/>
        <v>37641943531.420006</v>
      </c>
      <c r="AB333" s="358">
        <f t="shared" si="127"/>
        <v>0</v>
      </c>
      <c r="AC333" s="358">
        <f t="shared" si="127"/>
        <v>0</v>
      </c>
      <c r="AD333" s="358">
        <f t="shared" si="127"/>
        <v>0</v>
      </c>
      <c r="AE333" s="358">
        <f t="shared" si="127"/>
        <v>0</v>
      </c>
      <c r="AF333" s="358">
        <f t="shared" si="127"/>
        <v>6034618945</v>
      </c>
      <c r="AG333" s="358">
        <f t="shared" si="127"/>
        <v>0</v>
      </c>
      <c r="AH333" s="358">
        <f t="shared" si="127"/>
        <v>3509252330.21</v>
      </c>
      <c r="AI333" s="358"/>
      <c r="AJ333" s="358">
        <f t="shared" si="127"/>
        <v>54459863533.529999</v>
      </c>
      <c r="AK333" s="358"/>
      <c r="AL333" s="359"/>
      <c r="AM333" s="7"/>
      <c r="AN333" s="364"/>
      <c r="AO333" s="364"/>
      <c r="AP333" s="364"/>
      <c r="AQ333" s="364"/>
      <c r="AR333" s="364"/>
      <c r="AS333" s="364"/>
      <c r="AT333" s="364"/>
      <c r="AU333" s="364"/>
      <c r="AV333" s="364"/>
      <c r="AW333" s="364"/>
      <c r="AX333" s="364"/>
      <c r="AY333" s="364"/>
      <c r="AZ333" s="364"/>
      <c r="BA333" s="364"/>
      <c r="BB333" s="364"/>
      <c r="BC333" s="364"/>
      <c r="BD333" s="364"/>
      <c r="BE333" s="364"/>
      <c r="BF333" s="364"/>
      <c r="BG333" s="364"/>
      <c r="BH333" s="364"/>
      <c r="BI333" s="364"/>
      <c r="BJ333" s="364"/>
      <c r="BK333" s="364"/>
      <c r="BL333" s="364"/>
      <c r="BM333" s="364"/>
      <c r="BN333" s="364"/>
      <c r="BO333" s="364"/>
      <c r="BP333" s="364"/>
      <c r="BQ333" s="364"/>
      <c r="BR333" s="364"/>
      <c r="BS333" s="364"/>
      <c r="BT333" s="364"/>
      <c r="BU333" s="364"/>
      <c r="BV333" s="364"/>
      <c r="BW333" s="364"/>
      <c r="BX333" s="364"/>
      <c r="BY333" s="364"/>
    </row>
    <row r="334" spans="1:77" ht="24" customHeight="1" x14ac:dyDescent="0.2">
      <c r="A334" s="130"/>
      <c r="B334" s="116">
        <v>1</v>
      </c>
      <c r="C334" s="116"/>
      <c r="D334" s="63" t="s">
        <v>148</v>
      </c>
      <c r="E334" s="157"/>
      <c r="F334" s="61"/>
      <c r="G334" s="163"/>
      <c r="H334" s="366"/>
      <c r="I334" s="366"/>
      <c r="J334" s="165"/>
      <c r="K334" s="164"/>
      <c r="L334" s="165"/>
      <c r="M334" s="165"/>
      <c r="N334" s="167"/>
      <c r="O334" s="166"/>
      <c r="P334" s="167"/>
      <c r="Q334" s="168"/>
      <c r="R334" s="166"/>
      <c r="S334" s="626"/>
      <c r="T334" s="118"/>
      <c r="U334" s="118"/>
      <c r="V334" s="119">
        <f>V335</f>
        <v>0</v>
      </c>
      <c r="W334" s="119">
        <f t="shared" ref="W334:AH334" si="128">W335</f>
        <v>0</v>
      </c>
      <c r="X334" s="119">
        <f t="shared" si="128"/>
        <v>0</v>
      </c>
      <c r="Y334" s="119">
        <f t="shared" si="128"/>
        <v>800000000</v>
      </c>
      <c r="Z334" s="119">
        <f t="shared" si="128"/>
        <v>6474048726.8999996</v>
      </c>
      <c r="AA334" s="119">
        <f t="shared" si="128"/>
        <v>37641943531.420006</v>
      </c>
      <c r="AB334" s="119">
        <f t="shared" si="128"/>
        <v>0</v>
      </c>
      <c r="AC334" s="119">
        <f t="shared" si="128"/>
        <v>0</v>
      </c>
      <c r="AD334" s="119">
        <f t="shared" si="128"/>
        <v>0</v>
      </c>
      <c r="AE334" s="119">
        <f t="shared" si="128"/>
        <v>0</v>
      </c>
      <c r="AF334" s="119">
        <f t="shared" si="128"/>
        <v>6034618945</v>
      </c>
      <c r="AG334" s="119">
        <f t="shared" si="128"/>
        <v>0</v>
      </c>
      <c r="AH334" s="119">
        <f t="shared" si="128"/>
        <v>3509252330.21</v>
      </c>
      <c r="AI334" s="119"/>
      <c r="AJ334" s="119">
        <f>AJ335</f>
        <v>54459863533.529999</v>
      </c>
      <c r="AK334" s="119"/>
      <c r="AL334" s="152"/>
      <c r="AM334" s="7"/>
    </row>
    <row r="335" spans="1:77" s="8" customFormat="1" ht="24" customHeight="1" x14ac:dyDescent="0.25">
      <c r="A335" s="115"/>
      <c r="B335" s="70"/>
      <c r="C335" s="70"/>
      <c r="D335" s="64">
        <v>19</v>
      </c>
      <c r="E335" s="62" t="s">
        <v>160</v>
      </c>
      <c r="F335" s="62"/>
      <c r="G335" s="120"/>
      <c r="H335" s="121"/>
      <c r="I335" s="121"/>
      <c r="J335" s="123"/>
      <c r="K335" s="122"/>
      <c r="L335" s="123"/>
      <c r="M335" s="123"/>
      <c r="N335" s="125"/>
      <c r="O335" s="124"/>
      <c r="P335" s="125"/>
      <c r="Q335" s="126"/>
      <c r="R335" s="124"/>
      <c r="S335" s="186"/>
      <c r="T335" s="128"/>
      <c r="U335" s="128"/>
      <c r="V335" s="129">
        <f>V336+V359+V389</f>
        <v>0</v>
      </c>
      <c r="W335" s="129">
        <f t="shared" ref="W335:AJ335" si="129">W336+W359+W389</f>
        <v>0</v>
      </c>
      <c r="X335" s="129">
        <f t="shared" si="129"/>
        <v>0</v>
      </c>
      <c r="Y335" s="129">
        <f t="shared" si="129"/>
        <v>800000000</v>
      </c>
      <c r="Z335" s="129">
        <f t="shared" si="129"/>
        <v>6474048726.8999996</v>
      </c>
      <c r="AA335" s="129">
        <f t="shared" si="129"/>
        <v>37641943531.420006</v>
      </c>
      <c r="AB335" s="129">
        <f t="shared" si="129"/>
        <v>0</v>
      </c>
      <c r="AC335" s="129">
        <f t="shared" si="129"/>
        <v>0</v>
      </c>
      <c r="AD335" s="129">
        <f t="shared" si="129"/>
        <v>0</v>
      </c>
      <c r="AE335" s="129">
        <f t="shared" si="129"/>
        <v>0</v>
      </c>
      <c r="AF335" s="129">
        <f t="shared" si="129"/>
        <v>6034618945</v>
      </c>
      <c r="AG335" s="129">
        <f t="shared" si="129"/>
        <v>0</v>
      </c>
      <c r="AH335" s="129">
        <f t="shared" si="129"/>
        <v>3509252330.21</v>
      </c>
      <c r="AI335" s="129"/>
      <c r="AJ335" s="129">
        <f t="shared" si="129"/>
        <v>54459863533.529999</v>
      </c>
      <c r="AK335" s="129"/>
      <c r="AL335" s="153"/>
      <c r="AM335" s="7"/>
      <c r="AN335" s="7"/>
      <c r="AO335" s="7"/>
      <c r="AP335" s="7"/>
      <c r="AQ335" s="7"/>
      <c r="AR335" s="7"/>
      <c r="AS335" s="7"/>
      <c r="AT335" s="7"/>
      <c r="AU335" s="7"/>
      <c r="AV335" s="7"/>
      <c r="AW335" s="7"/>
      <c r="AX335" s="7"/>
      <c r="AY335" s="7"/>
      <c r="AZ335" s="7"/>
      <c r="BA335" s="7"/>
      <c r="BB335" s="7"/>
      <c r="BC335" s="7"/>
      <c r="BD335" s="7"/>
      <c r="BE335" s="7"/>
      <c r="BF335" s="7"/>
      <c r="BG335" s="7"/>
      <c r="BH335" s="7"/>
      <c r="BI335" s="7"/>
      <c r="BJ335" s="7"/>
      <c r="BK335" s="7"/>
      <c r="BL335" s="7"/>
      <c r="BM335" s="7"/>
      <c r="BN335" s="7"/>
      <c r="BO335" s="7"/>
      <c r="BP335" s="7"/>
      <c r="BQ335" s="7"/>
      <c r="BR335" s="7"/>
      <c r="BS335" s="7"/>
      <c r="BT335" s="7"/>
      <c r="BU335" s="7"/>
      <c r="BV335" s="7"/>
      <c r="BW335" s="7"/>
      <c r="BX335" s="7"/>
      <c r="BY335" s="7"/>
    </row>
    <row r="336" spans="1:77" ht="24" customHeight="1" x14ac:dyDescent="0.2">
      <c r="A336" s="130"/>
      <c r="B336" s="78"/>
      <c r="C336" s="78"/>
      <c r="D336" s="78"/>
      <c r="E336" s="78"/>
      <c r="F336" s="138">
        <v>1903</v>
      </c>
      <c r="G336" s="68" t="s">
        <v>1013</v>
      </c>
      <c r="H336" s="177"/>
      <c r="I336" s="177"/>
      <c r="J336" s="595"/>
      <c r="K336" s="623"/>
      <c r="L336" s="595"/>
      <c r="M336" s="595"/>
      <c r="N336" s="590"/>
      <c r="O336" s="591"/>
      <c r="P336" s="590"/>
      <c r="Q336" s="624"/>
      <c r="R336" s="591"/>
      <c r="S336" s="625"/>
      <c r="T336" s="132"/>
      <c r="U336" s="132"/>
      <c r="V336" s="133">
        <f>SUM(V337:V358)</f>
        <v>0</v>
      </c>
      <c r="W336" s="133">
        <f t="shared" ref="W336:AJ336" si="130">SUM(W337:W358)</f>
        <v>0</v>
      </c>
      <c r="X336" s="133">
        <f t="shared" si="130"/>
        <v>0</v>
      </c>
      <c r="Y336" s="133">
        <f t="shared" si="130"/>
        <v>0</v>
      </c>
      <c r="Z336" s="133">
        <f t="shared" si="130"/>
        <v>1389901448</v>
      </c>
      <c r="AA336" s="133">
        <f t="shared" si="130"/>
        <v>91081005</v>
      </c>
      <c r="AB336" s="133">
        <f t="shared" si="130"/>
        <v>0</v>
      </c>
      <c r="AC336" s="133">
        <f t="shared" si="130"/>
        <v>0</v>
      </c>
      <c r="AD336" s="133">
        <f t="shared" si="130"/>
        <v>0</v>
      </c>
      <c r="AE336" s="133">
        <f t="shared" si="130"/>
        <v>0</v>
      </c>
      <c r="AF336" s="133">
        <f t="shared" si="130"/>
        <v>252324569</v>
      </c>
      <c r="AG336" s="133">
        <f t="shared" si="130"/>
        <v>0</v>
      </c>
      <c r="AH336" s="133">
        <f t="shared" si="130"/>
        <v>1449359713.21</v>
      </c>
      <c r="AI336" s="133"/>
      <c r="AJ336" s="133">
        <f t="shared" si="130"/>
        <v>3182666735.21</v>
      </c>
      <c r="AK336" s="133"/>
      <c r="AL336" s="140"/>
      <c r="AM336" s="7"/>
    </row>
    <row r="337" spans="1:39" ht="66" customHeight="1" x14ac:dyDescent="0.2">
      <c r="A337" s="130"/>
      <c r="B337" s="78"/>
      <c r="C337" s="78"/>
      <c r="D337" s="78"/>
      <c r="E337" s="78"/>
      <c r="F337" s="74"/>
      <c r="G337" s="179"/>
      <c r="H337" s="506" t="s">
        <v>1014</v>
      </c>
      <c r="I337" s="69">
        <v>1903009</v>
      </c>
      <c r="J337" s="736" t="s">
        <v>1015</v>
      </c>
      <c r="K337" s="69">
        <v>1903009</v>
      </c>
      <c r="L337" s="736" t="s">
        <v>1016</v>
      </c>
      <c r="M337" s="386">
        <v>190300900</v>
      </c>
      <c r="N337" s="80" t="s">
        <v>1017</v>
      </c>
      <c r="O337" s="386">
        <v>190300900</v>
      </c>
      <c r="P337" s="80" t="s">
        <v>1549</v>
      </c>
      <c r="Q337" s="232" t="s">
        <v>67</v>
      </c>
      <c r="R337" s="232">
        <v>600</v>
      </c>
      <c r="S337" s="970" t="s">
        <v>1018</v>
      </c>
      <c r="T337" s="950" t="s">
        <v>1019</v>
      </c>
      <c r="U337" s="950" t="s">
        <v>1020</v>
      </c>
      <c r="V337" s="135"/>
      <c r="W337" s="135"/>
      <c r="X337" s="135"/>
      <c r="Y337" s="135"/>
      <c r="Z337" s="113">
        <v>38000000</v>
      </c>
      <c r="AA337" s="240"/>
      <c r="AB337" s="135"/>
      <c r="AC337" s="135"/>
      <c r="AD337" s="241"/>
      <c r="AE337" s="135"/>
      <c r="AF337" s="145">
        <f>40000000-40000000</f>
        <v>0</v>
      </c>
      <c r="AG337" s="135"/>
      <c r="AH337" s="135"/>
      <c r="AI337" s="135"/>
      <c r="AJ337" s="136">
        <f t="shared" ref="AJ337:AJ358" si="131">+V337+W337+X337+Y337+Z337+AA337+AB337+AC337+AD337+AE337+AF337+AG337+AH337</f>
        <v>38000000</v>
      </c>
      <c r="AK337" s="136" t="s">
        <v>1021</v>
      </c>
      <c r="AL337" s="60" t="s">
        <v>1526</v>
      </c>
      <c r="AM337" s="7"/>
    </row>
    <row r="338" spans="1:39" s="3" customFormat="1" ht="47.25" customHeight="1" x14ac:dyDescent="0.2">
      <c r="A338" s="56"/>
      <c r="B338" s="96"/>
      <c r="C338" s="96"/>
      <c r="D338" s="96"/>
      <c r="E338" s="96"/>
      <c r="F338" s="99"/>
      <c r="G338" s="81"/>
      <c r="H338" s="515" t="s">
        <v>1022</v>
      </c>
      <c r="I338" s="69">
        <v>1903031</v>
      </c>
      <c r="J338" s="736" t="s">
        <v>1023</v>
      </c>
      <c r="K338" s="69">
        <v>1903031</v>
      </c>
      <c r="L338" s="736" t="s">
        <v>1023</v>
      </c>
      <c r="M338" s="386">
        <v>190303100</v>
      </c>
      <c r="N338" s="80" t="s">
        <v>1024</v>
      </c>
      <c r="O338" s="386">
        <v>190303100</v>
      </c>
      <c r="P338" s="80" t="s">
        <v>1024</v>
      </c>
      <c r="Q338" s="232" t="s">
        <v>51</v>
      </c>
      <c r="R338" s="232">
        <v>12</v>
      </c>
      <c r="S338" s="970"/>
      <c r="T338" s="950"/>
      <c r="U338" s="950"/>
      <c r="V338" s="113"/>
      <c r="W338" s="113"/>
      <c r="X338" s="113"/>
      <c r="Y338" s="113"/>
      <c r="Z338" s="219">
        <v>74000000</v>
      </c>
      <c r="AA338" s="238"/>
      <c r="AB338" s="113"/>
      <c r="AC338" s="113"/>
      <c r="AD338" s="239"/>
      <c r="AE338" s="113"/>
      <c r="AF338" s="148"/>
      <c r="AG338" s="113"/>
      <c r="AH338" s="113"/>
      <c r="AI338" s="113"/>
      <c r="AJ338" s="204">
        <f t="shared" si="131"/>
        <v>74000000</v>
      </c>
      <c r="AK338" s="136" t="s">
        <v>1021</v>
      </c>
      <c r="AL338" s="60" t="s">
        <v>1526</v>
      </c>
      <c r="AM338" s="7"/>
    </row>
    <row r="339" spans="1:39" ht="83.25" customHeight="1" x14ac:dyDescent="0.2">
      <c r="A339" s="130"/>
      <c r="B339" s="78"/>
      <c r="C339" s="78"/>
      <c r="D339" s="78"/>
      <c r="E339" s="78"/>
      <c r="F339" s="74"/>
      <c r="G339" s="179"/>
      <c r="H339" s="506" t="s">
        <v>1025</v>
      </c>
      <c r="I339" s="69">
        <v>1903023</v>
      </c>
      <c r="J339" s="736" t="s">
        <v>1026</v>
      </c>
      <c r="K339" s="69">
        <v>1903023</v>
      </c>
      <c r="L339" s="736" t="s">
        <v>1026</v>
      </c>
      <c r="M339" s="386">
        <v>190302300</v>
      </c>
      <c r="N339" s="80" t="s">
        <v>1027</v>
      </c>
      <c r="O339" s="386">
        <v>190302300</v>
      </c>
      <c r="P339" s="80" t="s">
        <v>1027</v>
      </c>
      <c r="Q339" s="178" t="s">
        <v>51</v>
      </c>
      <c r="R339" s="112">
        <v>12</v>
      </c>
      <c r="S339" s="970"/>
      <c r="T339" s="950"/>
      <c r="U339" s="950"/>
      <c r="V339" s="135"/>
      <c r="W339" s="135"/>
      <c r="X339" s="135"/>
      <c r="Y339" s="135"/>
      <c r="Z339" s="113">
        <v>28000000</v>
      </c>
      <c r="AA339" s="240"/>
      <c r="AB339" s="135"/>
      <c r="AC339" s="135"/>
      <c r="AD339" s="241"/>
      <c r="AE339" s="135"/>
      <c r="AF339" s="58"/>
      <c r="AG339" s="135"/>
      <c r="AH339" s="135"/>
      <c r="AI339" s="135"/>
      <c r="AJ339" s="136">
        <f t="shared" si="131"/>
        <v>28000000</v>
      </c>
      <c r="AK339" s="136" t="s">
        <v>1021</v>
      </c>
      <c r="AL339" s="60" t="s">
        <v>1526</v>
      </c>
      <c r="AM339" s="7"/>
    </row>
    <row r="340" spans="1:39" ht="175.5" customHeight="1" x14ac:dyDescent="0.2">
      <c r="A340" s="130"/>
      <c r="B340" s="78"/>
      <c r="C340" s="78"/>
      <c r="D340" s="78"/>
      <c r="E340" s="78"/>
      <c r="F340" s="74"/>
      <c r="G340" s="179"/>
      <c r="H340" s="506" t="s">
        <v>1028</v>
      </c>
      <c r="I340" s="69" t="s">
        <v>46</v>
      </c>
      <c r="J340" s="736" t="s">
        <v>1029</v>
      </c>
      <c r="K340" s="69">
        <v>1903050</v>
      </c>
      <c r="L340" s="736" t="s">
        <v>1030</v>
      </c>
      <c r="M340" s="69" t="s">
        <v>46</v>
      </c>
      <c r="N340" s="80" t="s">
        <v>1031</v>
      </c>
      <c r="O340" s="386">
        <v>190305000</v>
      </c>
      <c r="P340" s="80" t="s">
        <v>1032</v>
      </c>
      <c r="Q340" s="178" t="s">
        <v>51</v>
      </c>
      <c r="R340" s="112">
        <v>12</v>
      </c>
      <c r="S340" s="970"/>
      <c r="T340" s="950"/>
      <c r="U340" s="950"/>
      <c r="V340" s="135"/>
      <c r="W340" s="135"/>
      <c r="X340" s="135"/>
      <c r="Y340" s="135"/>
      <c r="Z340" s="113">
        <v>28000000</v>
      </c>
      <c r="AA340" s="273"/>
      <c r="AB340" s="135"/>
      <c r="AC340" s="135"/>
      <c r="AD340" s="241"/>
      <c r="AE340" s="135"/>
      <c r="AF340" s="58"/>
      <c r="AG340" s="135"/>
      <c r="AH340" s="135"/>
      <c r="AI340" s="135"/>
      <c r="AJ340" s="136">
        <f t="shared" si="131"/>
        <v>28000000</v>
      </c>
      <c r="AK340" s="136" t="s">
        <v>1021</v>
      </c>
      <c r="AL340" s="60" t="s">
        <v>1526</v>
      </c>
      <c r="AM340" s="7"/>
    </row>
    <row r="341" spans="1:39" ht="144" customHeight="1" x14ac:dyDescent="0.2">
      <c r="A341" s="130"/>
      <c r="B341" s="78"/>
      <c r="C341" s="78"/>
      <c r="D341" s="78"/>
      <c r="E341" s="78"/>
      <c r="F341" s="74"/>
      <c r="G341" s="179"/>
      <c r="H341" s="506" t="s">
        <v>1014</v>
      </c>
      <c r="I341" s="69" t="s">
        <v>46</v>
      </c>
      <c r="J341" s="736" t="s">
        <v>1033</v>
      </c>
      <c r="K341" s="69">
        <v>1903038</v>
      </c>
      <c r="L341" s="736" t="s">
        <v>1034</v>
      </c>
      <c r="M341" s="69" t="s">
        <v>46</v>
      </c>
      <c r="N341" s="737" t="s">
        <v>1035</v>
      </c>
      <c r="O341" s="69">
        <v>190303801</v>
      </c>
      <c r="P341" s="737" t="s">
        <v>1036</v>
      </c>
      <c r="Q341" s="178" t="s">
        <v>51</v>
      </c>
      <c r="R341" s="71">
        <v>1</v>
      </c>
      <c r="S341" s="970"/>
      <c r="T341" s="950"/>
      <c r="U341" s="950"/>
      <c r="V341" s="135"/>
      <c r="W341" s="135"/>
      <c r="X341" s="135"/>
      <c r="Y341" s="135"/>
      <c r="Z341" s="135">
        <f>48000000</f>
        <v>48000000</v>
      </c>
      <c r="AA341" s="240"/>
      <c r="AB341" s="135"/>
      <c r="AC341" s="135"/>
      <c r="AD341" s="241"/>
      <c r="AE341" s="135"/>
      <c r="AF341" s="58"/>
      <c r="AG341" s="135"/>
      <c r="AH341" s="730">
        <f>842700000+2000000+571581421.21</f>
        <v>1416281421.21</v>
      </c>
      <c r="AI341" s="274"/>
      <c r="AJ341" s="136">
        <f t="shared" si="131"/>
        <v>1464281421.21</v>
      </c>
      <c r="AK341" s="136" t="s">
        <v>1021</v>
      </c>
      <c r="AL341" s="60" t="s">
        <v>1526</v>
      </c>
      <c r="AM341" s="7"/>
    </row>
    <row r="342" spans="1:39" ht="120.75" customHeight="1" x14ac:dyDescent="0.2">
      <c r="A342" s="130"/>
      <c r="B342" s="78"/>
      <c r="C342" s="78"/>
      <c r="D342" s="78"/>
      <c r="E342" s="78"/>
      <c r="F342" s="74"/>
      <c r="G342" s="179"/>
      <c r="H342" s="506" t="s">
        <v>1037</v>
      </c>
      <c r="I342" s="69">
        <v>1903038</v>
      </c>
      <c r="J342" s="736" t="s">
        <v>1034</v>
      </c>
      <c r="K342" s="69">
        <v>1903038</v>
      </c>
      <c r="L342" s="736" t="s">
        <v>1034</v>
      </c>
      <c r="M342" s="386">
        <v>190303801</v>
      </c>
      <c r="N342" s="737" t="s">
        <v>1038</v>
      </c>
      <c r="O342" s="386">
        <v>190303801</v>
      </c>
      <c r="P342" s="737" t="s">
        <v>1038</v>
      </c>
      <c r="Q342" s="178" t="s">
        <v>51</v>
      </c>
      <c r="R342" s="112">
        <v>11</v>
      </c>
      <c r="S342" s="970"/>
      <c r="T342" s="950"/>
      <c r="U342" s="950"/>
      <c r="V342" s="135"/>
      <c r="W342" s="135"/>
      <c r="X342" s="135"/>
      <c r="Y342" s="135"/>
      <c r="Z342" s="274">
        <v>19000000</v>
      </c>
      <c r="AA342" s="240"/>
      <c r="AB342" s="135"/>
      <c r="AC342" s="135"/>
      <c r="AD342" s="241"/>
      <c r="AE342" s="135"/>
      <c r="AF342" s="58"/>
      <c r="AG342" s="135"/>
      <c r="AH342" s="135"/>
      <c r="AI342" s="135"/>
      <c r="AJ342" s="136">
        <f t="shared" si="131"/>
        <v>19000000</v>
      </c>
      <c r="AK342" s="136" t="s">
        <v>1021</v>
      </c>
      <c r="AL342" s="60" t="s">
        <v>1526</v>
      </c>
      <c r="AM342" s="7"/>
    </row>
    <row r="343" spans="1:39" ht="78.75" customHeight="1" x14ac:dyDescent="0.2">
      <c r="A343" s="130"/>
      <c r="B343" s="78"/>
      <c r="C343" s="78"/>
      <c r="D343" s="78"/>
      <c r="E343" s="78"/>
      <c r="F343" s="74"/>
      <c r="G343" s="179"/>
      <c r="H343" s="506" t="s">
        <v>1022</v>
      </c>
      <c r="I343" s="69">
        <v>1903027</v>
      </c>
      <c r="J343" s="736" t="s">
        <v>1039</v>
      </c>
      <c r="K343" s="69">
        <v>1903027</v>
      </c>
      <c r="L343" s="736" t="s">
        <v>1039</v>
      </c>
      <c r="M343" s="386">
        <v>190302700</v>
      </c>
      <c r="N343" s="80" t="s">
        <v>1040</v>
      </c>
      <c r="O343" s="386">
        <v>190302700</v>
      </c>
      <c r="P343" s="80" t="s">
        <v>1040</v>
      </c>
      <c r="Q343" s="178" t="s">
        <v>51</v>
      </c>
      <c r="R343" s="112">
        <v>5</v>
      </c>
      <c r="S343" s="970"/>
      <c r="T343" s="950"/>
      <c r="U343" s="950"/>
      <c r="V343" s="135"/>
      <c r="W343" s="135"/>
      <c r="X343" s="135"/>
      <c r="Y343" s="135"/>
      <c r="Z343" s="274">
        <v>19000000</v>
      </c>
      <c r="AA343" s="240"/>
      <c r="AB343" s="135"/>
      <c r="AC343" s="135"/>
      <c r="AD343" s="241"/>
      <c r="AE343" s="135"/>
      <c r="AF343" s="58"/>
      <c r="AG343" s="135"/>
      <c r="AH343" s="135"/>
      <c r="AI343" s="135"/>
      <c r="AJ343" s="136">
        <f t="shared" si="131"/>
        <v>19000000</v>
      </c>
      <c r="AK343" s="136" t="s">
        <v>1021</v>
      </c>
      <c r="AL343" s="60" t="s">
        <v>1526</v>
      </c>
      <c r="AM343" s="7"/>
    </row>
    <row r="344" spans="1:39" ht="69" customHeight="1" x14ac:dyDescent="0.2">
      <c r="A344" s="130"/>
      <c r="B344" s="78"/>
      <c r="C344" s="78"/>
      <c r="D344" s="78"/>
      <c r="E344" s="78"/>
      <c r="F344" s="74"/>
      <c r="G344" s="179"/>
      <c r="H344" s="506" t="s">
        <v>1041</v>
      </c>
      <c r="I344" s="69">
        <v>1903011</v>
      </c>
      <c r="J344" s="736" t="s">
        <v>1042</v>
      </c>
      <c r="K344" s="69">
        <v>1903011</v>
      </c>
      <c r="L344" s="736" t="s">
        <v>1042</v>
      </c>
      <c r="M344" s="386">
        <v>190301100</v>
      </c>
      <c r="N344" s="80" t="s">
        <v>1043</v>
      </c>
      <c r="O344" s="386">
        <v>190301100</v>
      </c>
      <c r="P344" s="80" t="s">
        <v>1044</v>
      </c>
      <c r="Q344" s="178" t="s">
        <v>51</v>
      </c>
      <c r="R344" s="112">
        <v>140</v>
      </c>
      <c r="S344" s="970"/>
      <c r="T344" s="950"/>
      <c r="U344" s="950"/>
      <c r="V344" s="135"/>
      <c r="W344" s="135"/>
      <c r="X344" s="135"/>
      <c r="Y344" s="135"/>
      <c r="Z344" s="113">
        <v>19000000</v>
      </c>
      <c r="AA344" s="240"/>
      <c r="AB344" s="135"/>
      <c r="AC344" s="135"/>
      <c r="AD344" s="241"/>
      <c r="AE344" s="135"/>
      <c r="AF344" s="58"/>
      <c r="AG344" s="135"/>
      <c r="AH344" s="135"/>
      <c r="AI344" s="135"/>
      <c r="AJ344" s="136">
        <f t="shared" si="131"/>
        <v>19000000</v>
      </c>
      <c r="AK344" s="136" t="s">
        <v>1021</v>
      </c>
      <c r="AL344" s="60" t="s">
        <v>1526</v>
      </c>
      <c r="AM344" s="7"/>
    </row>
    <row r="345" spans="1:39" ht="110.25" customHeight="1" x14ac:dyDescent="0.2">
      <c r="A345" s="130"/>
      <c r="B345" s="78"/>
      <c r="C345" s="78"/>
      <c r="D345" s="78"/>
      <c r="E345" s="78"/>
      <c r="F345" s="74"/>
      <c r="G345" s="513"/>
      <c r="H345" s="506" t="s">
        <v>1045</v>
      </c>
      <c r="I345" s="69">
        <v>1903001</v>
      </c>
      <c r="J345" s="736" t="s">
        <v>95</v>
      </c>
      <c r="K345" s="69">
        <v>1903001</v>
      </c>
      <c r="L345" s="736" t="s">
        <v>95</v>
      </c>
      <c r="M345" s="386">
        <v>190300100</v>
      </c>
      <c r="N345" s="80" t="s">
        <v>1046</v>
      </c>
      <c r="O345" s="386">
        <v>190300100</v>
      </c>
      <c r="P345" s="80" t="s">
        <v>1046</v>
      </c>
      <c r="Q345" s="232" t="s">
        <v>51</v>
      </c>
      <c r="R345" s="232">
        <v>1</v>
      </c>
      <c r="S345" s="970" t="s">
        <v>1047</v>
      </c>
      <c r="T345" s="949" t="s">
        <v>1048</v>
      </c>
      <c r="U345" s="949" t="s">
        <v>1049</v>
      </c>
      <c r="V345" s="135"/>
      <c r="W345" s="135"/>
      <c r="X345" s="135"/>
      <c r="Y345" s="135"/>
      <c r="Z345" s="135">
        <v>81470000</v>
      </c>
      <c r="AA345" s="240"/>
      <c r="AB345" s="135"/>
      <c r="AC345" s="135"/>
      <c r="AD345" s="241"/>
      <c r="AE345" s="135"/>
      <c r="AF345" s="145"/>
      <c r="AG345" s="135"/>
      <c r="AH345" s="135"/>
      <c r="AI345" s="135"/>
      <c r="AJ345" s="313">
        <f t="shared" si="131"/>
        <v>81470000</v>
      </c>
      <c r="AK345" s="136" t="s">
        <v>1021</v>
      </c>
      <c r="AL345" s="60" t="s">
        <v>1526</v>
      </c>
      <c r="AM345" s="7"/>
    </row>
    <row r="346" spans="1:39" ht="81.75" customHeight="1" x14ac:dyDescent="0.2">
      <c r="A346" s="130"/>
      <c r="B346" s="78"/>
      <c r="C346" s="78"/>
      <c r="D346" s="78"/>
      <c r="E346" s="78"/>
      <c r="F346" s="74"/>
      <c r="G346" s="513"/>
      <c r="H346" s="506" t="s">
        <v>1050</v>
      </c>
      <c r="I346" s="69">
        <v>1903015</v>
      </c>
      <c r="J346" s="736" t="s">
        <v>1051</v>
      </c>
      <c r="K346" s="69">
        <v>1903015</v>
      </c>
      <c r="L346" s="736" t="s">
        <v>1051</v>
      </c>
      <c r="M346" s="386">
        <v>190301500</v>
      </c>
      <c r="N346" s="737" t="s">
        <v>1052</v>
      </c>
      <c r="O346" s="386">
        <v>190301500</v>
      </c>
      <c r="P346" s="737" t="s">
        <v>1052</v>
      </c>
      <c r="Q346" s="232" t="s">
        <v>51</v>
      </c>
      <c r="R346" s="232">
        <v>12</v>
      </c>
      <c r="S346" s="970"/>
      <c r="T346" s="949"/>
      <c r="U346" s="949"/>
      <c r="V346" s="135"/>
      <c r="W346" s="135"/>
      <c r="X346" s="135"/>
      <c r="Y346" s="135"/>
      <c r="Z346" s="135">
        <v>211530000</v>
      </c>
      <c r="AA346" s="240"/>
      <c r="AB346" s="135"/>
      <c r="AC346" s="135"/>
      <c r="AD346" s="241"/>
      <c r="AE346" s="135"/>
      <c r="AF346" s="145"/>
      <c r="AG346" s="135"/>
      <c r="AH346" s="524"/>
      <c r="AI346" s="524"/>
      <c r="AJ346" s="313">
        <f t="shared" si="131"/>
        <v>211530000</v>
      </c>
      <c r="AK346" s="136" t="s">
        <v>1021</v>
      </c>
      <c r="AL346" s="60" t="s">
        <v>1526</v>
      </c>
      <c r="AM346" s="7"/>
    </row>
    <row r="347" spans="1:39" ht="134.25" customHeight="1" x14ac:dyDescent="0.2">
      <c r="A347" s="130"/>
      <c r="B347" s="78"/>
      <c r="C347" s="78"/>
      <c r="D347" s="78"/>
      <c r="E347" s="78"/>
      <c r="F347" s="74"/>
      <c r="G347" s="513"/>
      <c r="H347" s="506" t="s">
        <v>1053</v>
      </c>
      <c r="I347" s="69">
        <v>1903012</v>
      </c>
      <c r="J347" s="736" t="s">
        <v>1054</v>
      </c>
      <c r="K347" s="69">
        <v>1903012</v>
      </c>
      <c r="L347" s="736" t="s">
        <v>1054</v>
      </c>
      <c r="M347" s="386">
        <v>190301200</v>
      </c>
      <c r="N347" s="737" t="s">
        <v>1055</v>
      </c>
      <c r="O347" s="386">
        <v>190301200</v>
      </c>
      <c r="P347" s="737" t="s">
        <v>1055</v>
      </c>
      <c r="Q347" s="232" t="s">
        <v>51</v>
      </c>
      <c r="R347" s="232">
        <v>4000</v>
      </c>
      <c r="S347" s="970" t="s">
        <v>1056</v>
      </c>
      <c r="T347" s="949" t="s">
        <v>1057</v>
      </c>
      <c r="U347" s="949" t="s">
        <v>1058</v>
      </c>
      <c r="V347" s="135"/>
      <c r="W347" s="135"/>
      <c r="X347" s="135"/>
      <c r="Y347" s="135">
        <f>100000000-100000000</f>
        <v>0</v>
      </c>
      <c r="Z347" s="189">
        <f>610901448+25000000-30811412</f>
        <v>605090036</v>
      </c>
      <c r="AA347" s="275"/>
      <c r="AB347" s="135"/>
      <c r="AC347" s="135"/>
      <c r="AD347" s="241"/>
      <c r="AE347" s="135"/>
      <c r="AF347" s="145">
        <f>243062000-243062000+90734569</f>
        <v>90734569</v>
      </c>
      <c r="AG347" s="240"/>
      <c r="AH347" s="538">
        <v>33078292</v>
      </c>
      <c r="AI347" s="735"/>
      <c r="AJ347" s="527">
        <f t="shared" si="131"/>
        <v>728902897</v>
      </c>
      <c r="AK347" s="136" t="s">
        <v>1021</v>
      </c>
      <c r="AL347" s="60" t="s">
        <v>1526</v>
      </c>
      <c r="AM347" s="7"/>
    </row>
    <row r="348" spans="1:39" ht="77.25" customHeight="1" x14ac:dyDescent="0.2">
      <c r="A348" s="130"/>
      <c r="B348" s="78"/>
      <c r="C348" s="78"/>
      <c r="D348" s="78"/>
      <c r="E348" s="78"/>
      <c r="F348" s="74"/>
      <c r="G348" s="513"/>
      <c r="H348" s="506" t="s">
        <v>1059</v>
      </c>
      <c r="I348" s="69">
        <v>1903016</v>
      </c>
      <c r="J348" s="736" t="s">
        <v>1060</v>
      </c>
      <c r="K348" s="69">
        <v>1903016</v>
      </c>
      <c r="L348" s="736" t="s">
        <v>1060</v>
      </c>
      <c r="M348" s="386">
        <v>190301600</v>
      </c>
      <c r="N348" s="80" t="s">
        <v>1061</v>
      </c>
      <c r="O348" s="386">
        <v>190301600</v>
      </c>
      <c r="P348" s="80" t="s">
        <v>1061</v>
      </c>
      <c r="Q348" s="232" t="s">
        <v>51</v>
      </c>
      <c r="R348" s="232">
        <v>240</v>
      </c>
      <c r="S348" s="970"/>
      <c r="T348" s="949"/>
      <c r="U348" s="949"/>
      <c r="V348" s="135"/>
      <c r="W348" s="135"/>
      <c r="X348" s="135"/>
      <c r="Y348" s="135"/>
      <c r="Z348" s="189">
        <v>94000000</v>
      </c>
      <c r="AA348" s="240"/>
      <c r="AB348" s="135"/>
      <c r="AC348" s="135"/>
      <c r="AD348" s="241"/>
      <c r="AE348" s="135"/>
      <c r="AF348" s="145"/>
      <c r="AG348" s="135"/>
      <c r="AH348" s="264"/>
      <c r="AI348" s="264"/>
      <c r="AJ348" s="313">
        <f t="shared" si="131"/>
        <v>94000000</v>
      </c>
      <c r="AK348" s="136" t="s">
        <v>1021</v>
      </c>
      <c r="AL348" s="60" t="s">
        <v>1526</v>
      </c>
      <c r="AM348" s="7"/>
    </row>
    <row r="349" spans="1:39" ht="75" customHeight="1" x14ac:dyDescent="0.2">
      <c r="A349" s="130"/>
      <c r="B349" s="78"/>
      <c r="C349" s="78"/>
      <c r="D349" s="78"/>
      <c r="E349" s="78"/>
      <c r="F349" s="74"/>
      <c r="G349" s="513"/>
      <c r="H349" s="506" t="s">
        <v>1041</v>
      </c>
      <c r="I349" s="69">
        <v>1903011</v>
      </c>
      <c r="J349" s="736" t="s">
        <v>1042</v>
      </c>
      <c r="K349" s="69">
        <v>1903011</v>
      </c>
      <c r="L349" s="736" t="s">
        <v>1042</v>
      </c>
      <c r="M349" s="386">
        <v>190301101</v>
      </c>
      <c r="N349" s="737" t="s">
        <v>1062</v>
      </c>
      <c r="O349" s="386">
        <v>190301101</v>
      </c>
      <c r="P349" s="737" t="s">
        <v>1062</v>
      </c>
      <c r="Q349" s="232" t="s">
        <v>51</v>
      </c>
      <c r="R349" s="232">
        <v>12</v>
      </c>
      <c r="S349" s="970"/>
      <c r="T349" s="949"/>
      <c r="U349" s="949"/>
      <c r="V349" s="135"/>
      <c r="W349" s="135"/>
      <c r="X349" s="135"/>
      <c r="Y349" s="135"/>
      <c r="Z349" s="189">
        <f>94000000+30811412</f>
        <v>124811412</v>
      </c>
      <c r="AA349" s="240"/>
      <c r="AB349" s="135"/>
      <c r="AC349" s="135"/>
      <c r="AD349" s="241"/>
      <c r="AE349" s="135"/>
      <c r="AF349" s="145"/>
      <c r="AG349" s="135"/>
      <c r="AH349" s="135"/>
      <c r="AI349" s="135"/>
      <c r="AJ349" s="313">
        <f t="shared" si="131"/>
        <v>124811412</v>
      </c>
      <c r="AK349" s="136" t="s">
        <v>1021</v>
      </c>
      <c r="AL349" s="60" t="s">
        <v>1526</v>
      </c>
      <c r="AM349" s="7"/>
    </row>
    <row r="350" spans="1:39" ht="86.25" customHeight="1" x14ac:dyDescent="0.2">
      <c r="A350" s="130"/>
      <c r="B350" s="78"/>
      <c r="C350" s="78"/>
      <c r="D350" s="78"/>
      <c r="E350" s="78"/>
      <c r="F350" s="511"/>
      <c r="G350" s="513"/>
      <c r="H350" s="506" t="s">
        <v>1041</v>
      </c>
      <c r="I350" s="69">
        <v>1903034</v>
      </c>
      <c r="J350" s="736" t="s">
        <v>114</v>
      </c>
      <c r="K350" s="69">
        <v>1903034</v>
      </c>
      <c r="L350" s="736" t="s">
        <v>114</v>
      </c>
      <c r="M350" s="386">
        <v>190303400</v>
      </c>
      <c r="N350" s="737" t="s">
        <v>1063</v>
      </c>
      <c r="O350" s="386">
        <v>190303400</v>
      </c>
      <c r="P350" s="737" t="s">
        <v>1063</v>
      </c>
      <c r="Q350" s="178" t="s">
        <v>51</v>
      </c>
      <c r="R350" s="112">
        <v>12</v>
      </c>
      <c r="S350" s="514" t="s">
        <v>1064</v>
      </c>
      <c r="T350" s="505" t="s">
        <v>1065</v>
      </c>
      <c r="U350" s="505" t="s">
        <v>1066</v>
      </c>
      <c r="V350" s="135"/>
      <c r="W350" s="135"/>
      <c r="X350" s="135"/>
      <c r="Y350" s="135"/>
      <c r="Z350" s="135"/>
      <c r="AA350" s="275"/>
      <c r="AB350" s="135"/>
      <c r="AC350" s="135"/>
      <c r="AD350" s="241"/>
      <c r="AE350" s="135"/>
      <c r="AF350" s="145">
        <v>96954000</v>
      </c>
      <c r="AG350" s="135"/>
      <c r="AH350" s="135"/>
      <c r="AI350" s="135"/>
      <c r="AJ350" s="313">
        <f t="shared" si="131"/>
        <v>96954000</v>
      </c>
      <c r="AK350" s="136" t="s">
        <v>1021</v>
      </c>
      <c r="AL350" s="60" t="s">
        <v>1526</v>
      </c>
      <c r="AM350" s="7"/>
    </row>
    <row r="351" spans="1:39" ht="75" customHeight="1" x14ac:dyDescent="0.2">
      <c r="A351" s="130"/>
      <c r="B351" s="78"/>
      <c r="C351" s="78"/>
      <c r="D351" s="78"/>
      <c r="E351" s="78"/>
      <c r="F351" s="511"/>
      <c r="G351" s="513"/>
      <c r="H351" s="506" t="s">
        <v>1067</v>
      </c>
      <c r="I351" s="69">
        <v>1903045</v>
      </c>
      <c r="J351" s="736" t="s">
        <v>1068</v>
      </c>
      <c r="K351" s="69">
        <v>1903045</v>
      </c>
      <c r="L351" s="736" t="s">
        <v>1068</v>
      </c>
      <c r="M351" s="386">
        <v>190304500</v>
      </c>
      <c r="N351" s="80" t="s">
        <v>1069</v>
      </c>
      <c r="O351" s="386">
        <v>190304500</v>
      </c>
      <c r="P351" s="80" t="s">
        <v>1069</v>
      </c>
      <c r="Q351" s="178" t="s">
        <v>67</v>
      </c>
      <c r="R351" s="112">
        <v>725</v>
      </c>
      <c r="S351" s="970" t="s">
        <v>1070</v>
      </c>
      <c r="T351" s="949" t="s">
        <v>1071</v>
      </c>
      <c r="U351" s="949" t="s">
        <v>1072</v>
      </c>
      <c r="V351" s="135"/>
      <c r="W351" s="135"/>
      <c r="X351" s="135"/>
      <c r="Y351" s="135"/>
      <c r="Z351" s="135"/>
      <c r="AA351" s="275"/>
      <c r="AB351" s="135"/>
      <c r="AC351" s="135"/>
      <c r="AD351" s="241"/>
      <c r="AE351" s="135"/>
      <c r="AF351" s="148">
        <v>19636000</v>
      </c>
      <c r="AG351" s="135"/>
      <c r="AH351" s="135"/>
      <c r="AI351" s="135"/>
      <c r="AJ351" s="136">
        <f t="shared" si="131"/>
        <v>19636000</v>
      </c>
      <c r="AK351" s="136" t="s">
        <v>1021</v>
      </c>
      <c r="AL351" s="60" t="s">
        <v>1526</v>
      </c>
      <c r="AM351" s="7"/>
    </row>
    <row r="352" spans="1:39" ht="95.25" customHeight="1" x14ac:dyDescent="0.2">
      <c r="A352" s="130"/>
      <c r="B352" s="78"/>
      <c r="C352" s="78"/>
      <c r="D352" s="78"/>
      <c r="E352" s="78"/>
      <c r="F352" s="511"/>
      <c r="G352" s="513"/>
      <c r="H352" s="506" t="s">
        <v>1045</v>
      </c>
      <c r="I352" s="69">
        <v>1903001</v>
      </c>
      <c r="J352" s="736" t="s">
        <v>95</v>
      </c>
      <c r="K352" s="69">
        <v>1903001</v>
      </c>
      <c r="L352" s="736" t="s">
        <v>95</v>
      </c>
      <c r="M352" s="386">
        <v>190300100</v>
      </c>
      <c r="N352" s="80" t="s">
        <v>1046</v>
      </c>
      <c r="O352" s="386">
        <v>190300100</v>
      </c>
      <c r="P352" s="80" t="s">
        <v>1046</v>
      </c>
      <c r="Q352" s="232" t="s">
        <v>51</v>
      </c>
      <c r="R352" s="69">
        <v>1</v>
      </c>
      <c r="S352" s="970"/>
      <c r="T352" s="949"/>
      <c r="U352" s="949"/>
      <c r="V352" s="135"/>
      <c r="W352" s="135"/>
      <c r="X352" s="135"/>
      <c r="Y352" s="135"/>
      <c r="Z352" s="135"/>
      <c r="AA352" s="275"/>
      <c r="AB352" s="135"/>
      <c r="AC352" s="135"/>
      <c r="AD352" s="241"/>
      <c r="AE352" s="135"/>
      <c r="AF352" s="148">
        <v>15000000</v>
      </c>
      <c r="AG352" s="135"/>
      <c r="AH352" s="135"/>
      <c r="AI352" s="135"/>
      <c r="AJ352" s="313">
        <f t="shared" si="131"/>
        <v>15000000</v>
      </c>
      <c r="AK352" s="136" t="s">
        <v>1021</v>
      </c>
      <c r="AL352" s="60" t="s">
        <v>1526</v>
      </c>
      <c r="AM352" s="7"/>
    </row>
    <row r="353" spans="1:39" ht="71.25" customHeight="1" x14ac:dyDescent="0.2">
      <c r="A353" s="130"/>
      <c r="B353" s="78"/>
      <c r="C353" s="78"/>
      <c r="D353" s="78"/>
      <c r="E353" s="78"/>
      <c r="F353" s="511"/>
      <c r="G353" s="513"/>
      <c r="H353" s="521" t="s">
        <v>1073</v>
      </c>
      <c r="I353" s="386">
        <v>1903010</v>
      </c>
      <c r="J353" s="738" t="s">
        <v>1074</v>
      </c>
      <c r="K353" s="386">
        <v>1903010</v>
      </c>
      <c r="L353" s="738" t="s">
        <v>1074</v>
      </c>
      <c r="M353" s="386">
        <v>190301000</v>
      </c>
      <c r="N353" s="80" t="s">
        <v>1075</v>
      </c>
      <c r="O353" s="386">
        <v>190301000</v>
      </c>
      <c r="P353" s="80" t="s">
        <v>1075</v>
      </c>
      <c r="Q353" s="178" t="s">
        <v>51</v>
      </c>
      <c r="R353" s="112">
        <v>12</v>
      </c>
      <c r="S353" s="970"/>
      <c r="T353" s="949"/>
      <c r="U353" s="949"/>
      <c r="V353" s="135"/>
      <c r="W353" s="135"/>
      <c r="X353" s="135"/>
      <c r="Y353" s="135"/>
      <c r="Z353" s="135"/>
      <c r="AA353" s="275"/>
      <c r="AB353" s="135"/>
      <c r="AC353" s="135"/>
      <c r="AD353" s="241"/>
      <c r="AE353" s="135"/>
      <c r="AF353" s="148">
        <v>15000000</v>
      </c>
      <c r="AG353" s="135"/>
      <c r="AH353" s="135"/>
      <c r="AI353" s="135"/>
      <c r="AJ353" s="313">
        <f t="shared" si="131"/>
        <v>15000000</v>
      </c>
      <c r="AK353" s="136" t="s">
        <v>1021</v>
      </c>
      <c r="AL353" s="60" t="s">
        <v>1526</v>
      </c>
      <c r="AM353" s="7"/>
    </row>
    <row r="354" spans="1:39" ht="76.5" customHeight="1" x14ac:dyDescent="0.2">
      <c r="A354" s="130"/>
      <c r="B354" s="78"/>
      <c r="C354" s="78"/>
      <c r="D354" s="78"/>
      <c r="E354" s="70"/>
      <c r="F354" s="511"/>
      <c r="G354" s="513"/>
      <c r="H354" s="506" t="s">
        <v>1076</v>
      </c>
      <c r="I354" s="69">
        <v>1903011</v>
      </c>
      <c r="J354" s="736" t="s">
        <v>1042</v>
      </c>
      <c r="K354" s="69">
        <v>1903011</v>
      </c>
      <c r="L354" s="736" t="s">
        <v>1042</v>
      </c>
      <c r="M354" s="386">
        <v>190301101</v>
      </c>
      <c r="N354" s="737" t="s">
        <v>1062</v>
      </c>
      <c r="O354" s="386">
        <v>190301101</v>
      </c>
      <c r="P354" s="737" t="s">
        <v>1062</v>
      </c>
      <c r="Q354" s="178" t="s">
        <v>51</v>
      </c>
      <c r="R354" s="346">
        <v>12</v>
      </c>
      <c r="S354" s="970"/>
      <c r="T354" s="949"/>
      <c r="U354" s="949"/>
      <c r="V354" s="135"/>
      <c r="W354" s="135"/>
      <c r="X354" s="135"/>
      <c r="Y354" s="135"/>
      <c r="Z354" s="135"/>
      <c r="AA354" s="275"/>
      <c r="AB354" s="135"/>
      <c r="AC354" s="135"/>
      <c r="AD354" s="241"/>
      <c r="AE354" s="135"/>
      <c r="AF354" s="148">
        <v>15000000</v>
      </c>
      <c r="AG354" s="135"/>
      <c r="AH354" s="135"/>
      <c r="AI354" s="135"/>
      <c r="AJ354" s="313">
        <f t="shared" si="131"/>
        <v>15000000</v>
      </c>
      <c r="AK354" s="136" t="s">
        <v>1021</v>
      </c>
      <c r="AL354" s="60" t="s">
        <v>1526</v>
      </c>
      <c r="AM354" s="7"/>
    </row>
    <row r="355" spans="1:39" ht="58.5" customHeight="1" x14ac:dyDescent="0.2">
      <c r="A355" s="130"/>
      <c r="B355" s="78"/>
      <c r="C355" s="78"/>
      <c r="D355" s="78"/>
      <c r="E355" s="78"/>
      <c r="F355" s="511"/>
      <c r="G355" s="513"/>
      <c r="H355" s="506" t="s">
        <v>1077</v>
      </c>
      <c r="I355" s="69">
        <v>1903047</v>
      </c>
      <c r="J355" s="736" t="s">
        <v>1078</v>
      </c>
      <c r="K355" s="69">
        <v>1903047</v>
      </c>
      <c r="L355" s="736" t="s">
        <v>1078</v>
      </c>
      <c r="M355" s="386">
        <v>190304701</v>
      </c>
      <c r="N355" s="80" t="s">
        <v>1079</v>
      </c>
      <c r="O355" s="386">
        <v>190304701</v>
      </c>
      <c r="P355" s="80" t="s">
        <v>1079</v>
      </c>
      <c r="Q355" s="178" t="s">
        <v>51</v>
      </c>
      <c r="R355" s="112">
        <v>1</v>
      </c>
      <c r="S355" s="970" t="s">
        <v>1080</v>
      </c>
      <c r="T355" s="949" t="s">
        <v>1081</v>
      </c>
      <c r="U355" s="949" t="s">
        <v>1082</v>
      </c>
      <c r="V355" s="135"/>
      <c r="W355" s="135"/>
      <c r="X355" s="135"/>
      <c r="Y355" s="135"/>
      <c r="Z355" s="135"/>
      <c r="AA355" s="403">
        <f>15000000-5000000</f>
        <v>10000000</v>
      </c>
      <c r="AB355" s="135"/>
      <c r="AC355" s="135"/>
      <c r="AD355" s="241"/>
      <c r="AE355" s="135"/>
      <c r="AF355" s="145"/>
      <c r="AG355" s="135"/>
      <c r="AH355" s="135"/>
      <c r="AI355" s="135"/>
      <c r="AJ355" s="136">
        <f t="shared" si="131"/>
        <v>10000000</v>
      </c>
      <c r="AK355" s="136" t="s">
        <v>1021</v>
      </c>
      <c r="AL355" s="60" t="s">
        <v>1526</v>
      </c>
      <c r="AM355" s="7"/>
    </row>
    <row r="356" spans="1:39" ht="90.75" customHeight="1" x14ac:dyDescent="0.2">
      <c r="A356" s="130"/>
      <c r="B356" s="78"/>
      <c r="C356" s="78"/>
      <c r="D356" s="78"/>
      <c r="E356" s="78"/>
      <c r="F356" s="511"/>
      <c r="G356" s="513"/>
      <c r="H356" s="506" t="s">
        <v>1083</v>
      </c>
      <c r="I356" s="69">
        <v>1903019</v>
      </c>
      <c r="J356" s="736" t="s">
        <v>1084</v>
      </c>
      <c r="K356" s="69">
        <v>1903019</v>
      </c>
      <c r="L356" s="736" t="s">
        <v>1084</v>
      </c>
      <c r="M356" s="386">
        <v>190301900</v>
      </c>
      <c r="N356" s="80" t="s">
        <v>1085</v>
      </c>
      <c r="O356" s="386">
        <v>190301900</v>
      </c>
      <c r="P356" s="80" t="s">
        <v>1085</v>
      </c>
      <c r="Q356" s="178" t="s">
        <v>51</v>
      </c>
      <c r="R356" s="112">
        <v>75</v>
      </c>
      <c r="S356" s="970"/>
      <c r="T356" s="949"/>
      <c r="U356" s="949"/>
      <c r="V356" s="135"/>
      <c r="W356" s="135"/>
      <c r="X356" s="135"/>
      <c r="Y356" s="135"/>
      <c r="Z356" s="135"/>
      <c r="AA356" s="403">
        <f>55000000-27918995</f>
        <v>27081005</v>
      </c>
      <c r="AB356" s="404"/>
      <c r="AC356" s="135"/>
      <c r="AD356" s="241"/>
      <c r="AE356" s="135"/>
      <c r="AF356" s="145"/>
      <c r="AG356" s="135"/>
      <c r="AH356" s="135"/>
      <c r="AI356" s="135"/>
      <c r="AJ356" s="136">
        <f t="shared" si="131"/>
        <v>27081005</v>
      </c>
      <c r="AK356" s="136" t="s">
        <v>1021</v>
      </c>
      <c r="AL356" s="60" t="s">
        <v>1526</v>
      </c>
      <c r="AM356" s="7"/>
    </row>
    <row r="357" spans="1:39" ht="88.5" customHeight="1" x14ac:dyDescent="0.2">
      <c r="A357" s="130"/>
      <c r="B357" s="78"/>
      <c r="C357" s="78"/>
      <c r="D357" s="78"/>
      <c r="E357" s="78"/>
      <c r="F357" s="511"/>
      <c r="G357" s="513"/>
      <c r="H357" s="506" t="s">
        <v>1086</v>
      </c>
      <c r="I357" s="69">
        <v>1903028</v>
      </c>
      <c r="J357" s="736" t="s">
        <v>1087</v>
      </c>
      <c r="K357" s="69">
        <v>1903028</v>
      </c>
      <c r="L357" s="736" t="s">
        <v>1087</v>
      </c>
      <c r="M357" s="386">
        <v>190302800</v>
      </c>
      <c r="N357" s="737" t="s">
        <v>1088</v>
      </c>
      <c r="O357" s="386">
        <v>190302800</v>
      </c>
      <c r="P357" s="737" t="s">
        <v>1088</v>
      </c>
      <c r="Q357" s="178" t="s">
        <v>51</v>
      </c>
      <c r="R357" s="112">
        <v>250</v>
      </c>
      <c r="S357" s="970"/>
      <c r="T357" s="949"/>
      <c r="U357" s="949"/>
      <c r="V357" s="135"/>
      <c r="W357" s="135"/>
      <c r="X357" s="135"/>
      <c r="Y357" s="135"/>
      <c r="Z357" s="135"/>
      <c r="AA357" s="403">
        <f>40000000-26000000</f>
        <v>14000000</v>
      </c>
      <c r="AB357" s="135"/>
      <c r="AC357" s="135"/>
      <c r="AD357" s="241"/>
      <c r="AE357" s="135"/>
      <c r="AF357" s="145"/>
      <c r="AG357" s="135"/>
      <c r="AH357" s="135"/>
      <c r="AI357" s="135"/>
      <c r="AJ357" s="136">
        <f t="shared" si="131"/>
        <v>14000000</v>
      </c>
      <c r="AK357" s="136" t="s">
        <v>1021</v>
      </c>
      <c r="AL357" s="60" t="s">
        <v>1526</v>
      </c>
      <c r="AM357" s="7"/>
    </row>
    <row r="358" spans="1:39" ht="85.5" customHeight="1" x14ac:dyDescent="0.2">
      <c r="A358" s="130"/>
      <c r="B358" s="78"/>
      <c r="C358" s="78"/>
      <c r="D358" s="78"/>
      <c r="E358" s="78"/>
      <c r="F358" s="511"/>
      <c r="G358" s="513"/>
      <c r="H358" s="506" t="s">
        <v>1050</v>
      </c>
      <c r="I358" s="69">
        <v>1903025</v>
      </c>
      <c r="J358" s="736" t="s">
        <v>1089</v>
      </c>
      <c r="K358" s="69">
        <v>1903025</v>
      </c>
      <c r="L358" s="736" t="s">
        <v>1089</v>
      </c>
      <c r="M358" s="386">
        <v>190302500</v>
      </c>
      <c r="N358" s="80" t="s">
        <v>1090</v>
      </c>
      <c r="O358" s="386">
        <v>190302500</v>
      </c>
      <c r="P358" s="80" t="s">
        <v>1090</v>
      </c>
      <c r="Q358" s="191" t="s">
        <v>51</v>
      </c>
      <c r="R358" s="112">
        <v>12</v>
      </c>
      <c r="S358" s="970"/>
      <c r="T358" s="949"/>
      <c r="U358" s="949"/>
      <c r="V358" s="135"/>
      <c r="W358" s="135"/>
      <c r="X358" s="135"/>
      <c r="Y358" s="135"/>
      <c r="Z358" s="135"/>
      <c r="AA358" s="403">
        <v>40000000</v>
      </c>
      <c r="AB358" s="135"/>
      <c r="AC358" s="135"/>
      <c r="AD358" s="241"/>
      <c r="AE358" s="135"/>
      <c r="AF358" s="145"/>
      <c r="AG358" s="135"/>
      <c r="AH358" s="135"/>
      <c r="AI358" s="135"/>
      <c r="AJ358" s="136">
        <f t="shared" si="131"/>
        <v>40000000</v>
      </c>
      <c r="AK358" s="136" t="s">
        <v>1021</v>
      </c>
      <c r="AL358" s="60" t="s">
        <v>1526</v>
      </c>
      <c r="AM358" s="7"/>
    </row>
    <row r="359" spans="1:39" ht="24" customHeight="1" x14ac:dyDescent="0.2">
      <c r="A359" s="130"/>
      <c r="B359" s="78"/>
      <c r="C359" s="78"/>
      <c r="D359" s="78"/>
      <c r="E359" s="78"/>
      <c r="F359" s="138">
        <v>1905</v>
      </c>
      <c r="G359" s="68" t="s">
        <v>792</v>
      </c>
      <c r="H359" s="177"/>
      <c r="I359" s="177"/>
      <c r="J359" s="595"/>
      <c r="K359" s="623"/>
      <c r="L359" s="595"/>
      <c r="M359" s="595"/>
      <c r="N359" s="590"/>
      <c r="O359" s="591"/>
      <c r="P359" s="590"/>
      <c r="Q359" s="624"/>
      <c r="R359" s="591"/>
      <c r="S359" s="625"/>
      <c r="T359" s="132"/>
      <c r="U359" s="132"/>
      <c r="V359" s="276">
        <f>SUM(V360:V388)</f>
        <v>0</v>
      </c>
      <c r="W359" s="276">
        <f t="shared" ref="W359:AH359" si="132">SUM(W360:W388)</f>
        <v>0</v>
      </c>
      <c r="X359" s="276">
        <f t="shared" si="132"/>
        <v>0</v>
      </c>
      <c r="Y359" s="276">
        <f t="shared" si="132"/>
        <v>0</v>
      </c>
      <c r="Z359" s="276">
        <f t="shared" si="132"/>
        <v>3343280425.4899998</v>
      </c>
      <c r="AA359" s="277">
        <f t="shared" si="132"/>
        <v>0</v>
      </c>
      <c r="AB359" s="276">
        <f t="shared" si="132"/>
        <v>0</v>
      </c>
      <c r="AC359" s="276">
        <f t="shared" si="132"/>
        <v>0</v>
      </c>
      <c r="AD359" s="278">
        <f t="shared" si="132"/>
        <v>0</v>
      </c>
      <c r="AE359" s="276">
        <f t="shared" si="132"/>
        <v>0</v>
      </c>
      <c r="AF359" s="276">
        <f>SUM(AF360:AF388)</f>
        <v>1551904376</v>
      </c>
      <c r="AG359" s="276">
        <f t="shared" si="132"/>
        <v>0</v>
      </c>
      <c r="AH359" s="276">
        <f t="shared" si="132"/>
        <v>389313244</v>
      </c>
      <c r="AI359" s="276"/>
      <c r="AJ359" s="276">
        <f>SUM(AJ360:AJ388)</f>
        <v>5284498045.4899998</v>
      </c>
      <c r="AK359" s="276"/>
      <c r="AL359" s="279"/>
      <c r="AM359" s="7"/>
    </row>
    <row r="360" spans="1:39" ht="159.75" customHeight="1" x14ac:dyDescent="0.2">
      <c r="A360" s="130"/>
      <c r="B360" s="78"/>
      <c r="C360" s="78"/>
      <c r="D360" s="78"/>
      <c r="E360" s="78"/>
      <c r="F360" s="74"/>
      <c r="G360" s="513"/>
      <c r="H360" s="506" t="s">
        <v>1025</v>
      </c>
      <c r="I360" s="69">
        <v>1905028</v>
      </c>
      <c r="J360" s="736" t="s">
        <v>1091</v>
      </c>
      <c r="K360" s="69">
        <v>1905028</v>
      </c>
      <c r="L360" s="736" t="s">
        <v>1091</v>
      </c>
      <c r="M360" s="386">
        <v>190502800</v>
      </c>
      <c r="N360" s="737" t="s">
        <v>1092</v>
      </c>
      <c r="O360" s="386">
        <v>190502800</v>
      </c>
      <c r="P360" s="737" t="s">
        <v>1092</v>
      </c>
      <c r="Q360" s="513" t="s">
        <v>51</v>
      </c>
      <c r="R360" s="112">
        <v>12</v>
      </c>
      <c r="S360" s="970" t="s">
        <v>1093</v>
      </c>
      <c r="T360" s="949" t="s">
        <v>1094</v>
      </c>
      <c r="U360" s="949" t="s">
        <v>1095</v>
      </c>
      <c r="V360" s="135"/>
      <c r="W360" s="135"/>
      <c r="X360" s="135"/>
      <c r="Y360" s="135"/>
      <c r="Z360" s="113">
        <v>38000000</v>
      </c>
      <c r="AA360" s="240"/>
      <c r="AB360" s="135"/>
      <c r="AC360" s="135"/>
      <c r="AD360" s="241"/>
      <c r="AE360" s="135"/>
      <c r="AF360" s="145"/>
      <c r="AG360" s="135"/>
      <c r="AH360" s="135"/>
      <c r="AI360" s="135"/>
      <c r="AJ360" s="136">
        <f t="shared" ref="AJ360:AJ388" si="133">+V360+W360+X360+Y360+Z360+AA360+AB360+AC360+AD360+AE360+AF360+AG360+AH360</f>
        <v>38000000</v>
      </c>
      <c r="AK360" s="136" t="s">
        <v>1021</v>
      </c>
      <c r="AL360" s="60" t="s">
        <v>1526</v>
      </c>
      <c r="AM360" s="7"/>
    </row>
    <row r="361" spans="1:39" ht="114.75" customHeight="1" x14ac:dyDescent="0.2">
      <c r="A361" s="130"/>
      <c r="B361" s="78"/>
      <c r="C361" s="78"/>
      <c r="D361" s="78"/>
      <c r="E361" s="70"/>
      <c r="F361" s="74"/>
      <c r="G361" s="513"/>
      <c r="H361" s="506" t="s">
        <v>1025</v>
      </c>
      <c r="I361" s="69">
        <v>1905031</v>
      </c>
      <c r="J361" s="736" t="s">
        <v>1096</v>
      </c>
      <c r="K361" s="69">
        <v>1905031</v>
      </c>
      <c r="L361" s="736" t="s">
        <v>1096</v>
      </c>
      <c r="M361" s="69">
        <v>190503100</v>
      </c>
      <c r="N361" s="737" t="s">
        <v>1097</v>
      </c>
      <c r="O361" s="69">
        <v>190503100</v>
      </c>
      <c r="P361" s="737" t="s">
        <v>1097</v>
      </c>
      <c r="Q361" s="178" t="s">
        <v>51</v>
      </c>
      <c r="R361" s="112">
        <v>12</v>
      </c>
      <c r="S361" s="970"/>
      <c r="T361" s="949"/>
      <c r="U361" s="949"/>
      <c r="V361" s="135"/>
      <c r="W361" s="135"/>
      <c r="X361" s="135"/>
      <c r="Y361" s="135"/>
      <c r="Z361" s="113">
        <v>38000000</v>
      </c>
      <c r="AA361" s="240"/>
      <c r="AB361" s="135"/>
      <c r="AC361" s="135"/>
      <c r="AD361" s="241"/>
      <c r="AE361" s="135"/>
      <c r="AF361" s="145"/>
      <c r="AG361" s="135"/>
      <c r="AH361" s="135"/>
      <c r="AI361" s="135"/>
      <c r="AJ361" s="136">
        <f t="shared" si="133"/>
        <v>38000000</v>
      </c>
      <c r="AK361" s="136" t="s">
        <v>1021</v>
      </c>
      <c r="AL361" s="60" t="s">
        <v>1526</v>
      </c>
      <c r="AM361" s="7"/>
    </row>
    <row r="362" spans="1:39" ht="73.5" customHeight="1" x14ac:dyDescent="0.2">
      <c r="A362" s="130"/>
      <c r="B362" s="78"/>
      <c r="C362" s="78"/>
      <c r="D362" s="78"/>
      <c r="E362" s="78"/>
      <c r="F362" s="74"/>
      <c r="G362" s="513"/>
      <c r="H362" s="506" t="s">
        <v>1098</v>
      </c>
      <c r="I362" s="69">
        <v>1905019</v>
      </c>
      <c r="J362" s="736" t="s">
        <v>1099</v>
      </c>
      <c r="K362" s="69">
        <v>1905019</v>
      </c>
      <c r="L362" s="736" t="s">
        <v>1099</v>
      </c>
      <c r="M362" s="69">
        <v>190501900</v>
      </c>
      <c r="N362" s="737" t="s">
        <v>346</v>
      </c>
      <c r="O362" s="69">
        <v>190501900</v>
      </c>
      <c r="P362" s="737" t="s">
        <v>346</v>
      </c>
      <c r="Q362" s="178" t="s">
        <v>51</v>
      </c>
      <c r="R362" s="112">
        <v>60</v>
      </c>
      <c r="S362" s="970" t="s">
        <v>1100</v>
      </c>
      <c r="T362" s="949" t="s">
        <v>1101</v>
      </c>
      <c r="U362" s="949" t="s">
        <v>1102</v>
      </c>
      <c r="V362" s="135"/>
      <c r="W362" s="135"/>
      <c r="X362" s="135"/>
      <c r="Y362" s="135"/>
      <c r="Z362" s="280">
        <v>20000000</v>
      </c>
      <c r="AA362" s="240"/>
      <c r="AB362" s="135"/>
      <c r="AC362" s="135"/>
      <c r="AD362" s="241"/>
      <c r="AE362" s="135"/>
      <c r="AF362" s="145"/>
      <c r="AG362" s="135"/>
      <c r="AH362" s="135"/>
      <c r="AI362" s="135"/>
      <c r="AJ362" s="136">
        <f t="shared" si="133"/>
        <v>20000000</v>
      </c>
      <c r="AK362" s="136" t="s">
        <v>1021</v>
      </c>
      <c r="AL362" s="60" t="s">
        <v>1526</v>
      </c>
      <c r="AM362" s="7"/>
    </row>
    <row r="363" spans="1:39" ht="152.25" customHeight="1" x14ac:dyDescent="0.2">
      <c r="A363" s="130"/>
      <c r="B363" s="78"/>
      <c r="C363" s="78"/>
      <c r="D363" s="78"/>
      <c r="E363" s="78"/>
      <c r="F363" s="74"/>
      <c r="G363" s="513"/>
      <c r="H363" s="506" t="s">
        <v>1103</v>
      </c>
      <c r="I363" s="69" t="s">
        <v>1104</v>
      </c>
      <c r="J363" s="736" t="s">
        <v>1105</v>
      </c>
      <c r="K363" s="69">
        <v>1905031</v>
      </c>
      <c r="L363" s="736" t="s">
        <v>1106</v>
      </c>
      <c r="M363" s="69" t="s">
        <v>46</v>
      </c>
      <c r="N363" s="737" t="s">
        <v>1107</v>
      </c>
      <c r="O363" s="69">
        <v>190503100</v>
      </c>
      <c r="P363" s="737" t="s">
        <v>1108</v>
      </c>
      <c r="Q363" s="514" t="s">
        <v>51</v>
      </c>
      <c r="R363" s="232">
        <v>11</v>
      </c>
      <c r="S363" s="970"/>
      <c r="T363" s="949"/>
      <c r="U363" s="949"/>
      <c r="V363" s="135"/>
      <c r="W363" s="135"/>
      <c r="X363" s="135"/>
      <c r="Y363" s="135"/>
      <c r="Z363" s="280">
        <v>20000000</v>
      </c>
      <c r="AA363" s="240"/>
      <c r="AB363" s="135"/>
      <c r="AC363" s="135"/>
      <c r="AD363" s="241"/>
      <c r="AE363" s="135"/>
      <c r="AF363" s="145"/>
      <c r="AG363" s="135"/>
      <c r="AH363" s="135"/>
      <c r="AI363" s="135"/>
      <c r="AJ363" s="136">
        <f t="shared" si="133"/>
        <v>20000000</v>
      </c>
      <c r="AK363" s="136" t="s">
        <v>1021</v>
      </c>
      <c r="AL363" s="60" t="s">
        <v>1526</v>
      </c>
      <c r="AM363" s="7"/>
    </row>
    <row r="364" spans="1:39" ht="112.5" customHeight="1" x14ac:dyDescent="0.2">
      <c r="A364" s="130"/>
      <c r="B364" s="78"/>
      <c r="C364" s="78"/>
      <c r="D364" s="78"/>
      <c r="E364" s="78"/>
      <c r="F364" s="74"/>
      <c r="G364" s="513"/>
      <c r="H364" s="506" t="s">
        <v>1109</v>
      </c>
      <c r="I364" s="69" t="s">
        <v>46</v>
      </c>
      <c r="J364" s="736" t="s">
        <v>1110</v>
      </c>
      <c r="K364" s="69">
        <v>1905015</v>
      </c>
      <c r="L364" s="736" t="s">
        <v>248</v>
      </c>
      <c r="M364" s="69" t="s">
        <v>46</v>
      </c>
      <c r="N364" s="80" t="s">
        <v>1111</v>
      </c>
      <c r="O364" s="69">
        <v>190501500</v>
      </c>
      <c r="P364" s="80" t="s">
        <v>250</v>
      </c>
      <c r="Q364" s="178" t="s">
        <v>51</v>
      </c>
      <c r="R364" s="112">
        <v>1</v>
      </c>
      <c r="S364" s="970"/>
      <c r="T364" s="949"/>
      <c r="U364" s="949"/>
      <c r="V364" s="135"/>
      <c r="W364" s="135"/>
      <c r="X364" s="135"/>
      <c r="Y364" s="135"/>
      <c r="Z364" s="280">
        <v>20000000</v>
      </c>
      <c r="AA364" s="240"/>
      <c r="AB364" s="135"/>
      <c r="AC364" s="135"/>
      <c r="AD364" s="241"/>
      <c r="AE364" s="135"/>
      <c r="AF364" s="145"/>
      <c r="AG364" s="135"/>
      <c r="AH364" s="135"/>
      <c r="AI364" s="135"/>
      <c r="AJ364" s="136">
        <f t="shared" si="133"/>
        <v>20000000</v>
      </c>
      <c r="AK364" s="136" t="s">
        <v>1021</v>
      </c>
      <c r="AL364" s="60" t="s">
        <v>1526</v>
      </c>
      <c r="AM364" s="7"/>
    </row>
    <row r="365" spans="1:39" ht="120.75" customHeight="1" x14ac:dyDescent="0.2">
      <c r="A365" s="130"/>
      <c r="B365" s="78"/>
      <c r="C365" s="78"/>
      <c r="D365" s="78"/>
      <c r="E365" s="78"/>
      <c r="F365" s="74"/>
      <c r="G365" s="513"/>
      <c r="H365" s="506" t="s">
        <v>1028</v>
      </c>
      <c r="I365" s="69" t="s">
        <v>46</v>
      </c>
      <c r="J365" s="736" t="s">
        <v>1112</v>
      </c>
      <c r="K365" s="69">
        <v>1905024</v>
      </c>
      <c r="L365" s="736" t="s">
        <v>1113</v>
      </c>
      <c r="M365" s="69" t="s">
        <v>46</v>
      </c>
      <c r="N365" s="80" t="s">
        <v>1114</v>
      </c>
      <c r="O365" s="69">
        <v>190502400</v>
      </c>
      <c r="P365" s="80" t="s">
        <v>1115</v>
      </c>
      <c r="Q365" s="178" t="s">
        <v>67</v>
      </c>
      <c r="R365" s="112">
        <v>3</v>
      </c>
      <c r="S365" s="970"/>
      <c r="T365" s="949"/>
      <c r="U365" s="949"/>
      <c r="V365" s="135"/>
      <c r="W365" s="135"/>
      <c r="X365" s="135"/>
      <c r="Y365" s="135"/>
      <c r="Z365" s="280">
        <v>64000000</v>
      </c>
      <c r="AA365" s="240"/>
      <c r="AB365" s="135"/>
      <c r="AC365" s="135"/>
      <c r="AD365" s="241"/>
      <c r="AE365" s="135"/>
      <c r="AF365" s="145"/>
      <c r="AG365" s="135"/>
      <c r="AH365" s="135"/>
      <c r="AI365" s="135"/>
      <c r="AJ365" s="136">
        <f t="shared" si="133"/>
        <v>64000000</v>
      </c>
      <c r="AK365" s="136" t="s">
        <v>1021</v>
      </c>
      <c r="AL365" s="60" t="s">
        <v>1526</v>
      </c>
      <c r="AM365" s="7"/>
    </row>
    <row r="366" spans="1:39" ht="78" customHeight="1" x14ac:dyDescent="0.2">
      <c r="A366" s="130"/>
      <c r="B366" s="78"/>
      <c r="C366" s="78"/>
      <c r="D366" s="78"/>
      <c r="E366" s="78"/>
      <c r="F366" s="74"/>
      <c r="G366" s="513"/>
      <c r="H366" s="506" t="s">
        <v>1116</v>
      </c>
      <c r="I366" s="69" t="s">
        <v>46</v>
      </c>
      <c r="J366" s="736" t="s">
        <v>1117</v>
      </c>
      <c r="K366" s="69">
        <v>1905015</v>
      </c>
      <c r="L366" s="736" t="s">
        <v>248</v>
      </c>
      <c r="M366" s="69" t="s">
        <v>46</v>
      </c>
      <c r="N366" s="80" t="s">
        <v>1118</v>
      </c>
      <c r="O366" s="69">
        <v>190501500</v>
      </c>
      <c r="P366" s="80" t="s">
        <v>250</v>
      </c>
      <c r="Q366" s="513" t="s">
        <v>67</v>
      </c>
      <c r="R366" s="112">
        <v>4</v>
      </c>
      <c r="S366" s="970"/>
      <c r="T366" s="949"/>
      <c r="U366" s="949"/>
      <c r="V366" s="135"/>
      <c r="W366" s="135"/>
      <c r="X366" s="135"/>
      <c r="Y366" s="135"/>
      <c r="Z366" s="280">
        <v>20000000</v>
      </c>
      <c r="AA366" s="240"/>
      <c r="AB366" s="135"/>
      <c r="AC366" s="135"/>
      <c r="AD366" s="241"/>
      <c r="AE366" s="135"/>
      <c r="AF366" s="148"/>
      <c r="AG366" s="135"/>
      <c r="AH366" s="135"/>
      <c r="AI366" s="135"/>
      <c r="AJ366" s="136">
        <f t="shared" si="133"/>
        <v>20000000</v>
      </c>
      <c r="AK366" s="136" t="s">
        <v>1021</v>
      </c>
      <c r="AL366" s="60" t="s">
        <v>1526</v>
      </c>
      <c r="AM366" s="7"/>
    </row>
    <row r="367" spans="1:39" ht="126.75" customHeight="1" x14ac:dyDescent="0.2">
      <c r="A367" s="130"/>
      <c r="B367" s="78"/>
      <c r="C367" s="78"/>
      <c r="D367" s="78"/>
      <c r="E367" s="78"/>
      <c r="F367" s="74"/>
      <c r="G367" s="513"/>
      <c r="H367" s="506" t="s">
        <v>1028</v>
      </c>
      <c r="I367" s="69" t="s">
        <v>46</v>
      </c>
      <c r="J367" s="736" t="s">
        <v>1119</v>
      </c>
      <c r="K367" s="69">
        <v>1905024</v>
      </c>
      <c r="L367" s="736" t="s">
        <v>1113</v>
      </c>
      <c r="M367" s="69" t="s">
        <v>46</v>
      </c>
      <c r="N367" s="80" t="s">
        <v>1120</v>
      </c>
      <c r="O367" s="386">
        <v>190502400</v>
      </c>
      <c r="P367" s="80" t="s">
        <v>1115</v>
      </c>
      <c r="Q367" s="232" t="s">
        <v>51</v>
      </c>
      <c r="R367" s="232">
        <v>12</v>
      </c>
      <c r="S367" s="970"/>
      <c r="T367" s="949"/>
      <c r="U367" s="949"/>
      <c r="V367" s="135"/>
      <c r="W367" s="135"/>
      <c r="X367" s="135"/>
      <c r="Y367" s="135"/>
      <c r="Z367" s="280">
        <v>28000000</v>
      </c>
      <c r="AA367" s="240"/>
      <c r="AB367" s="135"/>
      <c r="AC367" s="135"/>
      <c r="AD367" s="241"/>
      <c r="AE367" s="135"/>
      <c r="AF367" s="145"/>
      <c r="AG367" s="135"/>
      <c r="AH367" s="135"/>
      <c r="AI367" s="135"/>
      <c r="AJ367" s="136">
        <f t="shared" si="133"/>
        <v>28000000</v>
      </c>
      <c r="AK367" s="136" t="s">
        <v>1021</v>
      </c>
      <c r="AL367" s="60" t="s">
        <v>1526</v>
      </c>
      <c r="AM367" s="7"/>
    </row>
    <row r="368" spans="1:39" ht="127.5" customHeight="1" x14ac:dyDescent="0.2">
      <c r="A368" s="130"/>
      <c r="B368" s="78"/>
      <c r="C368" s="78"/>
      <c r="D368" s="78"/>
      <c r="E368" s="78"/>
      <c r="F368" s="74"/>
      <c r="G368" s="513"/>
      <c r="H368" s="506" t="s">
        <v>1067</v>
      </c>
      <c r="I368" s="69" t="s">
        <v>46</v>
      </c>
      <c r="J368" s="736" t="s">
        <v>1121</v>
      </c>
      <c r="K368" s="69">
        <v>1905024</v>
      </c>
      <c r="L368" s="736" t="s">
        <v>1113</v>
      </c>
      <c r="M368" s="69" t="s">
        <v>46</v>
      </c>
      <c r="N368" s="80" t="s">
        <v>1122</v>
      </c>
      <c r="O368" s="386">
        <v>190502401</v>
      </c>
      <c r="P368" s="80" t="s">
        <v>1123</v>
      </c>
      <c r="Q368" s="232" t="s">
        <v>67</v>
      </c>
      <c r="R368" s="232">
        <v>4</v>
      </c>
      <c r="S368" s="970"/>
      <c r="T368" s="949"/>
      <c r="U368" s="949"/>
      <c r="V368" s="135"/>
      <c r="W368" s="135"/>
      <c r="X368" s="135"/>
      <c r="Y368" s="135"/>
      <c r="Z368" s="280">
        <v>28000000</v>
      </c>
      <c r="AA368" s="240"/>
      <c r="AB368" s="135"/>
      <c r="AC368" s="135"/>
      <c r="AD368" s="241"/>
      <c r="AE368" s="135"/>
      <c r="AF368" s="145"/>
      <c r="AG368" s="135"/>
      <c r="AH368" s="135"/>
      <c r="AI368" s="135"/>
      <c r="AJ368" s="136">
        <f t="shared" si="133"/>
        <v>28000000</v>
      </c>
      <c r="AK368" s="136" t="s">
        <v>1021</v>
      </c>
      <c r="AL368" s="60" t="s">
        <v>1526</v>
      </c>
      <c r="AM368" s="7"/>
    </row>
    <row r="369" spans="1:39" ht="120.75" customHeight="1" x14ac:dyDescent="0.2">
      <c r="A369" s="130"/>
      <c r="B369" s="78"/>
      <c r="C369" s="78"/>
      <c r="D369" s="78"/>
      <c r="E369" s="78"/>
      <c r="F369" s="74"/>
      <c r="G369" s="198"/>
      <c r="H369" s="506" t="s">
        <v>793</v>
      </c>
      <c r="I369" s="69">
        <v>1905021</v>
      </c>
      <c r="J369" s="736" t="s">
        <v>794</v>
      </c>
      <c r="K369" s="69">
        <v>1905021</v>
      </c>
      <c r="L369" s="736" t="s">
        <v>794</v>
      </c>
      <c r="M369" s="386">
        <v>190502100</v>
      </c>
      <c r="N369" s="80" t="s">
        <v>795</v>
      </c>
      <c r="O369" s="386">
        <v>190502100</v>
      </c>
      <c r="P369" s="80" t="s">
        <v>795</v>
      </c>
      <c r="Q369" s="514" t="s">
        <v>51</v>
      </c>
      <c r="R369" s="232">
        <v>12</v>
      </c>
      <c r="S369" s="970" t="s">
        <v>1124</v>
      </c>
      <c r="T369" s="949" t="s">
        <v>1125</v>
      </c>
      <c r="U369" s="949" t="s">
        <v>1126</v>
      </c>
      <c r="V369" s="135"/>
      <c r="W369" s="135"/>
      <c r="X369" s="135"/>
      <c r="Y369" s="135"/>
      <c r="Z369" s="280">
        <v>105000000</v>
      </c>
      <c r="AA369" s="240"/>
      <c r="AB369" s="135"/>
      <c r="AC369" s="135"/>
      <c r="AD369" s="241"/>
      <c r="AE369" s="135"/>
      <c r="AF369" s="145"/>
      <c r="AG369" s="135"/>
      <c r="AH369" s="135"/>
      <c r="AI369" s="135"/>
      <c r="AJ369" s="136">
        <f t="shared" si="133"/>
        <v>105000000</v>
      </c>
      <c r="AK369" s="136" t="s">
        <v>1021</v>
      </c>
      <c r="AL369" s="60" t="s">
        <v>1526</v>
      </c>
      <c r="AM369" s="7"/>
    </row>
    <row r="370" spans="1:39" ht="156" customHeight="1" x14ac:dyDescent="0.2">
      <c r="A370" s="130"/>
      <c r="B370" s="78"/>
      <c r="C370" s="78"/>
      <c r="D370" s="78"/>
      <c r="E370" s="78"/>
      <c r="F370" s="74"/>
      <c r="G370" s="513"/>
      <c r="H370" s="506" t="s">
        <v>1103</v>
      </c>
      <c r="I370" s="69" t="s">
        <v>46</v>
      </c>
      <c r="J370" s="736" t="s">
        <v>1127</v>
      </c>
      <c r="K370" s="69">
        <v>1905021</v>
      </c>
      <c r="L370" s="736" t="s">
        <v>1128</v>
      </c>
      <c r="M370" s="69" t="s">
        <v>46</v>
      </c>
      <c r="N370" s="737" t="s">
        <v>1107</v>
      </c>
      <c r="O370" s="69">
        <v>190502100</v>
      </c>
      <c r="P370" s="737" t="s">
        <v>1129</v>
      </c>
      <c r="Q370" s="514" t="s">
        <v>51</v>
      </c>
      <c r="R370" s="232">
        <v>11</v>
      </c>
      <c r="S370" s="970"/>
      <c r="T370" s="949"/>
      <c r="U370" s="949"/>
      <c r="V370" s="135"/>
      <c r="W370" s="135"/>
      <c r="X370" s="135"/>
      <c r="Y370" s="135"/>
      <c r="Z370" s="280">
        <v>56000000</v>
      </c>
      <c r="AA370" s="240"/>
      <c r="AB370" s="135"/>
      <c r="AC370" s="135"/>
      <c r="AD370" s="241"/>
      <c r="AE370" s="135"/>
      <c r="AF370" s="145"/>
      <c r="AG370" s="135"/>
      <c r="AH370" s="135"/>
      <c r="AI370" s="135"/>
      <c r="AJ370" s="136">
        <f t="shared" si="133"/>
        <v>56000000</v>
      </c>
      <c r="AK370" s="136" t="s">
        <v>1021</v>
      </c>
      <c r="AL370" s="60" t="s">
        <v>1526</v>
      </c>
      <c r="AM370" s="7"/>
    </row>
    <row r="371" spans="1:39" ht="129.75" customHeight="1" x14ac:dyDescent="0.2">
      <c r="A371" s="130"/>
      <c r="B371" s="78"/>
      <c r="C371" s="78"/>
      <c r="D371" s="78"/>
      <c r="E371" s="78"/>
      <c r="F371" s="74"/>
      <c r="G371" s="513"/>
      <c r="H371" s="506" t="s">
        <v>1050</v>
      </c>
      <c r="I371" s="316">
        <v>1905020</v>
      </c>
      <c r="J371" s="736" t="s">
        <v>1130</v>
      </c>
      <c r="K371" s="316">
        <v>1905020</v>
      </c>
      <c r="L371" s="736" t="s">
        <v>1130</v>
      </c>
      <c r="M371" s="386">
        <v>190502000</v>
      </c>
      <c r="N371" s="80" t="s">
        <v>1131</v>
      </c>
      <c r="O371" s="386">
        <v>190502000</v>
      </c>
      <c r="P371" s="80" t="s">
        <v>1131</v>
      </c>
      <c r="Q371" s="178" t="s">
        <v>51</v>
      </c>
      <c r="R371" s="112">
        <v>12</v>
      </c>
      <c r="S371" s="970" t="s">
        <v>1132</v>
      </c>
      <c r="T371" s="949" t="s">
        <v>1133</v>
      </c>
      <c r="U371" s="949" t="s">
        <v>1134</v>
      </c>
      <c r="V371" s="135"/>
      <c r="W371" s="135"/>
      <c r="X371" s="135"/>
      <c r="Y371" s="135"/>
      <c r="Z371" s="281">
        <v>38000000</v>
      </c>
      <c r="AA371" s="240"/>
      <c r="AB371" s="135"/>
      <c r="AC371" s="135"/>
      <c r="AD371" s="241"/>
      <c r="AE371" s="135"/>
      <c r="AF371" s="145"/>
      <c r="AG371" s="135"/>
      <c r="AH371" s="135"/>
      <c r="AI371" s="135"/>
      <c r="AJ371" s="136">
        <f t="shared" si="133"/>
        <v>38000000</v>
      </c>
      <c r="AK371" s="136" t="s">
        <v>1021</v>
      </c>
      <c r="AL371" s="60" t="s">
        <v>1526</v>
      </c>
      <c r="AM371" s="7"/>
    </row>
    <row r="372" spans="1:39" ht="183" customHeight="1" x14ac:dyDescent="0.2">
      <c r="A372" s="130"/>
      <c r="B372" s="78"/>
      <c r="C372" s="78"/>
      <c r="D372" s="78"/>
      <c r="E372" s="78"/>
      <c r="F372" s="74"/>
      <c r="G372" s="198"/>
      <c r="H372" s="506" t="s">
        <v>801</v>
      </c>
      <c r="I372" s="316">
        <v>1905022</v>
      </c>
      <c r="J372" s="736" t="s">
        <v>802</v>
      </c>
      <c r="K372" s="316">
        <v>1905022</v>
      </c>
      <c r="L372" s="736" t="s">
        <v>802</v>
      </c>
      <c r="M372" s="386">
        <v>190502200</v>
      </c>
      <c r="N372" s="80" t="s">
        <v>803</v>
      </c>
      <c r="O372" s="386">
        <v>190502200</v>
      </c>
      <c r="P372" s="80" t="s">
        <v>803</v>
      </c>
      <c r="Q372" s="178" t="s">
        <v>51</v>
      </c>
      <c r="R372" s="112">
        <v>12</v>
      </c>
      <c r="S372" s="970"/>
      <c r="T372" s="949"/>
      <c r="U372" s="949"/>
      <c r="V372" s="135"/>
      <c r="W372" s="135"/>
      <c r="X372" s="135"/>
      <c r="Y372" s="135"/>
      <c r="Z372" s="281">
        <v>57000000</v>
      </c>
      <c r="AA372" s="240"/>
      <c r="AB372" s="135"/>
      <c r="AC372" s="135"/>
      <c r="AD372" s="241"/>
      <c r="AE372" s="135"/>
      <c r="AF372" s="145"/>
      <c r="AG372" s="135"/>
      <c r="AH372" s="135"/>
      <c r="AI372" s="135"/>
      <c r="AJ372" s="136">
        <f t="shared" si="133"/>
        <v>57000000</v>
      </c>
      <c r="AK372" s="136" t="s">
        <v>1021</v>
      </c>
      <c r="AL372" s="60" t="s">
        <v>1526</v>
      </c>
      <c r="AM372" s="7"/>
    </row>
    <row r="373" spans="1:39" ht="96" customHeight="1" x14ac:dyDescent="0.2">
      <c r="A373" s="130"/>
      <c r="B373" s="78"/>
      <c r="C373" s="78"/>
      <c r="D373" s="70"/>
      <c r="E373" s="70"/>
      <c r="F373" s="312"/>
      <c r="G373" s="503"/>
      <c r="H373" s="509" t="s">
        <v>1050</v>
      </c>
      <c r="I373" s="69" t="s">
        <v>46</v>
      </c>
      <c r="J373" s="736" t="s">
        <v>1135</v>
      </c>
      <c r="K373" s="69">
        <v>1905015</v>
      </c>
      <c r="L373" s="736" t="s">
        <v>248</v>
      </c>
      <c r="M373" s="69" t="s">
        <v>46</v>
      </c>
      <c r="N373" s="80" t="s">
        <v>1136</v>
      </c>
      <c r="O373" s="69" t="s">
        <v>1137</v>
      </c>
      <c r="P373" s="80" t="s">
        <v>1138</v>
      </c>
      <c r="Q373" s="232" t="s">
        <v>51</v>
      </c>
      <c r="R373" s="232">
        <v>1</v>
      </c>
      <c r="S373" s="970"/>
      <c r="T373" s="949"/>
      <c r="U373" s="949"/>
      <c r="V373" s="135"/>
      <c r="W373" s="135"/>
      <c r="X373" s="135"/>
      <c r="Y373" s="113">
        <f>100000000-100000000</f>
        <v>0</v>
      </c>
      <c r="Z373" s="281">
        <v>58000000</v>
      </c>
      <c r="AA373" s="240"/>
      <c r="AB373" s="135"/>
      <c r="AC373" s="135"/>
      <c r="AD373" s="241"/>
      <c r="AE373" s="135"/>
      <c r="AF373" s="145"/>
      <c r="AG373" s="135"/>
      <c r="AH373" s="135"/>
      <c r="AI373" s="135"/>
      <c r="AJ373" s="136">
        <f t="shared" si="133"/>
        <v>58000000</v>
      </c>
      <c r="AK373" s="136" t="s">
        <v>1021</v>
      </c>
      <c r="AL373" s="60" t="s">
        <v>1526</v>
      </c>
      <c r="AM373" s="7"/>
    </row>
    <row r="374" spans="1:39" ht="120" customHeight="1" x14ac:dyDescent="0.2">
      <c r="A374" s="130"/>
      <c r="B374" s="78"/>
      <c r="C374" s="78"/>
      <c r="D374" s="70"/>
      <c r="E374" s="70"/>
      <c r="F374" s="312"/>
      <c r="G374" s="503"/>
      <c r="H374" s="509" t="s">
        <v>1139</v>
      </c>
      <c r="I374" s="69">
        <v>1905023</v>
      </c>
      <c r="J374" s="736" t="s">
        <v>1140</v>
      </c>
      <c r="K374" s="69">
        <v>1905023</v>
      </c>
      <c r="L374" s="736" t="s">
        <v>1140</v>
      </c>
      <c r="M374" s="386">
        <v>190502300</v>
      </c>
      <c r="N374" s="80" t="s">
        <v>1141</v>
      </c>
      <c r="O374" s="386">
        <v>190502300</v>
      </c>
      <c r="P374" s="80" t="s">
        <v>1141</v>
      </c>
      <c r="Q374" s="232" t="s">
        <v>51</v>
      </c>
      <c r="R374" s="232">
        <v>12</v>
      </c>
      <c r="S374" s="970" t="s">
        <v>1142</v>
      </c>
      <c r="T374" s="949" t="s">
        <v>1143</v>
      </c>
      <c r="U374" s="949" t="s">
        <v>1144</v>
      </c>
      <c r="V374" s="135"/>
      <c r="W374" s="135"/>
      <c r="X374" s="135"/>
      <c r="Y374" s="135"/>
      <c r="Z374" s="281">
        <v>105000000</v>
      </c>
      <c r="AA374" s="240"/>
      <c r="AB374" s="135"/>
      <c r="AC374" s="135"/>
      <c r="AD374" s="241"/>
      <c r="AE374" s="135"/>
      <c r="AF374" s="145"/>
      <c r="AG374" s="135"/>
      <c r="AH374" s="135"/>
      <c r="AI374" s="135"/>
      <c r="AJ374" s="136">
        <f t="shared" si="133"/>
        <v>105000000</v>
      </c>
      <c r="AK374" s="136" t="s">
        <v>1021</v>
      </c>
      <c r="AL374" s="60" t="s">
        <v>1526</v>
      </c>
      <c r="AM374" s="7"/>
    </row>
    <row r="375" spans="1:39" ht="134.25" customHeight="1" x14ac:dyDescent="0.2">
      <c r="A375" s="130"/>
      <c r="B375" s="78"/>
      <c r="C375" s="78"/>
      <c r="D375" s="70"/>
      <c r="E375" s="70"/>
      <c r="F375" s="312"/>
      <c r="G375" s="82"/>
      <c r="H375" s="509" t="s">
        <v>1025</v>
      </c>
      <c r="I375" s="69">
        <v>1905031</v>
      </c>
      <c r="J375" s="736" t="s">
        <v>1096</v>
      </c>
      <c r="K375" s="69">
        <v>1905031</v>
      </c>
      <c r="L375" s="736" t="s">
        <v>1096</v>
      </c>
      <c r="M375" s="69">
        <v>190503100</v>
      </c>
      <c r="N375" s="737" t="s">
        <v>1097</v>
      </c>
      <c r="O375" s="69">
        <v>190503100</v>
      </c>
      <c r="P375" s="737" t="s">
        <v>1097</v>
      </c>
      <c r="Q375" s="232" t="s">
        <v>51</v>
      </c>
      <c r="R375" s="232">
        <v>12</v>
      </c>
      <c r="S375" s="970"/>
      <c r="T375" s="949"/>
      <c r="U375" s="949"/>
      <c r="V375" s="135"/>
      <c r="W375" s="135"/>
      <c r="X375" s="135"/>
      <c r="Y375" s="135"/>
      <c r="Z375" s="281">
        <v>76000000</v>
      </c>
      <c r="AA375" s="240"/>
      <c r="AB375" s="135"/>
      <c r="AC375" s="135"/>
      <c r="AD375" s="241"/>
      <c r="AE375" s="135"/>
      <c r="AF375" s="145"/>
      <c r="AG375" s="135"/>
      <c r="AH375" s="135"/>
      <c r="AI375" s="135"/>
      <c r="AJ375" s="136">
        <f t="shared" si="133"/>
        <v>76000000</v>
      </c>
      <c r="AK375" s="136" t="s">
        <v>1021</v>
      </c>
      <c r="AL375" s="60" t="s">
        <v>1526</v>
      </c>
      <c r="AM375" s="7"/>
    </row>
    <row r="376" spans="1:39" ht="122.25" customHeight="1" x14ac:dyDescent="0.2">
      <c r="A376" s="130"/>
      <c r="B376" s="78"/>
      <c r="C376" s="78"/>
      <c r="D376" s="70"/>
      <c r="E376" s="70"/>
      <c r="F376" s="312"/>
      <c r="G376" s="503"/>
      <c r="H376" s="509" t="s">
        <v>1145</v>
      </c>
      <c r="I376" s="69">
        <v>1905012</v>
      </c>
      <c r="J376" s="736" t="s">
        <v>1146</v>
      </c>
      <c r="K376" s="69">
        <v>1905012</v>
      </c>
      <c r="L376" s="736" t="s">
        <v>1146</v>
      </c>
      <c r="M376" s="386">
        <v>190501200</v>
      </c>
      <c r="N376" s="80" t="s">
        <v>1146</v>
      </c>
      <c r="O376" s="386">
        <v>190501200</v>
      </c>
      <c r="P376" s="80" t="s">
        <v>1146</v>
      </c>
      <c r="Q376" s="232" t="s">
        <v>51</v>
      </c>
      <c r="R376" s="232">
        <v>1</v>
      </c>
      <c r="S376" s="970" t="s">
        <v>1147</v>
      </c>
      <c r="T376" s="949" t="s">
        <v>1148</v>
      </c>
      <c r="U376" s="949" t="s">
        <v>1149</v>
      </c>
      <c r="V376" s="135"/>
      <c r="W376" s="135"/>
      <c r="X376" s="135"/>
      <c r="Y376" s="135"/>
      <c r="Z376" s="113">
        <v>20000000</v>
      </c>
      <c r="AA376" s="240"/>
      <c r="AB376" s="135"/>
      <c r="AC376" s="135"/>
      <c r="AD376" s="241"/>
      <c r="AE376" s="135"/>
      <c r="AF376" s="145"/>
      <c r="AG376" s="135"/>
      <c r="AH376" s="192"/>
      <c r="AI376" s="192"/>
      <c r="AJ376" s="136">
        <f t="shared" si="133"/>
        <v>20000000</v>
      </c>
      <c r="AK376" s="136" t="s">
        <v>1021</v>
      </c>
      <c r="AL376" s="60" t="s">
        <v>1526</v>
      </c>
      <c r="AM376" s="7"/>
    </row>
    <row r="377" spans="1:39" ht="180" customHeight="1" x14ac:dyDescent="0.2">
      <c r="A377" s="130"/>
      <c r="B377" s="78"/>
      <c r="C377" s="78"/>
      <c r="D377" s="70"/>
      <c r="E377" s="70"/>
      <c r="F377" s="312"/>
      <c r="G377" s="503"/>
      <c r="H377" s="509" t="s">
        <v>1150</v>
      </c>
      <c r="I377" s="69">
        <v>1905026</v>
      </c>
      <c r="J377" s="736" t="s">
        <v>1151</v>
      </c>
      <c r="K377" s="69">
        <v>1905026</v>
      </c>
      <c r="L377" s="736" t="s">
        <v>1151</v>
      </c>
      <c r="M377" s="386">
        <v>190502600</v>
      </c>
      <c r="N377" s="80" t="s">
        <v>1152</v>
      </c>
      <c r="O377" s="386">
        <v>190502600</v>
      </c>
      <c r="P377" s="80" t="s">
        <v>1152</v>
      </c>
      <c r="Q377" s="514" t="s">
        <v>51</v>
      </c>
      <c r="R377" s="232">
        <v>12</v>
      </c>
      <c r="S377" s="970"/>
      <c r="T377" s="949"/>
      <c r="U377" s="949"/>
      <c r="V377" s="135"/>
      <c r="W377" s="135"/>
      <c r="X377" s="135"/>
      <c r="Y377" s="135"/>
      <c r="Z377" s="113">
        <v>58000000</v>
      </c>
      <c r="AA377" s="240"/>
      <c r="AB377" s="135"/>
      <c r="AC377" s="135"/>
      <c r="AD377" s="241"/>
      <c r="AE377" s="135"/>
      <c r="AF377" s="148"/>
      <c r="AG377" s="135"/>
      <c r="AH377" s="192"/>
      <c r="AI377" s="192"/>
      <c r="AJ377" s="136">
        <f t="shared" si="133"/>
        <v>58000000</v>
      </c>
      <c r="AK377" s="136" t="s">
        <v>1021</v>
      </c>
      <c r="AL377" s="60" t="s">
        <v>1526</v>
      </c>
      <c r="AM377" s="7"/>
    </row>
    <row r="378" spans="1:39" ht="150" customHeight="1" x14ac:dyDescent="0.2">
      <c r="A378" s="130"/>
      <c r="B378" s="78"/>
      <c r="C378" s="78"/>
      <c r="D378" s="70"/>
      <c r="E378" s="70"/>
      <c r="F378" s="312"/>
      <c r="G378" s="514"/>
      <c r="H378" s="509" t="s">
        <v>1145</v>
      </c>
      <c r="I378" s="69">
        <v>1905027</v>
      </c>
      <c r="J378" s="736" t="s">
        <v>1153</v>
      </c>
      <c r="K378" s="69">
        <v>1905027</v>
      </c>
      <c r="L378" s="736" t="s">
        <v>1153</v>
      </c>
      <c r="M378" s="386">
        <v>190502700</v>
      </c>
      <c r="N378" s="737" t="s">
        <v>1154</v>
      </c>
      <c r="O378" s="386">
        <v>190502700</v>
      </c>
      <c r="P378" s="737" t="s">
        <v>1154</v>
      </c>
      <c r="Q378" s="232" t="s">
        <v>51</v>
      </c>
      <c r="R378" s="232">
        <v>12</v>
      </c>
      <c r="S378" s="970"/>
      <c r="T378" s="949"/>
      <c r="U378" s="949"/>
      <c r="V378" s="135"/>
      <c r="W378" s="135"/>
      <c r="X378" s="135"/>
      <c r="Y378" s="135"/>
      <c r="Z378" s="113">
        <v>75000000</v>
      </c>
      <c r="AA378" s="282"/>
      <c r="AB378" s="135"/>
      <c r="AC378" s="135"/>
      <c r="AD378" s="241"/>
      <c r="AE378" s="135"/>
      <c r="AF378" s="148">
        <f>20000000-13438000-6562000</f>
        <v>0</v>
      </c>
      <c r="AG378" s="135"/>
      <c r="AH378" s="135"/>
      <c r="AI378" s="135"/>
      <c r="AJ378" s="136">
        <f t="shared" si="133"/>
        <v>75000000</v>
      </c>
      <c r="AK378" s="136" t="s">
        <v>1021</v>
      </c>
      <c r="AL378" s="60" t="s">
        <v>1526</v>
      </c>
      <c r="AM378" s="7"/>
    </row>
    <row r="379" spans="1:39" ht="108.75" customHeight="1" x14ac:dyDescent="0.2">
      <c r="A379" s="130"/>
      <c r="B379" s="78"/>
      <c r="C379" s="78"/>
      <c r="D379" s="70"/>
      <c r="E379" s="70"/>
      <c r="F379" s="312"/>
      <c r="G379" s="503"/>
      <c r="H379" s="509" t="s">
        <v>1155</v>
      </c>
      <c r="I379" s="69" t="s">
        <v>46</v>
      </c>
      <c r="J379" s="736" t="s">
        <v>1117</v>
      </c>
      <c r="K379" s="69" t="s">
        <v>1156</v>
      </c>
      <c r="L379" s="736" t="s">
        <v>372</v>
      </c>
      <c r="M379" s="69" t="s">
        <v>46</v>
      </c>
      <c r="N379" s="80" t="s">
        <v>1118</v>
      </c>
      <c r="O379" s="386" t="s">
        <v>1157</v>
      </c>
      <c r="P379" s="80" t="s">
        <v>250</v>
      </c>
      <c r="Q379" s="514" t="s">
        <v>67</v>
      </c>
      <c r="R379" s="232">
        <v>4</v>
      </c>
      <c r="S379" s="970" t="s">
        <v>1158</v>
      </c>
      <c r="T379" s="949" t="s">
        <v>1159</v>
      </c>
      <c r="U379" s="949" t="s">
        <v>1160</v>
      </c>
      <c r="V379" s="135"/>
      <c r="W379" s="135"/>
      <c r="X379" s="135"/>
      <c r="Y379" s="135"/>
      <c r="Z379" s="113">
        <v>95000000</v>
      </c>
      <c r="AA379" s="240"/>
      <c r="AB379" s="135"/>
      <c r="AC379" s="135"/>
      <c r="AD379" s="241"/>
      <c r="AE379" s="135"/>
      <c r="AF379" s="148"/>
      <c r="AG379" s="135"/>
      <c r="AH379" s="135"/>
      <c r="AI379" s="135"/>
      <c r="AJ379" s="136">
        <f t="shared" si="133"/>
        <v>95000000</v>
      </c>
      <c r="AK379" s="136" t="s">
        <v>1021</v>
      </c>
      <c r="AL379" s="60" t="s">
        <v>1526</v>
      </c>
      <c r="AM379" s="7"/>
    </row>
    <row r="380" spans="1:39" ht="187.5" customHeight="1" x14ac:dyDescent="0.2">
      <c r="A380" s="130"/>
      <c r="B380" s="78"/>
      <c r="C380" s="78"/>
      <c r="D380" s="70"/>
      <c r="E380" s="70"/>
      <c r="F380" s="312"/>
      <c r="G380" s="514"/>
      <c r="H380" s="509" t="s">
        <v>1150</v>
      </c>
      <c r="I380" s="69">
        <v>1905026</v>
      </c>
      <c r="J380" s="736" t="s">
        <v>1151</v>
      </c>
      <c r="K380" s="69">
        <v>1905026</v>
      </c>
      <c r="L380" s="736" t="s">
        <v>1151</v>
      </c>
      <c r="M380" s="386">
        <v>190502600</v>
      </c>
      <c r="N380" s="80" t="s">
        <v>1152</v>
      </c>
      <c r="O380" s="386">
        <v>190502600</v>
      </c>
      <c r="P380" s="80" t="s">
        <v>1152</v>
      </c>
      <c r="Q380" s="514" t="s">
        <v>51</v>
      </c>
      <c r="R380" s="69">
        <v>12</v>
      </c>
      <c r="S380" s="970"/>
      <c r="T380" s="949"/>
      <c r="U380" s="949"/>
      <c r="V380" s="135"/>
      <c r="W380" s="135"/>
      <c r="X380" s="135"/>
      <c r="Y380" s="135"/>
      <c r="Z380" s="135">
        <v>96000000</v>
      </c>
      <c r="AA380" s="240"/>
      <c r="AB380" s="311"/>
      <c r="AC380" s="135"/>
      <c r="AD380" s="241"/>
      <c r="AE380" s="135"/>
      <c r="AF380" s="135">
        <v>130000000</v>
      </c>
      <c r="AG380" s="135"/>
      <c r="AH380" s="113">
        <v>210707393</v>
      </c>
      <c r="AI380" s="113"/>
      <c r="AJ380" s="136">
        <f t="shared" si="133"/>
        <v>436707393</v>
      </c>
      <c r="AK380" s="136" t="s">
        <v>1021</v>
      </c>
      <c r="AL380" s="283" t="s">
        <v>1526</v>
      </c>
      <c r="AM380" s="7"/>
    </row>
    <row r="381" spans="1:39" ht="79.5" customHeight="1" x14ac:dyDescent="0.2">
      <c r="A381" s="130"/>
      <c r="B381" s="78"/>
      <c r="C381" s="78"/>
      <c r="D381" s="70"/>
      <c r="E381" s="70"/>
      <c r="F381" s="312"/>
      <c r="G381" s="514"/>
      <c r="H381" s="509" t="s">
        <v>1028</v>
      </c>
      <c r="I381" s="69">
        <v>1905014</v>
      </c>
      <c r="J381" s="736" t="s">
        <v>95</v>
      </c>
      <c r="K381" s="69">
        <v>1905014</v>
      </c>
      <c r="L381" s="736" t="s">
        <v>95</v>
      </c>
      <c r="M381" s="69">
        <v>190501400</v>
      </c>
      <c r="N381" s="737" t="s">
        <v>552</v>
      </c>
      <c r="O381" s="69">
        <v>190501400</v>
      </c>
      <c r="P381" s="737" t="s">
        <v>552</v>
      </c>
      <c r="Q381" s="232" t="s">
        <v>51</v>
      </c>
      <c r="R381" s="232">
        <v>12</v>
      </c>
      <c r="S381" s="970" t="s">
        <v>1161</v>
      </c>
      <c r="T381" s="949" t="s">
        <v>1162</v>
      </c>
      <c r="U381" s="949" t="s">
        <v>1163</v>
      </c>
      <c r="V381" s="135"/>
      <c r="W381" s="135"/>
      <c r="X381" s="135"/>
      <c r="Y381" s="135"/>
      <c r="Z381" s="135">
        <v>43000000</v>
      </c>
      <c r="AA381" s="240"/>
      <c r="AB381" s="135"/>
      <c r="AC381" s="135"/>
      <c r="AD381" s="241"/>
      <c r="AE381" s="135"/>
      <c r="AF381" s="145"/>
      <c r="AG381" s="135"/>
      <c r="AH381" s="135"/>
      <c r="AI381" s="135"/>
      <c r="AJ381" s="136">
        <f t="shared" si="133"/>
        <v>43000000</v>
      </c>
      <c r="AK381" s="136" t="s">
        <v>1021</v>
      </c>
      <c r="AL381" s="60" t="s">
        <v>1526</v>
      </c>
      <c r="AM381" s="7"/>
    </row>
    <row r="382" spans="1:39" ht="166.5" customHeight="1" x14ac:dyDescent="0.2">
      <c r="A382" s="130"/>
      <c r="B382" s="78"/>
      <c r="C382" s="78"/>
      <c r="D382" s="70"/>
      <c r="E382" s="70"/>
      <c r="F382" s="312"/>
      <c r="G382" s="514"/>
      <c r="H382" s="509" t="s">
        <v>1150</v>
      </c>
      <c r="I382" s="386">
        <v>1905026</v>
      </c>
      <c r="J382" s="736" t="s">
        <v>1164</v>
      </c>
      <c r="K382" s="69">
        <v>1905026</v>
      </c>
      <c r="L382" s="736" t="s">
        <v>1164</v>
      </c>
      <c r="M382" s="386">
        <v>190502600</v>
      </c>
      <c r="N382" s="80" t="s">
        <v>1152</v>
      </c>
      <c r="O382" s="386">
        <v>190502600</v>
      </c>
      <c r="P382" s="80" t="s">
        <v>1152</v>
      </c>
      <c r="Q382" s="514" t="s">
        <v>51</v>
      </c>
      <c r="R382" s="69">
        <v>12</v>
      </c>
      <c r="S382" s="970"/>
      <c r="T382" s="949"/>
      <c r="U382" s="949"/>
      <c r="V382" s="135"/>
      <c r="W382" s="135"/>
      <c r="X382" s="135"/>
      <c r="Y382" s="135"/>
      <c r="Z382" s="135"/>
      <c r="AA382" s="240"/>
      <c r="AB382" s="135"/>
      <c r="AC382" s="135"/>
      <c r="AD382" s="241"/>
      <c r="AE382" s="135"/>
      <c r="AF382" s="145"/>
      <c r="AG382" s="135"/>
      <c r="AH382" s="148">
        <f>182146964-3541113</f>
        <v>178605851</v>
      </c>
      <c r="AI382" s="148"/>
      <c r="AJ382" s="136">
        <f t="shared" si="133"/>
        <v>178605851</v>
      </c>
      <c r="AK382" s="136" t="s">
        <v>1021</v>
      </c>
      <c r="AL382" s="60" t="s">
        <v>1526</v>
      </c>
      <c r="AM382" s="7"/>
    </row>
    <row r="383" spans="1:39" ht="188.25" customHeight="1" x14ac:dyDescent="0.2">
      <c r="A383" s="130"/>
      <c r="B383" s="78"/>
      <c r="C383" s="78"/>
      <c r="D383" s="70"/>
      <c r="E383" s="70"/>
      <c r="F383" s="312"/>
      <c r="G383" s="82"/>
      <c r="H383" s="509" t="s">
        <v>1150</v>
      </c>
      <c r="I383" s="69">
        <v>1905026</v>
      </c>
      <c r="J383" s="736" t="s">
        <v>1151</v>
      </c>
      <c r="K383" s="69">
        <v>1905026</v>
      </c>
      <c r="L383" s="736" t="s">
        <v>1151</v>
      </c>
      <c r="M383" s="386">
        <v>190502600</v>
      </c>
      <c r="N383" s="80" t="s">
        <v>1152</v>
      </c>
      <c r="O383" s="386">
        <v>190502600</v>
      </c>
      <c r="P383" s="80" t="s">
        <v>1152</v>
      </c>
      <c r="Q383" s="514" t="s">
        <v>51</v>
      </c>
      <c r="R383" s="69">
        <v>12</v>
      </c>
      <c r="S383" s="514" t="s">
        <v>1165</v>
      </c>
      <c r="T383" s="505" t="s">
        <v>1166</v>
      </c>
      <c r="U383" s="505" t="s">
        <v>1167</v>
      </c>
      <c r="V383" s="135"/>
      <c r="W383" s="135"/>
      <c r="X383" s="135"/>
      <c r="Y383" s="135"/>
      <c r="Z383" s="135"/>
      <c r="AA383" s="403"/>
      <c r="AB383" s="135"/>
      <c r="AC383" s="135"/>
      <c r="AD383" s="241"/>
      <c r="AE383" s="135"/>
      <c r="AF383" s="145">
        <f>500000000-398675151+36000000+100000000+10000000+252675151+600000000</f>
        <v>1100000000</v>
      </c>
      <c r="AG383" s="135"/>
      <c r="AH383" s="135"/>
      <c r="AI383" s="135"/>
      <c r="AJ383" s="136">
        <f t="shared" si="133"/>
        <v>1100000000</v>
      </c>
      <c r="AK383" s="136" t="s">
        <v>1021</v>
      </c>
      <c r="AL383" s="60" t="s">
        <v>1526</v>
      </c>
      <c r="AM383" s="7"/>
    </row>
    <row r="384" spans="1:39" ht="120" customHeight="1" x14ac:dyDescent="0.2">
      <c r="A384" s="130"/>
      <c r="B384" s="78"/>
      <c r="C384" s="78"/>
      <c r="D384" s="70"/>
      <c r="E384" s="70"/>
      <c r="F384" s="312"/>
      <c r="G384" s="514"/>
      <c r="H384" s="509" t="s">
        <v>1037</v>
      </c>
      <c r="I384" s="69">
        <v>1905029</v>
      </c>
      <c r="J384" s="736" t="s">
        <v>1168</v>
      </c>
      <c r="K384" s="69">
        <v>1905030</v>
      </c>
      <c r="L384" s="736" t="s">
        <v>1169</v>
      </c>
      <c r="M384" s="430">
        <v>190502900</v>
      </c>
      <c r="N384" s="80" t="s">
        <v>1170</v>
      </c>
      <c r="O384" s="386">
        <v>190503000</v>
      </c>
      <c r="P384" s="80" t="s">
        <v>1170</v>
      </c>
      <c r="Q384" s="232" t="s">
        <v>51</v>
      </c>
      <c r="R384" s="232">
        <v>60</v>
      </c>
      <c r="S384" s="514" t="s">
        <v>1171</v>
      </c>
      <c r="T384" s="505" t="s">
        <v>1172</v>
      </c>
      <c r="U384" s="505" t="s">
        <v>1173</v>
      </c>
      <c r="V384" s="135"/>
      <c r="W384" s="135"/>
      <c r="X384" s="135"/>
      <c r="Y384" s="135"/>
      <c r="Z384" s="135">
        <v>20000000</v>
      </c>
      <c r="AA384" s="240"/>
      <c r="AB384" s="135"/>
      <c r="AC384" s="135"/>
      <c r="AD384" s="241"/>
      <c r="AE384" s="135"/>
      <c r="AF384" s="145"/>
      <c r="AG384" s="135"/>
      <c r="AH384" s="135"/>
      <c r="AI384" s="135"/>
      <c r="AJ384" s="136">
        <f t="shared" si="133"/>
        <v>20000000</v>
      </c>
      <c r="AK384" s="136" t="s">
        <v>1021</v>
      </c>
      <c r="AL384" s="60" t="s">
        <v>1526</v>
      </c>
      <c r="AM384" s="7"/>
    </row>
    <row r="385" spans="1:39" ht="93.75" customHeight="1" x14ac:dyDescent="0.2">
      <c r="A385" s="130"/>
      <c r="B385" s="78"/>
      <c r="C385" s="78"/>
      <c r="D385" s="70"/>
      <c r="E385" s="70"/>
      <c r="F385" s="312"/>
      <c r="G385" s="514"/>
      <c r="H385" s="509" t="s">
        <v>1077</v>
      </c>
      <c r="I385" s="69">
        <v>1905025</v>
      </c>
      <c r="J385" s="736" t="s">
        <v>1174</v>
      </c>
      <c r="K385" s="69">
        <v>1905025</v>
      </c>
      <c r="L385" s="736" t="s">
        <v>1174</v>
      </c>
      <c r="M385" s="386">
        <v>190502500</v>
      </c>
      <c r="N385" s="80" t="s">
        <v>1175</v>
      </c>
      <c r="O385" s="386">
        <v>190502500</v>
      </c>
      <c r="P385" s="80" t="s">
        <v>1175</v>
      </c>
      <c r="Q385" s="232" t="s">
        <v>51</v>
      </c>
      <c r="R385" s="232">
        <v>12</v>
      </c>
      <c r="S385" s="514" t="s">
        <v>1176</v>
      </c>
      <c r="T385" s="505" t="s">
        <v>1177</v>
      </c>
      <c r="U385" s="505" t="s">
        <v>1178</v>
      </c>
      <c r="V385" s="135"/>
      <c r="W385" s="135"/>
      <c r="X385" s="135"/>
      <c r="Y385" s="135"/>
      <c r="Z385" s="135">
        <v>84414100</v>
      </c>
      <c r="AA385" s="240"/>
      <c r="AB385" s="135"/>
      <c r="AC385" s="135"/>
      <c r="AD385" s="241"/>
      <c r="AE385" s="135"/>
      <c r="AF385" s="145"/>
      <c r="AG385" s="135"/>
      <c r="AH385" s="135"/>
      <c r="AI385" s="135"/>
      <c r="AJ385" s="136">
        <f t="shared" si="133"/>
        <v>84414100</v>
      </c>
      <c r="AK385" s="136" t="s">
        <v>1021</v>
      </c>
      <c r="AL385" s="60" t="s">
        <v>1526</v>
      </c>
      <c r="AM385" s="7"/>
    </row>
    <row r="386" spans="1:39" s="37" customFormat="1" ht="86.25" customHeight="1" x14ac:dyDescent="0.2">
      <c r="A386" s="311"/>
      <c r="B386" s="70"/>
      <c r="C386" s="70"/>
      <c r="D386" s="70"/>
      <c r="E386" s="70"/>
      <c r="F386" s="312"/>
      <c r="G386" s="82"/>
      <c r="H386" s="509" t="s">
        <v>1041</v>
      </c>
      <c r="I386" s="69">
        <v>1905015</v>
      </c>
      <c r="J386" s="736" t="s">
        <v>248</v>
      </c>
      <c r="K386" s="69">
        <v>1905015</v>
      </c>
      <c r="L386" s="736" t="s">
        <v>248</v>
      </c>
      <c r="M386" s="69">
        <v>190501503</v>
      </c>
      <c r="N386" s="737" t="s">
        <v>1179</v>
      </c>
      <c r="O386" s="69">
        <v>190501503</v>
      </c>
      <c r="P386" s="737" t="s">
        <v>1179</v>
      </c>
      <c r="Q386" s="232" t="s">
        <v>51</v>
      </c>
      <c r="R386" s="232">
        <v>15</v>
      </c>
      <c r="S386" s="514" t="s">
        <v>1180</v>
      </c>
      <c r="T386" s="504" t="s">
        <v>1181</v>
      </c>
      <c r="U386" s="504" t="s">
        <v>1182</v>
      </c>
      <c r="V386" s="135"/>
      <c r="W386" s="135"/>
      <c r="X386" s="135"/>
      <c r="Y386" s="135">
        <f>100000000-100000000</f>
        <v>0</v>
      </c>
      <c r="Z386" s="189">
        <v>320000000</v>
      </c>
      <c r="AA386" s="240"/>
      <c r="AB386" s="135"/>
      <c r="AC386" s="135"/>
      <c r="AD386" s="241"/>
      <c r="AE386" s="135"/>
      <c r="AF386" s="145"/>
      <c r="AG386" s="135"/>
      <c r="AH386" s="135"/>
      <c r="AI386" s="135"/>
      <c r="AJ386" s="313">
        <f t="shared" si="133"/>
        <v>320000000</v>
      </c>
      <c r="AK386" s="313" t="s">
        <v>1021</v>
      </c>
      <c r="AL386" s="315" t="s">
        <v>1526</v>
      </c>
      <c r="AM386" s="7"/>
    </row>
    <row r="387" spans="1:39" ht="63.75" customHeight="1" x14ac:dyDescent="0.2">
      <c r="A387" s="130"/>
      <c r="B387" s="78"/>
      <c r="C387" s="78"/>
      <c r="D387" s="70"/>
      <c r="E387" s="70"/>
      <c r="F387" s="69"/>
      <c r="G387" s="514"/>
      <c r="H387" s="509" t="s">
        <v>1183</v>
      </c>
      <c r="I387" s="69" t="s">
        <v>46</v>
      </c>
      <c r="J387" s="736" t="s">
        <v>1184</v>
      </c>
      <c r="K387" s="69" t="s">
        <v>1185</v>
      </c>
      <c r="L387" s="736" t="s">
        <v>1186</v>
      </c>
      <c r="M387" s="69" t="s">
        <v>46</v>
      </c>
      <c r="N387" s="737" t="s">
        <v>1187</v>
      </c>
      <c r="O387" s="69" t="s">
        <v>1188</v>
      </c>
      <c r="P387" s="737" t="s">
        <v>1189</v>
      </c>
      <c r="Q387" s="232" t="s">
        <v>51</v>
      </c>
      <c r="R387" s="232">
        <v>1</v>
      </c>
      <c r="S387" s="514" t="s">
        <v>1190</v>
      </c>
      <c r="T387" s="505" t="s">
        <v>1191</v>
      </c>
      <c r="U387" s="505" t="s">
        <v>1192</v>
      </c>
      <c r="V387" s="135"/>
      <c r="W387" s="135"/>
      <c r="X387" s="135"/>
      <c r="Y387" s="135"/>
      <c r="Z387" s="135"/>
      <c r="AA387" s="284"/>
      <c r="AB387" s="135"/>
      <c r="AC387" s="135"/>
      <c r="AD387" s="241"/>
      <c r="AE387" s="135"/>
      <c r="AF387" s="145">
        <f>300000000+21904376</f>
        <v>321904376</v>
      </c>
      <c r="AG387" s="135"/>
      <c r="AH387" s="135"/>
      <c r="AI387" s="135"/>
      <c r="AJ387" s="136">
        <f t="shared" si="133"/>
        <v>321904376</v>
      </c>
      <c r="AK387" s="136" t="s">
        <v>1021</v>
      </c>
      <c r="AL387" s="60" t="s">
        <v>1526</v>
      </c>
      <c r="AM387" s="7"/>
    </row>
    <row r="388" spans="1:39" ht="88.5" customHeight="1" x14ac:dyDescent="0.2">
      <c r="A388" s="130"/>
      <c r="B388" s="78"/>
      <c r="C388" s="78"/>
      <c r="D388" s="70"/>
      <c r="E388" s="70"/>
      <c r="F388" s="312"/>
      <c r="G388" s="514"/>
      <c r="H388" s="509" t="s">
        <v>1022</v>
      </c>
      <c r="I388" s="316">
        <v>1905031</v>
      </c>
      <c r="J388" s="736" t="s">
        <v>1096</v>
      </c>
      <c r="K388" s="316">
        <v>1905031</v>
      </c>
      <c r="L388" s="736" t="s">
        <v>1096</v>
      </c>
      <c r="M388" s="316">
        <v>190503100</v>
      </c>
      <c r="N388" s="737" t="s">
        <v>1097</v>
      </c>
      <c r="O388" s="69">
        <v>190503100</v>
      </c>
      <c r="P388" s="737" t="s">
        <v>1097</v>
      </c>
      <c r="Q388" s="232" t="s">
        <v>51</v>
      </c>
      <c r="R388" s="232">
        <v>12</v>
      </c>
      <c r="S388" s="514" t="s">
        <v>1193</v>
      </c>
      <c r="T388" s="505" t="s">
        <v>1194</v>
      </c>
      <c r="U388" s="505" t="s">
        <v>1195</v>
      </c>
      <c r="V388" s="135"/>
      <c r="W388" s="135"/>
      <c r="X388" s="135"/>
      <c r="Y388" s="135"/>
      <c r="Z388" s="135">
        <f>1263850000+433334276.49+63682049</f>
        <v>1760866325.49</v>
      </c>
      <c r="AA388" s="240"/>
      <c r="AB388" s="135"/>
      <c r="AC388" s="135"/>
      <c r="AD388" s="241"/>
      <c r="AE388" s="135"/>
      <c r="AF388" s="145"/>
      <c r="AG388" s="135"/>
      <c r="AH388" s="135"/>
      <c r="AI388" s="135"/>
      <c r="AJ388" s="136">
        <f t="shared" si="133"/>
        <v>1760866325.49</v>
      </c>
      <c r="AK388" s="136" t="s">
        <v>1021</v>
      </c>
      <c r="AL388" s="60" t="s">
        <v>1526</v>
      </c>
      <c r="AM388" s="7"/>
    </row>
    <row r="389" spans="1:39" ht="24" customHeight="1" x14ac:dyDescent="0.2">
      <c r="A389" s="130"/>
      <c r="B389" s="78"/>
      <c r="C389" s="78"/>
      <c r="D389" s="78"/>
      <c r="E389" s="78"/>
      <c r="F389" s="138">
        <v>1906</v>
      </c>
      <c r="G389" s="68" t="s">
        <v>161</v>
      </c>
      <c r="H389" s="177"/>
      <c r="I389" s="177"/>
      <c r="J389" s="595"/>
      <c r="K389" s="623"/>
      <c r="L389" s="595"/>
      <c r="M389" s="595"/>
      <c r="N389" s="590"/>
      <c r="O389" s="591"/>
      <c r="P389" s="590"/>
      <c r="Q389" s="624"/>
      <c r="R389" s="591"/>
      <c r="S389" s="625"/>
      <c r="T389" s="132"/>
      <c r="U389" s="132"/>
      <c r="V389" s="133">
        <f t="shared" ref="V389:AG389" si="134">SUM(V390:V395)</f>
        <v>0</v>
      </c>
      <c r="W389" s="133">
        <f t="shared" si="134"/>
        <v>0</v>
      </c>
      <c r="X389" s="133">
        <f t="shared" si="134"/>
        <v>0</v>
      </c>
      <c r="Y389" s="133">
        <f t="shared" si="134"/>
        <v>800000000</v>
      </c>
      <c r="Z389" s="133">
        <f>SUM(Z390:Z399)</f>
        <v>1740866853.4100001</v>
      </c>
      <c r="AA389" s="285">
        <f>SUM(AA390:AA399)</f>
        <v>37550862526.420006</v>
      </c>
      <c r="AB389" s="133">
        <f t="shared" si="134"/>
        <v>0</v>
      </c>
      <c r="AC389" s="133">
        <f t="shared" si="134"/>
        <v>0</v>
      </c>
      <c r="AD389" s="286">
        <f t="shared" si="134"/>
        <v>0</v>
      </c>
      <c r="AE389" s="133">
        <f t="shared" si="134"/>
        <v>0</v>
      </c>
      <c r="AF389" s="133">
        <f>SUM(AF390:AF399)</f>
        <v>4230390000</v>
      </c>
      <c r="AG389" s="133">
        <f t="shared" si="134"/>
        <v>0</v>
      </c>
      <c r="AH389" s="133">
        <f>SUM(AH390:AH399)</f>
        <v>1670579373</v>
      </c>
      <c r="AI389" s="133"/>
      <c r="AJ389" s="133">
        <f>SUM(AJ390:AJ399)</f>
        <v>45992698752.830002</v>
      </c>
      <c r="AK389" s="133"/>
      <c r="AL389" s="140"/>
      <c r="AM389" s="7"/>
    </row>
    <row r="390" spans="1:39" ht="93" customHeight="1" x14ac:dyDescent="0.2">
      <c r="A390" s="130"/>
      <c r="B390" s="78"/>
      <c r="C390" s="78"/>
      <c r="D390" s="78"/>
      <c r="E390" s="78"/>
      <c r="F390" s="74"/>
      <c r="G390" s="513"/>
      <c r="H390" s="506" t="s">
        <v>1077</v>
      </c>
      <c r="I390" s="69">
        <v>1906032</v>
      </c>
      <c r="J390" s="736" t="s">
        <v>1196</v>
      </c>
      <c r="K390" s="69">
        <v>1906032</v>
      </c>
      <c r="L390" s="736" t="s">
        <v>1196</v>
      </c>
      <c r="M390" s="386">
        <v>190603200</v>
      </c>
      <c r="N390" s="737" t="s">
        <v>1197</v>
      </c>
      <c r="O390" s="386">
        <v>190603200</v>
      </c>
      <c r="P390" s="737" t="s">
        <v>1197</v>
      </c>
      <c r="Q390" s="178" t="s">
        <v>67</v>
      </c>
      <c r="R390" s="112">
        <v>1500</v>
      </c>
      <c r="S390" s="970" t="s">
        <v>1198</v>
      </c>
      <c r="T390" s="949" t="s">
        <v>1199</v>
      </c>
      <c r="U390" s="949" t="s">
        <v>1200</v>
      </c>
      <c r="V390" s="135"/>
      <c r="W390" s="135"/>
      <c r="X390" s="135"/>
      <c r="Y390" s="135"/>
      <c r="Z390" s="135"/>
      <c r="AA390" s="287">
        <v>0</v>
      </c>
      <c r="AB390" s="135"/>
      <c r="AC390" s="135"/>
      <c r="AD390" s="241"/>
      <c r="AE390" s="135"/>
      <c r="AF390" s="145"/>
      <c r="AG390" s="135"/>
      <c r="AH390" s="135"/>
      <c r="AI390" s="135"/>
      <c r="AJ390" s="313">
        <f t="shared" ref="AJ390:AJ399" si="135">+V390+W390+X390+Y390+Z390+AA390+AB390+AC390+AD390+AE390+AF390+AG390+AH390</f>
        <v>0</v>
      </c>
      <c r="AK390" s="136" t="s">
        <v>1021</v>
      </c>
      <c r="AL390" s="60" t="s">
        <v>1526</v>
      </c>
      <c r="AM390" s="7"/>
    </row>
    <row r="391" spans="1:39" ht="87.75" customHeight="1" x14ac:dyDescent="0.2">
      <c r="A391" s="130"/>
      <c r="B391" s="78"/>
      <c r="C391" s="78"/>
      <c r="D391" s="78"/>
      <c r="E391" s="78"/>
      <c r="F391" s="74"/>
      <c r="G391" s="513"/>
      <c r="H391" s="506" t="s">
        <v>1201</v>
      </c>
      <c r="I391" s="69" t="s">
        <v>46</v>
      </c>
      <c r="J391" s="736" t="s">
        <v>1202</v>
      </c>
      <c r="K391" s="69">
        <v>1906023</v>
      </c>
      <c r="L391" s="736" t="s">
        <v>1203</v>
      </c>
      <c r="M391" s="69" t="s">
        <v>46</v>
      </c>
      <c r="N391" s="737" t="s">
        <v>1204</v>
      </c>
      <c r="O391" s="69">
        <v>190602300</v>
      </c>
      <c r="P391" s="737" t="s">
        <v>1205</v>
      </c>
      <c r="Q391" s="232" t="s">
        <v>51</v>
      </c>
      <c r="R391" s="112">
        <v>19899</v>
      </c>
      <c r="S391" s="970"/>
      <c r="T391" s="949"/>
      <c r="U391" s="949"/>
      <c r="V391" s="135"/>
      <c r="W391" s="135"/>
      <c r="X391" s="135"/>
      <c r="Y391" s="135"/>
      <c r="Z391" s="135"/>
      <c r="AA391" s="275">
        <f>31408028135-56769013</f>
        <v>31351259122</v>
      </c>
      <c r="AB391" s="135"/>
      <c r="AC391" s="135"/>
      <c r="AD391" s="241"/>
      <c r="AE391" s="135"/>
      <c r="AF391" s="145">
        <v>0</v>
      </c>
      <c r="AG391" s="135"/>
      <c r="AH391" s="135"/>
      <c r="AI391" s="135"/>
      <c r="AJ391" s="313">
        <f t="shared" si="135"/>
        <v>31351259122</v>
      </c>
      <c r="AK391" s="136" t="s">
        <v>1021</v>
      </c>
      <c r="AL391" s="60" t="s">
        <v>1526</v>
      </c>
      <c r="AM391" s="7"/>
    </row>
    <row r="392" spans="1:39" ht="83.25" customHeight="1" x14ac:dyDescent="0.2">
      <c r="A392" s="130"/>
      <c r="B392" s="78"/>
      <c r="C392" s="78"/>
      <c r="D392" s="78"/>
      <c r="E392" s="78"/>
      <c r="F392" s="511"/>
      <c r="G392" s="513"/>
      <c r="H392" s="506" t="s">
        <v>1201</v>
      </c>
      <c r="I392" s="69" t="s">
        <v>46</v>
      </c>
      <c r="J392" s="736" t="s">
        <v>1206</v>
      </c>
      <c r="K392" s="400">
        <v>1906023</v>
      </c>
      <c r="L392" s="736" t="s">
        <v>1203</v>
      </c>
      <c r="M392" s="69" t="s">
        <v>46</v>
      </c>
      <c r="N392" s="80" t="s">
        <v>1207</v>
      </c>
      <c r="O392" s="386">
        <v>190602301</v>
      </c>
      <c r="P392" s="80" t="s">
        <v>1208</v>
      </c>
      <c r="Q392" s="178" t="s">
        <v>51</v>
      </c>
      <c r="R392" s="112">
        <v>60</v>
      </c>
      <c r="S392" s="970" t="s">
        <v>1209</v>
      </c>
      <c r="T392" s="949" t="s">
        <v>1210</v>
      </c>
      <c r="U392" s="949" t="s">
        <v>1211</v>
      </c>
      <c r="V392" s="135"/>
      <c r="W392" s="135"/>
      <c r="X392" s="135"/>
      <c r="Y392" s="135"/>
      <c r="Z392" s="135"/>
      <c r="AA392" s="275">
        <f>115688008-54899687</f>
        <v>60788321</v>
      </c>
      <c r="AB392" s="135"/>
      <c r="AC392" s="135"/>
      <c r="AD392" s="241"/>
      <c r="AE392" s="135"/>
      <c r="AF392" s="145"/>
      <c r="AG392" s="135"/>
      <c r="AH392" s="135">
        <v>1361612640</v>
      </c>
      <c r="AI392" s="135"/>
      <c r="AJ392" s="313">
        <f t="shared" si="135"/>
        <v>1422400961</v>
      </c>
      <c r="AK392" s="136" t="s">
        <v>1021</v>
      </c>
      <c r="AL392" s="60" t="s">
        <v>1526</v>
      </c>
      <c r="AM392" s="7"/>
    </row>
    <row r="393" spans="1:39" ht="147" customHeight="1" x14ac:dyDescent="0.2">
      <c r="A393" s="130"/>
      <c r="B393" s="78"/>
      <c r="C393" s="78"/>
      <c r="D393" s="78"/>
      <c r="E393" s="78"/>
      <c r="F393" s="511"/>
      <c r="G393" s="513"/>
      <c r="H393" s="506" t="s">
        <v>1201</v>
      </c>
      <c r="I393" s="69" t="s">
        <v>46</v>
      </c>
      <c r="J393" s="736" t="s">
        <v>1212</v>
      </c>
      <c r="K393" s="400">
        <v>1906025</v>
      </c>
      <c r="L393" s="736" t="s">
        <v>1213</v>
      </c>
      <c r="M393" s="69" t="s">
        <v>46</v>
      </c>
      <c r="N393" s="80" t="s">
        <v>1214</v>
      </c>
      <c r="O393" s="400">
        <v>190602500</v>
      </c>
      <c r="P393" s="80" t="s">
        <v>1215</v>
      </c>
      <c r="Q393" s="178" t="s">
        <v>51</v>
      </c>
      <c r="R393" s="112">
        <v>100</v>
      </c>
      <c r="S393" s="970"/>
      <c r="T393" s="949"/>
      <c r="U393" s="949"/>
      <c r="V393" s="135"/>
      <c r="W393" s="135"/>
      <c r="X393" s="135"/>
      <c r="Y393" s="135">
        <f>100000000+300000000</f>
        <v>400000000</v>
      </c>
      <c r="Z393" s="135">
        <f>2224028029+3434211.2+3039348.21-3434211.2-3039348.21-489634735</f>
        <v>1734393294</v>
      </c>
      <c r="AA393" s="288"/>
      <c r="AB393" s="135"/>
      <c r="AC393" s="135"/>
      <c r="AD393" s="241"/>
      <c r="AE393" s="135"/>
      <c r="AF393" s="145"/>
      <c r="AG393" s="135"/>
      <c r="AH393" s="135"/>
      <c r="AI393" s="135"/>
      <c r="AJ393" s="313">
        <f t="shared" si="135"/>
        <v>2134393294</v>
      </c>
      <c r="AK393" s="136" t="s">
        <v>1021</v>
      </c>
      <c r="AL393" s="60" t="s">
        <v>1526</v>
      </c>
      <c r="AM393" s="7"/>
    </row>
    <row r="394" spans="1:39" ht="95.25" customHeight="1" x14ac:dyDescent="0.2">
      <c r="A394" s="130"/>
      <c r="B394" s="78"/>
      <c r="C394" s="78"/>
      <c r="D394" s="78"/>
      <c r="E394" s="78"/>
      <c r="F394" s="511"/>
      <c r="G394" s="513"/>
      <c r="H394" s="506" t="s">
        <v>1201</v>
      </c>
      <c r="I394" s="69" t="s">
        <v>46</v>
      </c>
      <c r="J394" s="736" t="s">
        <v>1216</v>
      </c>
      <c r="K394" s="400">
        <v>1906025</v>
      </c>
      <c r="L394" s="736" t="s">
        <v>1213</v>
      </c>
      <c r="M394" s="69" t="s">
        <v>46</v>
      </c>
      <c r="N394" s="80" t="s">
        <v>1217</v>
      </c>
      <c r="O394" s="400">
        <v>190602500</v>
      </c>
      <c r="P394" s="80" t="s">
        <v>1215</v>
      </c>
      <c r="Q394" s="178" t="s">
        <v>51</v>
      </c>
      <c r="R394" s="112">
        <v>100</v>
      </c>
      <c r="S394" s="970"/>
      <c r="T394" s="949"/>
      <c r="U394" s="949"/>
      <c r="V394" s="135"/>
      <c r="W394" s="135"/>
      <c r="X394" s="135"/>
      <c r="Y394" s="135">
        <f>100000000+300000000</f>
        <v>400000000</v>
      </c>
      <c r="Z394" s="135">
        <f>3434211.2+3039348.21</f>
        <v>6473559.4100000001</v>
      </c>
      <c r="AA394" s="275">
        <f>3684809425+33937548.72+1216600524.1+22221326.62+712647104.86</f>
        <v>5670215929.2999992</v>
      </c>
      <c r="AB394" s="135"/>
      <c r="AC394" s="135"/>
      <c r="AD394" s="241"/>
      <c r="AE394" s="135"/>
      <c r="AF394" s="145">
        <v>4000000000</v>
      </c>
      <c r="AG394" s="135"/>
      <c r="AH394" s="135"/>
      <c r="AI394" s="135"/>
      <c r="AJ394" s="313">
        <f t="shared" si="135"/>
        <v>10076689488.709999</v>
      </c>
      <c r="AK394" s="136" t="s">
        <v>1021</v>
      </c>
      <c r="AL394" s="60" t="s">
        <v>1526</v>
      </c>
      <c r="AM394" s="7"/>
    </row>
    <row r="395" spans="1:39" ht="95.25" customHeight="1" x14ac:dyDescent="0.2">
      <c r="A395" s="130"/>
      <c r="B395" s="78"/>
      <c r="C395" s="78"/>
      <c r="D395" s="78"/>
      <c r="E395" s="78"/>
      <c r="F395" s="511"/>
      <c r="G395" s="513"/>
      <c r="H395" s="506" t="s">
        <v>1218</v>
      </c>
      <c r="I395" s="69">
        <v>1906029</v>
      </c>
      <c r="J395" s="736" t="s">
        <v>1219</v>
      </c>
      <c r="K395" s="69">
        <v>1906029</v>
      </c>
      <c r="L395" s="736" t="s">
        <v>1219</v>
      </c>
      <c r="M395" s="386">
        <v>190602900</v>
      </c>
      <c r="N395" s="80" t="s">
        <v>1220</v>
      </c>
      <c r="O395" s="386">
        <v>190602900</v>
      </c>
      <c r="P395" s="80" t="s">
        <v>1220</v>
      </c>
      <c r="Q395" s="178" t="s">
        <v>51</v>
      </c>
      <c r="R395" s="112">
        <v>40</v>
      </c>
      <c r="S395" s="970" t="s">
        <v>1221</v>
      </c>
      <c r="T395" s="949" t="s">
        <v>1222</v>
      </c>
      <c r="U395" s="949" t="s">
        <v>1223</v>
      </c>
      <c r="V395" s="135"/>
      <c r="W395" s="135"/>
      <c r="X395" s="135"/>
      <c r="Y395" s="135"/>
      <c r="Z395" s="135"/>
      <c r="AA395" s="275">
        <v>468599154.12</v>
      </c>
      <c r="AB395" s="135"/>
      <c r="AC395" s="135"/>
      <c r="AD395" s="241"/>
      <c r="AE395" s="135"/>
      <c r="AF395" s="148">
        <v>150390000</v>
      </c>
      <c r="AG395" s="135"/>
      <c r="AH395" s="135">
        <v>308966733</v>
      </c>
      <c r="AI395" s="135"/>
      <c r="AJ395" s="313">
        <f t="shared" si="135"/>
        <v>927955887.12</v>
      </c>
      <c r="AK395" s="136" t="s">
        <v>1021</v>
      </c>
      <c r="AL395" s="60" t="s">
        <v>1526</v>
      </c>
      <c r="AM395" s="7"/>
    </row>
    <row r="396" spans="1:39" s="3" customFormat="1" ht="87.75" customHeight="1" x14ac:dyDescent="0.2">
      <c r="A396" s="56"/>
      <c r="B396" s="96"/>
      <c r="C396" s="96"/>
      <c r="D396" s="96"/>
      <c r="E396" s="96"/>
      <c r="F396" s="99"/>
      <c r="G396" s="95"/>
      <c r="H396" s="515" t="s">
        <v>1077</v>
      </c>
      <c r="I396" s="69">
        <v>1906032</v>
      </c>
      <c r="J396" s="736" t="s">
        <v>1196</v>
      </c>
      <c r="K396" s="69">
        <v>1906032</v>
      </c>
      <c r="L396" s="736" t="s">
        <v>1196</v>
      </c>
      <c r="M396" s="386">
        <v>190603200</v>
      </c>
      <c r="N396" s="737" t="s">
        <v>1197</v>
      </c>
      <c r="O396" s="386">
        <v>190603200</v>
      </c>
      <c r="P396" s="737" t="s">
        <v>1197</v>
      </c>
      <c r="Q396" s="112" t="s">
        <v>67</v>
      </c>
      <c r="R396" s="112">
        <v>1500</v>
      </c>
      <c r="S396" s="970"/>
      <c r="T396" s="949"/>
      <c r="U396" s="949"/>
      <c r="V396" s="113"/>
      <c r="W396" s="113"/>
      <c r="X396" s="113"/>
      <c r="Y396" s="113"/>
      <c r="Z396" s="113"/>
      <c r="AA396" s="287"/>
      <c r="AB396" s="113"/>
      <c r="AC396" s="113"/>
      <c r="AD396" s="239"/>
      <c r="AE396" s="113"/>
      <c r="AF396" s="148">
        <v>20000000</v>
      </c>
      <c r="AG396" s="113"/>
      <c r="AH396" s="113"/>
      <c r="AI396" s="113"/>
      <c r="AJ396" s="313">
        <f t="shared" si="135"/>
        <v>20000000</v>
      </c>
      <c r="AK396" s="136" t="s">
        <v>1021</v>
      </c>
      <c r="AL396" s="60" t="s">
        <v>1526</v>
      </c>
      <c r="AM396" s="7"/>
    </row>
    <row r="397" spans="1:39" ht="119.25" customHeight="1" x14ac:dyDescent="0.2">
      <c r="A397" s="130"/>
      <c r="B397" s="78"/>
      <c r="C397" s="78"/>
      <c r="D397" s="78"/>
      <c r="E397" s="78"/>
      <c r="F397" s="511"/>
      <c r="G397" s="513"/>
      <c r="H397" s="506" t="s">
        <v>1224</v>
      </c>
      <c r="I397" s="69">
        <v>1906005</v>
      </c>
      <c r="J397" s="736" t="s">
        <v>1225</v>
      </c>
      <c r="K397" s="69">
        <v>1906005</v>
      </c>
      <c r="L397" s="736" t="s">
        <v>1225</v>
      </c>
      <c r="M397" s="386">
        <v>190600500</v>
      </c>
      <c r="N397" s="80" t="s">
        <v>1225</v>
      </c>
      <c r="O397" s="386">
        <v>190600500</v>
      </c>
      <c r="P397" s="80" t="s">
        <v>1225</v>
      </c>
      <c r="Q397" s="178" t="s">
        <v>67</v>
      </c>
      <c r="R397" s="112">
        <v>2</v>
      </c>
      <c r="S397" s="970"/>
      <c r="T397" s="949"/>
      <c r="U397" s="949"/>
      <c r="V397" s="135"/>
      <c r="W397" s="135"/>
      <c r="X397" s="135"/>
      <c r="Y397" s="135"/>
      <c r="Z397" s="135"/>
      <c r="AA397" s="275"/>
      <c r="AB397" s="135"/>
      <c r="AC397" s="135"/>
      <c r="AD397" s="241"/>
      <c r="AE397" s="135"/>
      <c r="AF397" s="145">
        <v>20000000</v>
      </c>
      <c r="AG397" s="135"/>
      <c r="AH397" s="135"/>
      <c r="AI397" s="135"/>
      <c r="AJ397" s="204">
        <f t="shared" si="135"/>
        <v>20000000</v>
      </c>
      <c r="AK397" s="136" t="s">
        <v>1021</v>
      </c>
      <c r="AL397" s="60" t="s">
        <v>1526</v>
      </c>
      <c r="AM397" s="7"/>
    </row>
    <row r="398" spans="1:39" ht="96.75" customHeight="1" x14ac:dyDescent="0.2">
      <c r="A398" s="130"/>
      <c r="B398" s="78"/>
      <c r="C398" s="78"/>
      <c r="D398" s="78"/>
      <c r="E398" s="78"/>
      <c r="F398" s="511"/>
      <c r="G398" s="513"/>
      <c r="H398" s="506" t="s">
        <v>1022</v>
      </c>
      <c r="I398" s="69">
        <v>1906022</v>
      </c>
      <c r="J398" s="736" t="s">
        <v>1226</v>
      </c>
      <c r="K398" s="69">
        <v>1906022</v>
      </c>
      <c r="L398" s="736" t="s">
        <v>1226</v>
      </c>
      <c r="M398" s="386">
        <v>190602200</v>
      </c>
      <c r="N398" s="80" t="s">
        <v>1227</v>
      </c>
      <c r="O398" s="386">
        <v>190602200</v>
      </c>
      <c r="P398" s="80" t="s">
        <v>1227</v>
      </c>
      <c r="Q398" s="178" t="s">
        <v>67</v>
      </c>
      <c r="R398" s="112">
        <v>1</v>
      </c>
      <c r="S398" s="970"/>
      <c r="T398" s="949"/>
      <c r="U398" s="949"/>
      <c r="V398" s="135"/>
      <c r="W398" s="135"/>
      <c r="X398" s="135"/>
      <c r="Y398" s="135"/>
      <c r="Z398" s="135"/>
      <c r="AA398" s="275"/>
      <c r="AB398" s="135"/>
      <c r="AC398" s="135"/>
      <c r="AD398" s="241"/>
      <c r="AE398" s="135"/>
      <c r="AF398" s="145">
        <v>20000000</v>
      </c>
      <c r="AG398" s="135"/>
      <c r="AH398" s="135"/>
      <c r="AI398" s="135"/>
      <c r="AJ398" s="204">
        <f t="shared" si="135"/>
        <v>20000000</v>
      </c>
      <c r="AK398" s="136" t="s">
        <v>1021</v>
      </c>
      <c r="AL398" s="60" t="s">
        <v>1526</v>
      </c>
      <c r="AM398" s="7"/>
    </row>
    <row r="399" spans="1:39" ht="94.5" customHeight="1" x14ac:dyDescent="0.2">
      <c r="A399" s="130"/>
      <c r="B399" s="78"/>
      <c r="C399" s="78"/>
      <c r="D399" s="78"/>
      <c r="E399" s="78"/>
      <c r="F399" s="511"/>
      <c r="G399" s="513"/>
      <c r="H399" s="506" t="s">
        <v>1201</v>
      </c>
      <c r="I399" s="69" t="s">
        <v>46</v>
      </c>
      <c r="J399" s="736" t="s">
        <v>1206</v>
      </c>
      <c r="K399" s="400">
        <v>1906023</v>
      </c>
      <c r="L399" s="736" t="s">
        <v>1228</v>
      </c>
      <c r="M399" s="69" t="s">
        <v>46</v>
      </c>
      <c r="N399" s="80" t="s">
        <v>1229</v>
      </c>
      <c r="O399" s="386">
        <v>190602301</v>
      </c>
      <c r="P399" s="80" t="s">
        <v>1208</v>
      </c>
      <c r="Q399" s="178" t="s">
        <v>51</v>
      </c>
      <c r="R399" s="112">
        <v>40</v>
      </c>
      <c r="S399" s="970"/>
      <c r="T399" s="949"/>
      <c r="U399" s="949"/>
      <c r="V399" s="135"/>
      <c r="W399" s="135"/>
      <c r="X399" s="135"/>
      <c r="Y399" s="135"/>
      <c r="Z399" s="135"/>
      <c r="AA399" s="275"/>
      <c r="AB399" s="135"/>
      <c r="AC399" s="135"/>
      <c r="AD399" s="241"/>
      <c r="AE399" s="135"/>
      <c r="AF399" s="145">
        <v>20000000</v>
      </c>
      <c r="AG399" s="135"/>
      <c r="AH399" s="135"/>
      <c r="AI399" s="135"/>
      <c r="AJ399" s="204">
        <f t="shared" si="135"/>
        <v>20000000</v>
      </c>
      <c r="AK399" s="136" t="s">
        <v>1021</v>
      </c>
      <c r="AL399" s="60" t="s">
        <v>1526</v>
      </c>
      <c r="AM399" s="7"/>
    </row>
    <row r="400" spans="1:39" s="436" customFormat="1" ht="16.5" customHeight="1" x14ac:dyDescent="0.25">
      <c r="A400" s="432"/>
      <c r="B400" s="432"/>
      <c r="C400" s="432"/>
      <c r="D400" s="432"/>
      <c r="E400" s="432"/>
      <c r="F400" s="432"/>
      <c r="G400" s="432"/>
      <c r="H400" s="433"/>
      <c r="I400" s="432"/>
      <c r="J400" s="432"/>
      <c r="K400" s="432"/>
      <c r="L400" s="432"/>
      <c r="M400" s="432"/>
      <c r="N400" s="432"/>
      <c r="O400" s="432"/>
      <c r="P400" s="432"/>
      <c r="Q400" s="434"/>
      <c r="R400" s="432"/>
      <c r="S400" s="434"/>
      <c r="T400" s="434"/>
      <c r="U400" s="434"/>
      <c r="V400" s="435"/>
      <c r="W400" s="435"/>
      <c r="X400" s="435"/>
      <c r="Y400" s="435"/>
      <c r="Z400" s="435"/>
      <c r="AA400" s="435"/>
      <c r="AB400" s="435"/>
      <c r="AC400" s="435"/>
      <c r="AD400" s="435"/>
      <c r="AE400" s="435"/>
      <c r="AF400" s="435"/>
      <c r="AG400" s="435"/>
      <c r="AH400" s="435"/>
      <c r="AI400" s="435"/>
      <c r="AJ400" s="435"/>
      <c r="AK400" s="435"/>
      <c r="AL400" s="435"/>
      <c r="AM400" s="7"/>
    </row>
    <row r="401" spans="1:77" s="377" customFormat="1" ht="24" customHeight="1" x14ac:dyDescent="0.25">
      <c r="A401" s="34" t="s">
        <v>1230</v>
      </c>
      <c r="B401" s="34"/>
      <c r="C401" s="34"/>
      <c r="D401" s="34"/>
      <c r="E401" s="34"/>
      <c r="F401" s="35"/>
      <c r="G401" s="578"/>
      <c r="H401" s="600"/>
      <c r="I401" s="600"/>
      <c r="J401" s="600"/>
      <c r="K401" s="601"/>
      <c r="L401" s="600"/>
      <c r="M401" s="600"/>
      <c r="N401" s="602"/>
      <c r="O401" s="603"/>
      <c r="P401" s="602"/>
      <c r="Q401" s="604"/>
      <c r="R401" s="603"/>
      <c r="S401" s="579"/>
      <c r="T401" s="362"/>
      <c r="U401" s="362"/>
      <c r="V401" s="358">
        <f t="shared" ref="V401:AJ401" si="136">+V402+V420+V428</f>
        <v>0</v>
      </c>
      <c r="W401" s="358">
        <f t="shared" si="136"/>
        <v>0</v>
      </c>
      <c r="X401" s="358">
        <f t="shared" si="136"/>
        <v>0</v>
      </c>
      <c r="Y401" s="358">
        <f t="shared" si="136"/>
        <v>0</v>
      </c>
      <c r="Z401" s="358">
        <f t="shared" si="136"/>
        <v>0</v>
      </c>
      <c r="AA401" s="358">
        <f t="shared" si="136"/>
        <v>0</v>
      </c>
      <c r="AB401" s="358">
        <f t="shared" si="136"/>
        <v>0</v>
      </c>
      <c r="AC401" s="358">
        <f t="shared" si="136"/>
        <v>0</v>
      </c>
      <c r="AD401" s="358">
        <f t="shared" si="136"/>
        <v>0</v>
      </c>
      <c r="AE401" s="358">
        <f t="shared" si="136"/>
        <v>0</v>
      </c>
      <c r="AF401" s="358">
        <f t="shared" si="136"/>
        <v>1196000000</v>
      </c>
      <c r="AG401" s="358">
        <f t="shared" si="136"/>
        <v>0</v>
      </c>
      <c r="AH401" s="358">
        <f t="shared" si="136"/>
        <v>0</v>
      </c>
      <c r="AI401" s="885"/>
      <c r="AJ401" s="876">
        <f t="shared" si="136"/>
        <v>1196000000</v>
      </c>
      <c r="AK401" s="358"/>
      <c r="AL401" s="359"/>
      <c r="AM401" s="7"/>
      <c r="AN401" s="376"/>
      <c r="AO401" s="376"/>
      <c r="AP401" s="376"/>
      <c r="AQ401" s="376"/>
      <c r="AR401" s="376"/>
      <c r="AS401" s="376"/>
      <c r="AT401" s="376"/>
      <c r="AU401" s="376"/>
      <c r="AV401" s="376"/>
      <c r="AW401" s="376"/>
      <c r="AX401" s="376"/>
      <c r="AY401" s="376"/>
      <c r="AZ401" s="376"/>
      <c r="BA401" s="376"/>
      <c r="BB401" s="376"/>
      <c r="BC401" s="376"/>
      <c r="BD401" s="376"/>
      <c r="BE401" s="376"/>
      <c r="BF401" s="376"/>
      <c r="BG401" s="376"/>
      <c r="BH401" s="376"/>
      <c r="BI401" s="376"/>
      <c r="BJ401" s="376"/>
      <c r="BK401" s="376"/>
      <c r="BL401" s="376"/>
      <c r="BM401" s="376"/>
      <c r="BN401" s="376"/>
      <c r="BO401" s="376"/>
      <c r="BP401" s="376"/>
      <c r="BQ401" s="376"/>
      <c r="BR401" s="376"/>
      <c r="BS401" s="376"/>
      <c r="BT401" s="376"/>
      <c r="BU401" s="376"/>
      <c r="BV401" s="376"/>
      <c r="BW401" s="376"/>
      <c r="BX401" s="376"/>
      <c r="BY401" s="376"/>
    </row>
    <row r="402" spans="1:77" s="8" customFormat="1" ht="24" customHeight="1" x14ac:dyDescent="0.25">
      <c r="A402" s="115"/>
      <c r="B402" s="116">
        <v>1</v>
      </c>
      <c r="C402" s="116"/>
      <c r="D402" s="61" t="s">
        <v>148</v>
      </c>
      <c r="E402" s="157"/>
      <c r="F402" s="61"/>
      <c r="G402" s="163"/>
      <c r="H402" s="366"/>
      <c r="I402" s="366"/>
      <c r="J402" s="165"/>
      <c r="K402" s="164"/>
      <c r="L402" s="165"/>
      <c r="M402" s="165"/>
      <c r="N402" s="167"/>
      <c r="O402" s="166"/>
      <c r="P402" s="167"/>
      <c r="Q402" s="168"/>
      <c r="R402" s="166"/>
      <c r="S402" s="626"/>
      <c r="T402" s="118"/>
      <c r="U402" s="118"/>
      <c r="V402" s="289">
        <f>V403</f>
        <v>0</v>
      </c>
      <c r="W402" s="289">
        <f t="shared" ref="W402:AH402" si="137">W403</f>
        <v>0</v>
      </c>
      <c r="X402" s="289">
        <f t="shared" si="137"/>
        <v>0</v>
      </c>
      <c r="Y402" s="289">
        <f t="shared" si="137"/>
        <v>0</v>
      </c>
      <c r="Z402" s="289">
        <f t="shared" si="137"/>
        <v>0</v>
      </c>
      <c r="AA402" s="289">
        <f t="shared" si="137"/>
        <v>0</v>
      </c>
      <c r="AB402" s="289">
        <f t="shared" si="137"/>
        <v>0</v>
      </c>
      <c r="AC402" s="289">
        <f t="shared" si="137"/>
        <v>0</v>
      </c>
      <c r="AD402" s="289">
        <f t="shared" si="137"/>
        <v>0</v>
      </c>
      <c r="AE402" s="289">
        <f t="shared" si="137"/>
        <v>0</v>
      </c>
      <c r="AF402" s="289">
        <f t="shared" si="137"/>
        <v>820000000</v>
      </c>
      <c r="AG402" s="289">
        <f t="shared" si="137"/>
        <v>0</v>
      </c>
      <c r="AH402" s="289">
        <f t="shared" si="137"/>
        <v>0</v>
      </c>
      <c r="AI402" s="547"/>
      <c r="AJ402" s="877">
        <f>AJ403</f>
        <v>820000000</v>
      </c>
      <c r="AK402" s="289"/>
      <c r="AL402" s="290"/>
      <c r="AM402" s="7"/>
      <c r="AN402" s="7"/>
      <c r="AO402" s="7"/>
      <c r="AP402" s="7"/>
      <c r="AQ402" s="7"/>
      <c r="AR402" s="7"/>
      <c r="AS402" s="7"/>
      <c r="AT402" s="7"/>
      <c r="AU402" s="7"/>
      <c r="AV402" s="7"/>
      <c r="AW402" s="7"/>
      <c r="AX402" s="7"/>
      <c r="AY402" s="7"/>
      <c r="AZ402" s="7"/>
      <c r="BA402" s="7"/>
      <c r="BB402" s="7"/>
      <c r="BC402" s="7"/>
      <c r="BD402" s="7"/>
      <c r="BE402" s="7"/>
      <c r="BF402" s="7"/>
      <c r="BG402" s="7"/>
      <c r="BH402" s="7"/>
      <c r="BI402" s="7"/>
      <c r="BJ402" s="7"/>
      <c r="BK402" s="7"/>
      <c r="BL402" s="7"/>
      <c r="BM402" s="7"/>
      <c r="BN402" s="7"/>
      <c r="BO402" s="7"/>
      <c r="BP402" s="7"/>
      <c r="BQ402" s="7"/>
      <c r="BR402" s="7"/>
      <c r="BS402" s="7"/>
      <c r="BT402" s="7"/>
      <c r="BU402" s="7"/>
      <c r="BV402" s="7"/>
      <c r="BW402" s="7"/>
      <c r="BX402" s="7"/>
      <c r="BY402" s="7"/>
    </row>
    <row r="403" spans="1:77" s="8" customFormat="1" ht="24" customHeight="1" x14ac:dyDescent="0.25">
      <c r="A403" s="115"/>
      <c r="B403" s="70"/>
      <c r="C403" s="70"/>
      <c r="D403" s="64">
        <v>23</v>
      </c>
      <c r="E403" s="62" t="s">
        <v>1231</v>
      </c>
      <c r="F403" s="62"/>
      <c r="G403" s="120"/>
      <c r="H403" s="121"/>
      <c r="I403" s="121"/>
      <c r="J403" s="123"/>
      <c r="K403" s="122"/>
      <c r="L403" s="123"/>
      <c r="M403" s="123"/>
      <c r="N403" s="125"/>
      <c r="O403" s="124"/>
      <c r="P403" s="125"/>
      <c r="Q403" s="126"/>
      <c r="R403" s="124"/>
      <c r="S403" s="186"/>
      <c r="T403" s="128"/>
      <c r="U403" s="128"/>
      <c r="V403" s="129">
        <f>V404+V414</f>
        <v>0</v>
      </c>
      <c r="W403" s="129">
        <f t="shared" ref="W403:AJ403" si="138">W404+W414</f>
        <v>0</v>
      </c>
      <c r="X403" s="129">
        <f t="shared" si="138"/>
        <v>0</v>
      </c>
      <c r="Y403" s="129">
        <f t="shared" si="138"/>
        <v>0</v>
      </c>
      <c r="Z403" s="129">
        <f t="shared" si="138"/>
        <v>0</v>
      </c>
      <c r="AA403" s="129">
        <f t="shared" si="138"/>
        <v>0</v>
      </c>
      <c r="AB403" s="129">
        <f t="shared" si="138"/>
        <v>0</v>
      </c>
      <c r="AC403" s="129">
        <f t="shared" si="138"/>
        <v>0</v>
      </c>
      <c r="AD403" s="129">
        <f t="shared" si="138"/>
        <v>0</v>
      </c>
      <c r="AE403" s="129">
        <f t="shared" si="138"/>
        <v>0</v>
      </c>
      <c r="AF403" s="129">
        <f t="shared" si="138"/>
        <v>820000000</v>
      </c>
      <c r="AG403" s="129">
        <f t="shared" si="138"/>
        <v>0</v>
      </c>
      <c r="AH403" s="129">
        <f t="shared" si="138"/>
        <v>0</v>
      </c>
      <c r="AI403" s="548"/>
      <c r="AJ403" s="170">
        <f t="shared" si="138"/>
        <v>820000000</v>
      </c>
      <c r="AK403" s="129"/>
      <c r="AL403" s="153"/>
      <c r="AM403" s="7"/>
      <c r="AN403" s="7"/>
      <c r="AO403" s="7"/>
      <c r="AP403" s="7"/>
      <c r="AQ403" s="7"/>
      <c r="AR403" s="7"/>
      <c r="AS403" s="7"/>
      <c r="AT403" s="7"/>
      <c r="AU403" s="7"/>
      <c r="AV403" s="7"/>
      <c r="AW403" s="7"/>
      <c r="AX403" s="7"/>
      <c r="AY403" s="7"/>
      <c r="AZ403" s="7"/>
      <c r="BA403" s="7"/>
      <c r="BB403" s="7"/>
      <c r="BC403" s="7"/>
      <c r="BD403" s="7"/>
      <c r="BE403" s="7"/>
      <c r="BF403" s="7"/>
      <c r="BG403" s="7"/>
      <c r="BH403" s="7"/>
      <c r="BI403" s="7"/>
      <c r="BJ403" s="7"/>
      <c r="BK403" s="7"/>
      <c r="BL403" s="7"/>
      <c r="BM403" s="7"/>
      <c r="BN403" s="7"/>
      <c r="BO403" s="7"/>
      <c r="BP403" s="7"/>
      <c r="BQ403" s="7"/>
      <c r="BR403" s="7"/>
      <c r="BS403" s="7"/>
      <c r="BT403" s="7"/>
      <c r="BU403" s="7"/>
      <c r="BV403" s="7"/>
      <c r="BW403" s="7"/>
      <c r="BX403" s="7"/>
      <c r="BY403" s="7"/>
    </row>
    <row r="404" spans="1:77" s="8" customFormat="1" ht="24" customHeight="1" x14ac:dyDescent="0.25">
      <c r="A404" s="115"/>
      <c r="B404" s="78"/>
      <c r="C404" s="78"/>
      <c r="D404" s="78"/>
      <c r="E404" s="78"/>
      <c r="F404" s="131">
        <v>2301</v>
      </c>
      <c r="G404" s="68" t="s">
        <v>1232</v>
      </c>
      <c r="H404" s="177"/>
      <c r="I404" s="177"/>
      <c r="J404" s="177"/>
      <c r="K404" s="177"/>
      <c r="L404" s="177"/>
      <c r="M404" s="177"/>
      <c r="N404" s="631"/>
      <c r="O404" s="632"/>
      <c r="P404" s="631"/>
      <c r="Q404" s="624"/>
      <c r="R404" s="632"/>
      <c r="S404" s="625"/>
      <c r="T404" s="291"/>
      <c r="U404" s="291"/>
      <c r="V404" s="133">
        <f>SUM(V405:V413)</f>
        <v>0</v>
      </c>
      <c r="W404" s="133">
        <f t="shared" ref="W404:AJ404" si="139">SUM(W405:W413)</f>
        <v>0</v>
      </c>
      <c r="X404" s="133">
        <f t="shared" si="139"/>
        <v>0</v>
      </c>
      <c r="Y404" s="133">
        <f t="shared" si="139"/>
        <v>0</v>
      </c>
      <c r="Z404" s="133">
        <f t="shared" si="139"/>
        <v>0</v>
      </c>
      <c r="AA404" s="133">
        <f t="shared" si="139"/>
        <v>0</v>
      </c>
      <c r="AB404" s="133">
        <f t="shared" si="139"/>
        <v>0</v>
      </c>
      <c r="AC404" s="133">
        <f t="shared" si="139"/>
        <v>0</v>
      </c>
      <c r="AD404" s="133">
        <f t="shared" si="139"/>
        <v>0</v>
      </c>
      <c r="AE404" s="133">
        <f t="shared" si="139"/>
        <v>0</v>
      </c>
      <c r="AF404" s="133">
        <f t="shared" si="139"/>
        <v>674000000</v>
      </c>
      <c r="AG404" s="133">
        <f t="shared" si="139"/>
        <v>0</v>
      </c>
      <c r="AH404" s="133">
        <f t="shared" si="139"/>
        <v>0</v>
      </c>
      <c r="AI404" s="545"/>
      <c r="AJ404" s="878">
        <f t="shared" si="139"/>
        <v>674000000</v>
      </c>
      <c r="AK404" s="529">
        <f>SUM(AK405:AK413)</f>
        <v>0</v>
      </c>
      <c r="AL404" s="140">
        <f>SUM(AL405:AL413)</f>
        <v>0</v>
      </c>
      <c r="AM404" s="7"/>
      <c r="AN404" s="7"/>
      <c r="AO404" s="7"/>
      <c r="AP404" s="7"/>
      <c r="AQ404" s="7"/>
      <c r="AR404" s="7"/>
      <c r="AS404" s="7"/>
      <c r="AT404" s="7"/>
      <c r="AU404" s="7"/>
      <c r="AV404" s="7"/>
      <c r="AW404" s="7"/>
      <c r="AX404" s="7"/>
      <c r="AY404" s="7"/>
      <c r="AZ404" s="7"/>
      <c r="BA404" s="7"/>
      <c r="BB404" s="7"/>
      <c r="BC404" s="7"/>
      <c r="BD404" s="7"/>
      <c r="BE404" s="7"/>
      <c r="BF404" s="7"/>
      <c r="BG404" s="7"/>
      <c r="BH404" s="7"/>
      <c r="BI404" s="7"/>
      <c r="BJ404" s="7"/>
      <c r="BK404" s="7"/>
      <c r="BL404" s="7"/>
      <c r="BM404" s="7"/>
      <c r="BN404" s="7"/>
      <c r="BO404" s="7"/>
      <c r="BP404" s="7"/>
      <c r="BQ404" s="7"/>
      <c r="BR404" s="7"/>
      <c r="BS404" s="7"/>
      <c r="BT404" s="7"/>
      <c r="BU404" s="7"/>
      <c r="BV404" s="7"/>
      <c r="BW404" s="7"/>
      <c r="BX404" s="7"/>
      <c r="BY404" s="7"/>
    </row>
    <row r="405" spans="1:77" ht="75" customHeight="1" x14ac:dyDescent="0.2">
      <c r="A405" s="130"/>
      <c r="B405" s="78"/>
      <c r="C405" s="78"/>
      <c r="D405" s="78"/>
      <c r="E405" s="78"/>
      <c r="F405" s="74"/>
      <c r="G405" s="513"/>
      <c r="H405" s="952" t="s">
        <v>1233</v>
      </c>
      <c r="I405" s="958">
        <v>2301024</v>
      </c>
      <c r="J405" s="955" t="s">
        <v>1234</v>
      </c>
      <c r="K405" s="958">
        <v>2301024</v>
      </c>
      <c r="L405" s="955" t="s">
        <v>1234</v>
      </c>
      <c r="M405" s="92">
        <v>230102401</v>
      </c>
      <c r="N405" s="505" t="s">
        <v>1235</v>
      </c>
      <c r="O405" s="92">
        <v>230102401</v>
      </c>
      <c r="P405" s="505" t="s">
        <v>1235</v>
      </c>
      <c r="Q405" s="513" t="s">
        <v>51</v>
      </c>
      <c r="R405" s="112">
        <v>15</v>
      </c>
      <c r="S405" s="986" t="s">
        <v>1236</v>
      </c>
      <c r="T405" s="966" t="s">
        <v>1237</v>
      </c>
      <c r="U405" s="966" t="s">
        <v>1238</v>
      </c>
      <c r="V405" s="135"/>
      <c r="W405" s="135"/>
      <c r="X405" s="135"/>
      <c r="Y405" s="136"/>
      <c r="Z405" s="136"/>
      <c r="AA405" s="292"/>
      <c r="AB405" s="136"/>
      <c r="AC405" s="136"/>
      <c r="AD405" s="293"/>
      <c r="AE405" s="136"/>
      <c r="AF405" s="136">
        <v>18000000</v>
      </c>
      <c r="AG405" s="136"/>
      <c r="AH405" s="136"/>
      <c r="AI405" s="544"/>
      <c r="AJ405" s="879">
        <f t="shared" ref="AJ405:AJ413" si="140">+V405+W405+X405+Y405+Z405+AA405+AB405+AC405+AD405+AE405+AF405+AG405+AH405</f>
        <v>18000000</v>
      </c>
      <c r="AK405" s="539" t="s">
        <v>1530</v>
      </c>
      <c r="AL405" s="528" t="s">
        <v>1239</v>
      </c>
      <c r="AM405" s="7"/>
    </row>
    <row r="406" spans="1:77" ht="75" customHeight="1" x14ac:dyDescent="0.2">
      <c r="A406" s="130"/>
      <c r="B406" s="78"/>
      <c r="C406" s="78"/>
      <c r="D406" s="78"/>
      <c r="E406" s="78"/>
      <c r="F406" s="74"/>
      <c r="G406" s="513"/>
      <c r="H406" s="953"/>
      <c r="I406" s="958"/>
      <c r="J406" s="955"/>
      <c r="K406" s="958"/>
      <c r="L406" s="955"/>
      <c r="M406" s="92">
        <v>230102404</v>
      </c>
      <c r="N406" s="505" t="s">
        <v>1240</v>
      </c>
      <c r="O406" s="92">
        <v>230102404</v>
      </c>
      <c r="P406" s="505" t="s">
        <v>1240</v>
      </c>
      <c r="Q406" s="95" t="s">
        <v>67</v>
      </c>
      <c r="R406" s="112">
        <v>3</v>
      </c>
      <c r="S406" s="986"/>
      <c r="T406" s="966"/>
      <c r="U406" s="966"/>
      <c r="V406" s="135"/>
      <c r="W406" s="135"/>
      <c r="X406" s="135"/>
      <c r="Y406" s="136"/>
      <c r="Z406" s="136"/>
      <c r="AA406" s="292"/>
      <c r="AB406" s="136"/>
      <c r="AC406" s="136"/>
      <c r="AD406" s="293"/>
      <c r="AE406" s="136"/>
      <c r="AF406" s="136">
        <v>227460000</v>
      </c>
      <c r="AG406" s="136"/>
      <c r="AH406" s="136"/>
      <c r="AI406" s="544"/>
      <c r="AJ406" s="879">
        <f t="shared" si="140"/>
        <v>227460000</v>
      </c>
      <c r="AK406" s="539" t="s">
        <v>1530</v>
      </c>
      <c r="AL406" s="528" t="s">
        <v>1239</v>
      </c>
      <c r="AM406" s="7"/>
    </row>
    <row r="407" spans="1:77" ht="103.5" customHeight="1" x14ac:dyDescent="0.2">
      <c r="A407" s="130"/>
      <c r="B407" s="78"/>
      <c r="C407" s="78"/>
      <c r="D407" s="78"/>
      <c r="E407" s="78"/>
      <c r="F407" s="74"/>
      <c r="G407" s="513"/>
      <c r="H407" s="506" t="s">
        <v>1233</v>
      </c>
      <c r="I407" s="430">
        <v>2301012</v>
      </c>
      <c r="J407" s="506" t="s">
        <v>1241</v>
      </c>
      <c r="K407" s="511">
        <v>2301079</v>
      </c>
      <c r="L407" s="506" t="s">
        <v>1242</v>
      </c>
      <c r="M407" s="430">
        <v>230101204</v>
      </c>
      <c r="N407" s="505" t="s">
        <v>1243</v>
      </c>
      <c r="O407" s="92">
        <v>230107902</v>
      </c>
      <c r="P407" s="505" t="s">
        <v>1244</v>
      </c>
      <c r="Q407" s="513" t="s">
        <v>67</v>
      </c>
      <c r="R407" s="112">
        <v>13</v>
      </c>
      <c r="S407" s="986"/>
      <c r="T407" s="966"/>
      <c r="U407" s="966"/>
      <c r="V407" s="135"/>
      <c r="W407" s="135"/>
      <c r="X407" s="135"/>
      <c r="Y407" s="136"/>
      <c r="Z407" s="136"/>
      <c r="AA407" s="292"/>
      <c r="AB407" s="136"/>
      <c r="AC407" s="136"/>
      <c r="AD407" s="293"/>
      <c r="AE407" s="136"/>
      <c r="AF407" s="136">
        <v>80000000</v>
      </c>
      <c r="AG407" s="136"/>
      <c r="AH407" s="136"/>
      <c r="AI407" s="544"/>
      <c r="AJ407" s="879">
        <f t="shared" si="140"/>
        <v>80000000</v>
      </c>
      <c r="AK407" s="539" t="s">
        <v>1530</v>
      </c>
      <c r="AL407" s="528" t="s">
        <v>1239</v>
      </c>
      <c r="AM407" s="7"/>
    </row>
    <row r="408" spans="1:77" ht="96.75" customHeight="1" x14ac:dyDescent="0.2">
      <c r="A408" s="130"/>
      <c r="B408" s="78"/>
      <c r="C408" s="78"/>
      <c r="D408" s="78"/>
      <c r="E408" s="78"/>
      <c r="F408" s="74"/>
      <c r="G408" s="513"/>
      <c r="H408" s="506" t="s">
        <v>1233</v>
      </c>
      <c r="I408" s="511">
        <v>2301062</v>
      </c>
      <c r="J408" s="506" t="s">
        <v>1245</v>
      </c>
      <c r="K408" s="511">
        <v>2301062</v>
      </c>
      <c r="L408" s="506" t="s">
        <v>1245</v>
      </c>
      <c r="M408" s="92">
        <v>230106201</v>
      </c>
      <c r="N408" s="505" t="s">
        <v>1246</v>
      </c>
      <c r="O408" s="92">
        <v>230106201</v>
      </c>
      <c r="P408" s="505" t="s">
        <v>1246</v>
      </c>
      <c r="Q408" s="514" t="s">
        <v>1247</v>
      </c>
      <c r="R408" s="232">
        <v>9</v>
      </c>
      <c r="S408" s="986"/>
      <c r="T408" s="966"/>
      <c r="U408" s="966"/>
      <c r="V408" s="135"/>
      <c r="W408" s="135"/>
      <c r="X408" s="135"/>
      <c r="Y408" s="136"/>
      <c r="Z408" s="136"/>
      <c r="AA408" s="292"/>
      <c r="AB408" s="136"/>
      <c r="AC408" s="136"/>
      <c r="AD408" s="293"/>
      <c r="AE408" s="136"/>
      <c r="AF408" s="136">
        <v>0</v>
      </c>
      <c r="AG408" s="136"/>
      <c r="AH408" s="136"/>
      <c r="AI408" s="544"/>
      <c r="AJ408" s="879">
        <f t="shared" si="140"/>
        <v>0</v>
      </c>
      <c r="AK408" s="539" t="s">
        <v>1530</v>
      </c>
      <c r="AL408" s="528" t="s">
        <v>1239</v>
      </c>
      <c r="AM408" s="7"/>
    </row>
    <row r="409" spans="1:77" ht="102" customHeight="1" x14ac:dyDescent="0.2">
      <c r="A409" s="130"/>
      <c r="B409" s="78"/>
      <c r="C409" s="78"/>
      <c r="D409" s="78"/>
      <c r="E409" s="78"/>
      <c r="F409" s="74"/>
      <c r="G409" s="513"/>
      <c r="H409" s="506" t="s">
        <v>1248</v>
      </c>
      <c r="I409" s="511">
        <v>2301030</v>
      </c>
      <c r="J409" s="506" t="s">
        <v>1249</v>
      </c>
      <c r="K409" s="511">
        <v>2301030</v>
      </c>
      <c r="L409" s="506" t="s">
        <v>1249</v>
      </c>
      <c r="M409" s="92">
        <v>230103000</v>
      </c>
      <c r="N409" s="505" t="s">
        <v>1250</v>
      </c>
      <c r="O409" s="92">
        <v>230103000</v>
      </c>
      <c r="P409" s="505" t="s">
        <v>1250</v>
      </c>
      <c r="Q409" s="513" t="s">
        <v>67</v>
      </c>
      <c r="R409" s="112">
        <v>2500</v>
      </c>
      <c r="S409" s="983" t="s">
        <v>1251</v>
      </c>
      <c r="T409" s="968" t="s">
        <v>1252</v>
      </c>
      <c r="U409" s="963" t="s">
        <v>1253</v>
      </c>
      <c r="V409" s="135"/>
      <c r="W409" s="135"/>
      <c r="X409" s="135"/>
      <c r="Y409" s="136"/>
      <c r="Z409" s="136"/>
      <c r="AA409" s="292"/>
      <c r="AB409" s="136"/>
      <c r="AC409" s="136"/>
      <c r="AD409" s="293"/>
      <c r="AE409" s="136"/>
      <c r="AF409" s="136">
        <f>36000000+222540000</f>
        <v>258540000</v>
      </c>
      <c r="AG409" s="136"/>
      <c r="AH409" s="136"/>
      <c r="AI409" s="544"/>
      <c r="AJ409" s="879">
        <f t="shared" si="140"/>
        <v>258540000</v>
      </c>
      <c r="AK409" s="539" t="s">
        <v>1530</v>
      </c>
      <c r="AL409" s="528" t="s">
        <v>1239</v>
      </c>
      <c r="AM409" s="7"/>
    </row>
    <row r="410" spans="1:77" ht="91.5" customHeight="1" x14ac:dyDescent="0.2">
      <c r="A410" s="130"/>
      <c r="B410" s="78"/>
      <c r="C410" s="78"/>
      <c r="D410" s="78"/>
      <c r="E410" s="78"/>
      <c r="F410" s="74"/>
      <c r="G410" s="513"/>
      <c r="H410" s="506" t="s">
        <v>1248</v>
      </c>
      <c r="I410" s="511">
        <v>2301015</v>
      </c>
      <c r="J410" s="506" t="s">
        <v>1254</v>
      </c>
      <c r="K410" s="511">
        <v>2301015</v>
      </c>
      <c r="L410" s="506" t="s">
        <v>1254</v>
      </c>
      <c r="M410" s="92">
        <v>230101500</v>
      </c>
      <c r="N410" s="505" t="s">
        <v>1255</v>
      </c>
      <c r="O410" s="92">
        <v>230101500</v>
      </c>
      <c r="P410" s="505" t="s">
        <v>1255</v>
      </c>
      <c r="Q410" s="513" t="s">
        <v>51</v>
      </c>
      <c r="R410" s="112">
        <v>3</v>
      </c>
      <c r="S410" s="983"/>
      <c r="T410" s="968"/>
      <c r="U410" s="963"/>
      <c r="V410" s="135"/>
      <c r="W410" s="135"/>
      <c r="X410" s="135"/>
      <c r="Y410" s="136"/>
      <c r="Z410" s="136"/>
      <c r="AA410" s="292"/>
      <c r="AB410" s="136"/>
      <c r="AC410" s="136"/>
      <c r="AD410" s="293"/>
      <c r="AE410" s="136"/>
      <c r="AF410" s="136">
        <v>18000000</v>
      </c>
      <c r="AG410" s="136"/>
      <c r="AH410" s="136"/>
      <c r="AI410" s="544"/>
      <c r="AJ410" s="879">
        <f t="shared" si="140"/>
        <v>18000000</v>
      </c>
      <c r="AK410" s="539" t="s">
        <v>1530</v>
      </c>
      <c r="AL410" s="528" t="s">
        <v>1239</v>
      </c>
      <c r="AM410" s="7"/>
    </row>
    <row r="411" spans="1:77" ht="99.75" customHeight="1" x14ac:dyDescent="0.2">
      <c r="A411" s="130"/>
      <c r="B411" s="78"/>
      <c r="C411" s="78"/>
      <c r="D411" s="78"/>
      <c r="E411" s="78"/>
      <c r="F411" s="74"/>
      <c r="G411" s="513"/>
      <c r="H411" s="506" t="s">
        <v>1248</v>
      </c>
      <c r="I411" s="511">
        <v>2301004</v>
      </c>
      <c r="J411" s="506" t="s">
        <v>248</v>
      </c>
      <c r="K411" s="511">
        <v>2301004</v>
      </c>
      <c r="L411" s="506" t="s">
        <v>248</v>
      </c>
      <c r="M411" s="430">
        <v>230200400</v>
      </c>
      <c r="N411" s="505" t="s">
        <v>250</v>
      </c>
      <c r="O411" s="92">
        <v>230100400</v>
      </c>
      <c r="P411" s="505" t="s">
        <v>250</v>
      </c>
      <c r="Q411" s="513" t="s">
        <v>51</v>
      </c>
      <c r="R411" s="112">
        <v>1</v>
      </c>
      <c r="S411" s="983"/>
      <c r="T411" s="968"/>
      <c r="U411" s="963"/>
      <c r="V411" s="135"/>
      <c r="W411" s="135"/>
      <c r="X411" s="135"/>
      <c r="Y411" s="136"/>
      <c r="Z411" s="136"/>
      <c r="AA411" s="292"/>
      <c r="AB411" s="136"/>
      <c r="AC411" s="136"/>
      <c r="AD411" s="293"/>
      <c r="AE411" s="136"/>
      <c r="AF411" s="136">
        <v>18000000</v>
      </c>
      <c r="AG411" s="136"/>
      <c r="AH411" s="136"/>
      <c r="AI411" s="544"/>
      <c r="AJ411" s="879">
        <f t="shared" si="140"/>
        <v>18000000</v>
      </c>
      <c r="AK411" s="539" t="s">
        <v>1530</v>
      </c>
      <c r="AL411" s="528" t="s">
        <v>1239</v>
      </c>
      <c r="AM411" s="7"/>
    </row>
    <row r="412" spans="1:77" ht="103.5" customHeight="1" x14ac:dyDescent="0.2">
      <c r="A412" s="130"/>
      <c r="B412" s="78"/>
      <c r="C412" s="78"/>
      <c r="D412" s="78"/>
      <c r="E412" s="78"/>
      <c r="F412" s="74"/>
      <c r="G412" s="513"/>
      <c r="H412" s="506" t="s">
        <v>1248</v>
      </c>
      <c r="I412" s="511">
        <v>2301035</v>
      </c>
      <c r="J412" s="506" t="s">
        <v>1256</v>
      </c>
      <c r="K412" s="511">
        <v>2301035</v>
      </c>
      <c r="L412" s="506" t="s">
        <v>1256</v>
      </c>
      <c r="M412" s="92">
        <v>230103500</v>
      </c>
      <c r="N412" s="505" t="s">
        <v>1257</v>
      </c>
      <c r="O412" s="92">
        <v>230103500</v>
      </c>
      <c r="P412" s="505" t="s">
        <v>1257</v>
      </c>
      <c r="Q412" s="513" t="s">
        <v>67</v>
      </c>
      <c r="R412" s="112">
        <v>20</v>
      </c>
      <c r="S412" s="983"/>
      <c r="T412" s="968"/>
      <c r="U412" s="963"/>
      <c r="V412" s="135"/>
      <c r="W412" s="135"/>
      <c r="X412" s="135"/>
      <c r="Y412" s="136"/>
      <c r="Z412" s="136"/>
      <c r="AA412" s="292"/>
      <c r="AB412" s="136"/>
      <c r="AC412" s="136"/>
      <c r="AD412" s="293"/>
      <c r="AE412" s="136"/>
      <c r="AF412" s="136">
        <v>36000000</v>
      </c>
      <c r="AG412" s="136"/>
      <c r="AH412" s="136"/>
      <c r="AI412" s="544"/>
      <c r="AJ412" s="879">
        <f t="shared" si="140"/>
        <v>36000000</v>
      </c>
      <c r="AK412" s="539" t="s">
        <v>1530</v>
      </c>
      <c r="AL412" s="528" t="s">
        <v>1239</v>
      </c>
      <c r="AM412" s="7"/>
    </row>
    <row r="413" spans="1:77" ht="103.5" customHeight="1" x14ac:dyDescent="0.2">
      <c r="A413" s="130"/>
      <c r="B413" s="78"/>
      <c r="C413" s="78"/>
      <c r="D413" s="78"/>
      <c r="E413" s="78"/>
      <c r="F413" s="74"/>
      <c r="G413" s="513"/>
      <c r="H413" s="506" t="s">
        <v>1248</v>
      </c>
      <c r="I413" s="511">
        <v>2301042</v>
      </c>
      <c r="J413" s="506" t="s">
        <v>1258</v>
      </c>
      <c r="K413" s="511">
        <v>2301042</v>
      </c>
      <c r="L413" s="506" t="s">
        <v>1258</v>
      </c>
      <c r="M413" s="92">
        <v>230104201</v>
      </c>
      <c r="N413" s="505" t="s">
        <v>1259</v>
      </c>
      <c r="O413" s="92">
        <v>230104201</v>
      </c>
      <c r="P413" s="505" t="s">
        <v>1259</v>
      </c>
      <c r="Q413" s="513" t="s">
        <v>51</v>
      </c>
      <c r="R413" s="112">
        <v>1</v>
      </c>
      <c r="S413" s="983"/>
      <c r="T413" s="968"/>
      <c r="U413" s="963"/>
      <c r="V413" s="135"/>
      <c r="W413" s="135"/>
      <c r="X413" s="135"/>
      <c r="Y413" s="136"/>
      <c r="Z413" s="136"/>
      <c r="AA413" s="292"/>
      <c r="AB413" s="136"/>
      <c r="AC413" s="136"/>
      <c r="AD413" s="293"/>
      <c r="AE413" s="136"/>
      <c r="AF413" s="136">
        <v>18000000</v>
      </c>
      <c r="AG413" s="136"/>
      <c r="AH413" s="136"/>
      <c r="AI413" s="544"/>
      <c r="AJ413" s="879">
        <f t="shared" si="140"/>
        <v>18000000</v>
      </c>
      <c r="AK413" s="539" t="s">
        <v>1530</v>
      </c>
      <c r="AL413" s="528" t="s">
        <v>1239</v>
      </c>
      <c r="AM413" s="7"/>
    </row>
    <row r="414" spans="1:77" s="8" customFormat="1" ht="24" customHeight="1" x14ac:dyDescent="0.25">
      <c r="A414" s="115"/>
      <c r="B414" s="78"/>
      <c r="C414" s="78"/>
      <c r="D414" s="78"/>
      <c r="E414" s="78"/>
      <c r="F414" s="131">
        <v>2302</v>
      </c>
      <c r="G414" s="68" t="s">
        <v>1527</v>
      </c>
      <c r="H414" s="177"/>
      <c r="I414" s="177"/>
      <c r="J414" s="177"/>
      <c r="K414" s="177"/>
      <c r="L414" s="177"/>
      <c r="M414" s="177"/>
      <c r="N414" s="590"/>
      <c r="O414" s="591"/>
      <c r="P414" s="590"/>
      <c r="Q414" s="624"/>
      <c r="R414" s="591"/>
      <c r="S414" s="625"/>
      <c r="T414" s="132"/>
      <c r="U414" s="132"/>
      <c r="V414" s="133">
        <f>SUM(V415:V419)</f>
        <v>0</v>
      </c>
      <c r="W414" s="133">
        <f t="shared" ref="W414:AJ414" si="141">SUM(W415:W419)</f>
        <v>0</v>
      </c>
      <c r="X414" s="133">
        <f t="shared" si="141"/>
        <v>0</v>
      </c>
      <c r="Y414" s="133">
        <f t="shared" si="141"/>
        <v>0</v>
      </c>
      <c r="Z414" s="133">
        <f t="shared" si="141"/>
        <v>0</v>
      </c>
      <c r="AA414" s="133">
        <f t="shared" si="141"/>
        <v>0</v>
      </c>
      <c r="AB414" s="133">
        <f t="shared" si="141"/>
        <v>0</v>
      </c>
      <c r="AC414" s="133">
        <f t="shared" si="141"/>
        <v>0</v>
      </c>
      <c r="AD414" s="133">
        <f t="shared" si="141"/>
        <v>0</v>
      </c>
      <c r="AE414" s="133">
        <f t="shared" si="141"/>
        <v>0</v>
      </c>
      <c r="AF414" s="133">
        <f t="shared" si="141"/>
        <v>146000000</v>
      </c>
      <c r="AG414" s="133">
        <f t="shared" si="141"/>
        <v>0</v>
      </c>
      <c r="AH414" s="133">
        <f t="shared" si="141"/>
        <v>0</v>
      </c>
      <c r="AI414" s="545"/>
      <c r="AJ414" s="880">
        <f t="shared" si="141"/>
        <v>146000000</v>
      </c>
      <c r="AK414" s="540">
        <f>SUM(AK415:AK419)</f>
        <v>0</v>
      </c>
      <c r="AL414" s="140">
        <f>SUM(AL415:AL419)</f>
        <v>0</v>
      </c>
      <c r="AM414" s="7"/>
      <c r="AN414" s="7"/>
      <c r="AO414" s="7"/>
      <c r="AP414" s="7"/>
      <c r="AQ414" s="7"/>
      <c r="AR414" s="7"/>
      <c r="AS414" s="7"/>
      <c r="AT414" s="7"/>
      <c r="AU414" s="7"/>
      <c r="AV414" s="7"/>
      <c r="AW414" s="7"/>
      <c r="AX414" s="7"/>
      <c r="AY414" s="7"/>
      <c r="AZ414" s="7"/>
      <c r="BA414" s="7"/>
      <c r="BB414" s="7"/>
      <c r="BC414" s="7"/>
      <c r="BD414" s="7"/>
      <c r="BE414" s="7"/>
      <c r="BF414" s="7"/>
      <c r="BG414" s="7"/>
      <c r="BH414" s="7"/>
      <c r="BI414" s="7"/>
      <c r="BJ414" s="7"/>
      <c r="BK414" s="7"/>
      <c r="BL414" s="7"/>
      <c r="BM414" s="7"/>
      <c r="BN414" s="7"/>
      <c r="BO414" s="7"/>
      <c r="BP414" s="7"/>
      <c r="BQ414" s="7"/>
      <c r="BR414" s="7"/>
      <c r="BS414" s="7"/>
      <c r="BT414" s="7"/>
      <c r="BU414" s="7"/>
      <c r="BV414" s="7"/>
      <c r="BW414" s="7"/>
      <c r="BX414" s="7"/>
      <c r="BY414" s="7"/>
    </row>
    <row r="415" spans="1:77" ht="104.25" customHeight="1" x14ac:dyDescent="0.2">
      <c r="A415" s="130"/>
      <c r="B415" s="78"/>
      <c r="C415" s="78"/>
      <c r="D415" s="78"/>
      <c r="E415" s="78"/>
      <c r="F415" s="74"/>
      <c r="G415" s="513"/>
      <c r="H415" s="506" t="s">
        <v>1233</v>
      </c>
      <c r="I415" s="511">
        <v>2302042</v>
      </c>
      <c r="J415" s="506" t="s">
        <v>1260</v>
      </c>
      <c r="K415" s="511">
        <v>2302042</v>
      </c>
      <c r="L415" s="506" t="s">
        <v>1260</v>
      </c>
      <c r="M415" s="92">
        <v>230204200</v>
      </c>
      <c r="N415" s="505" t="s">
        <v>1261</v>
      </c>
      <c r="O415" s="92">
        <v>230204200</v>
      </c>
      <c r="P415" s="505" t="s">
        <v>1261</v>
      </c>
      <c r="Q415" s="513" t="s">
        <v>67</v>
      </c>
      <c r="R415" s="112">
        <v>1</v>
      </c>
      <c r="S415" s="979" t="s">
        <v>1262</v>
      </c>
      <c r="T415" s="955" t="s">
        <v>1263</v>
      </c>
      <c r="U415" s="955" t="s">
        <v>1264</v>
      </c>
      <c r="V415" s="135"/>
      <c r="W415" s="135"/>
      <c r="X415" s="135"/>
      <c r="Y415" s="136"/>
      <c r="Z415" s="136"/>
      <c r="AA415" s="292"/>
      <c r="AB415" s="136"/>
      <c r="AC415" s="136"/>
      <c r="AD415" s="293"/>
      <c r="AE415" s="136"/>
      <c r="AF415" s="313">
        <v>20000000</v>
      </c>
      <c r="AG415" s="136"/>
      <c r="AH415" s="136"/>
      <c r="AI415" s="544"/>
      <c r="AJ415" s="879">
        <f>+V415+W415+X415+Y415+Z415+AA415+AB415+AC415+AD415+AE415+AF415+AG415+AH415</f>
        <v>20000000</v>
      </c>
      <c r="AK415" s="539" t="s">
        <v>1530</v>
      </c>
      <c r="AL415" s="528" t="s">
        <v>1239</v>
      </c>
      <c r="AM415" s="7"/>
    </row>
    <row r="416" spans="1:77" ht="103.5" customHeight="1" x14ac:dyDescent="0.2">
      <c r="A416" s="130"/>
      <c r="B416" s="78"/>
      <c r="C416" s="78"/>
      <c r="D416" s="78"/>
      <c r="E416" s="78"/>
      <c r="F416" s="74"/>
      <c r="G416" s="513"/>
      <c r="H416" s="506" t="s">
        <v>1233</v>
      </c>
      <c r="I416" s="511">
        <v>2302022</v>
      </c>
      <c r="J416" s="506" t="s">
        <v>1265</v>
      </c>
      <c r="K416" s="511">
        <v>2302022</v>
      </c>
      <c r="L416" s="506" t="s">
        <v>1265</v>
      </c>
      <c r="M416" s="92">
        <v>230202200</v>
      </c>
      <c r="N416" s="505" t="s">
        <v>1266</v>
      </c>
      <c r="O416" s="92">
        <v>230202200</v>
      </c>
      <c r="P416" s="505" t="s">
        <v>1266</v>
      </c>
      <c r="Q416" s="513" t="s">
        <v>67</v>
      </c>
      <c r="R416" s="112">
        <v>20</v>
      </c>
      <c r="S416" s="979"/>
      <c r="T416" s="955"/>
      <c r="U416" s="955"/>
      <c r="V416" s="135"/>
      <c r="W416" s="135"/>
      <c r="X416" s="135"/>
      <c r="Y416" s="136"/>
      <c r="Z416" s="136"/>
      <c r="AA416" s="292"/>
      <c r="AB416" s="136"/>
      <c r="AC416" s="136"/>
      <c r="AD416" s="293"/>
      <c r="AE416" s="136"/>
      <c r="AF416" s="136">
        <v>36000000</v>
      </c>
      <c r="AG416" s="136"/>
      <c r="AH416" s="136"/>
      <c r="AI416" s="544"/>
      <c r="AJ416" s="879">
        <f>+V416+W416+X416+Y416+Z416+AA416+AB416+AC416+AD416+AE416+AF416+AG416+AH416</f>
        <v>36000000</v>
      </c>
      <c r="AK416" s="539" t="s">
        <v>1530</v>
      </c>
      <c r="AL416" s="528" t="s">
        <v>1239</v>
      </c>
      <c r="AM416" s="7"/>
    </row>
    <row r="417" spans="1:77" s="3" customFormat="1" ht="84" customHeight="1" x14ac:dyDescent="0.2">
      <c r="A417" s="56"/>
      <c r="B417" s="96"/>
      <c r="C417" s="96"/>
      <c r="D417" s="96"/>
      <c r="E417" s="96"/>
      <c r="F417" s="99"/>
      <c r="G417" s="95"/>
      <c r="H417" s="515" t="s">
        <v>1248</v>
      </c>
      <c r="I417" s="71">
        <v>2302021</v>
      </c>
      <c r="J417" s="515" t="s">
        <v>1267</v>
      </c>
      <c r="K417" s="71">
        <v>2302021</v>
      </c>
      <c r="L417" s="515" t="s">
        <v>1267</v>
      </c>
      <c r="M417" s="100">
        <v>230202100</v>
      </c>
      <c r="N417" s="512" t="s">
        <v>1268</v>
      </c>
      <c r="O417" s="100">
        <v>230202100</v>
      </c>
      <c r="P417" s="512" t="s">
        <v>1268</v>
      </c>
      <c r="Q417" s="95" t="s">
        <v>67</v>
      </c>
      <c r="R417" s="112">
        <v>8</v>
      </c>
      <c r="S417" s="979"/>
      <c r="T417" s="955"/>
      <c r="U417" s="955"/>
      <c r="V417" s="113"/>
      <c r="W417" s="113"/>
      <c r="X417" s="113"/>
      <c r="Y417" s="204"/>
      <c r="Z417" s="204"/>
      <c r="AA417" s="294"/>
      <c r="AB417" s="204"/>
      <c r="AC417" s="204"/>
      <c r="AD417" s="295"/>
      <c r="AE417" s="204"/>
      <c r="AF417" s="204">
        <v>50000000</v>
      </c>
      <c r="AG417" s="204"/>
      <c r="AH417" s="204"/>
      <c r="AI417" s="546"/>
      <c r="AJ417" s="881">
        <f>+V417+W417+X417+Y417+Z417+AA417+AB417+AC417+AD417+AE417+AF417+AG417+AH417</f>
        <v>50000000</v>
      </c>
      <c r="AK417" s="539" t="s">
        <v>1530</v>
      </c>
      <c r="AL417" s="528" t="s">
        <v>1239</v>
      </c>
      <c r="AM417" s="7"/>
    </row>
    <row r="418" spans="1:77" ht="114" customHeight="1" x14ac:dyDescent="0.2">
      <c r="A418" s="130"/>
      <c r="B418" s="78"/>
      <c r="C418" s="78"/>
      <c r="D418" s="78"/>
      <c r="E418" s="78"/>
      <c r="F418" s="74"/>
      <c r="G418" s="513"/>
      <c r="H418" s="506" t="s">
        <v>1269</v>
      </c>
      <c r="I418" s="511">
        <v>2302058</v>
      </c>
      <c r="J418" s="506" t="s">
        <v>1270</v>
      </c>
      <c r="K418" s="511">
        <v>2302058</v>
      </c>
      <c r="L418" s="506" t="s">
        <v>1270</v>
      </c>
      <c r="M418" s="92">
        <v>230205800</v>
      </c>
      <c r="N418" s="505" t="s">
        <v>1271</v>
      </c>
      <c r="O418" s="92">
        <v>230205800</v>
      </c>
      <c r="P418" s="505" t="s">
        <v>1271</v>
      </c>
      <c r="Q418" s="513" t="s">
        <v>67</v>
      </c>
      <c r="R418" s="112">
        <v>300</v>
      </c>
      <c r="S418" s="979"/>
      <c r="T418" s="955"/>
      <c r="U418" s="955"/>
      <c r="V418" s="135"/>
      <c r="W418" s="135"/>
      <c r="X418" s="135"/>
      <c r="Y418" s="136"/>
      <c r="Z418" s="136"/>
      <c r="AA418" s="292"/>
      <c r="AB418" s="136"/>
      <c r="AC418" s="136"/>
      <c r="AD418" s="293"/>
      <c r="AE418" s="136"/>
      <c r="AF418" s="136">
        <v>20000000</v>
      </c>
      <c r="AG418" s="136"/>
      <c r="AH418" s="136"/>
      <c r="AI418" s="544"/>
      <c r="AJ418" s="879">
        <f>+V418+W418+X418+Y418+Z418+AA418+AB418+AC418+AD418+AE418+AF418+AG418+AH418</f>
        <v>20000000</v>
      </c>
      <c r="AK418" s="539" t="s">
        <v>1530</v>
      </c>
      <c r="AL418" s="528" t="s">
        <v>1239</v>
      </c>
      <c r="AM418" s="7"/>
    </row>
    <row r="419" spans="1:77" ht="112.5" customHeight="1" x14ac:dyDescent="0.2">
      <c r="A419" s="130"/>
      <c r="B419" s="78"/>
      <c r="C419" s="78"/>
      <c r="D419" s="78"/>
      <c r="E419" s="78"/>
      <c r="F419" s="74"/>
      <c r="G419" s="513"/>
      <c r="H419" s="506" t="s">
        <v>1269</v>
      </c>
      <c r="I419" s="511">
        <v>2302068</v>
      </c>
      <c r="J419" s="506" t="s">
        <v>1272</v>
      </c>
      <c r="K419" s="511">
        <v>2302068</v>
      </c>
      <c r="L419" s="506" t="s">
        <v>1272</v>
      </c>
      <c r="M419" s="92">
        <v>230206800</v>
      </c>
      <c r="N419" s="505" t="s">
        <v>1273</v>
      </c>
      <c r="O419" s="92">
        <v>230206800</v>
      </c>
      <c r="P419" s="505" t="s">
        <v>1273</v>
      </c>
      <c r="Q419" s="513" t="s">
        <v>67</v>
      </c>
      <c r="R419" s="112">
        <v>60</v>
      </c>
      <c r="S419" s="979"/>
      <c r="T419" s="955"/>
      <c r="U419" s="955"/>
      <c r="V419" s="135"/>
      <c r="W419" s="135"/>
      <c r="X419" s="135"/>
      <c r="Y419" s="136"/>
      <c r="Z419" s="136"/>
      <c r="AA419" s="292"/>
      <c r="AB419" s="136"/>
      <c r="AC419" s="136"/>
      <c r="AD419" s="293"/>
      <c r="AE419" s="136"/>
      <c r="AF419" s="136">
        <v>20000000</v>
      </c>
      <c r="AG419" s="136"/>
      <c r="AH419" s="136"/>
      <c r="AI419" s="544"/>
      <c r="AJ419" s="879">
        <f>+V419+W419+X419+Y419+Z419+AA419+AB419+AC419+AD419+AE419+AF419+AG419+AH419</f>
        <v>20000000</v>
      </c>
      <c r="AK419" s="539" t="s">
        <v>1530</v>
      </c>
      <c r="AL419" s="528" t="s">
        <v>1239</v>
      </c>
      <c r="AM419" s="7"/>
    </row>
    <row r="420" spans="1:77" s="8" customFormat="1" ht="24" customHeight="1" x14ac:dyDescent="0.25">
      <c r="A420" s="115"/>
      <c r="B420" s="448">
        <v>2</v>
      </c>
      <c r="C420" s="116"/>
      <c r="D420" s="61" t="s">
        <v>417</v>
      </c>
      <c r="E420" s="157"/>
      <c r="F420" s="61"/>
      <c r="G420" s="163"/>
      <c r="H420" s="163"/>
      <c r="I420" s="366"/>
      <c r="J420" s="165"/>
      <c r="K420" s="164"/>
      <c r="L420" s="165"/>
      <c r="M420" s="165"/>
      <c r="N420" s="167"/>
      <c r="O420" s="166"/>
      <c r="P420" s="167"/>
      <c r="Q420" s="168"/>
      <c r="R420" s="166"/>
      <c r="S420" s="626"/>
      <c r="T420" s="118"/>
      <c r="U420" s="118"/>
      <c r="V420" s="289">
        <f>V421</f>
        <v>0</v>
      </c>
      <c r="W420" s="289">
        <f t="shared" ref="W420:AH420" si="142">W421</f>
        <v>0</v>
      </c>
      <c r="X420" s="289">
        <f t="shared" si="142"/>
        <v>0</v>
      </c>
      <c r="Y420" s="289">
        <f t="shared" si="142"/>
        <v>0</v>
      </c>
      <c r="Z420" s="289">
        <f t="shared" si="142"/>
        <v>0</v>
      </c>
      <c r="AA420" s="289">
        <f t="shared" si="142"/>
        <v>0</v>
      </c>
      <c r="AB420" s="289">
        <f t="shared" si="142"/>
        <v>0</v>
      </c>
      <c r="AC420" s="289">
        <f t="shared" si="142"/>
        <v>0</v>
      </c>
      <c r="AD420" s="289">
        <f t="shared" si="142"/>
        <v>0</v>
      </c>
      <c r="AE420" s="289">
        <f t="shared" si="142"/>
        <v>0</v>
      </c>
      <c r="AF420" s="289">
        <f>AF421</f>
        <v>78000000</v>
      </c>
      <c r="AG420" s="289">
        <f t="shared" si="142"/>
        <v>0</v>
      </c>
      <c r="AH420" s="289">
        <f t="shared" si="142"/>
        <v>0</v>
      </c>
      <c r="AI420" s="547"/>
      <c r="AJ420" s="882">
        <f>AJ421</f>
        <v>78000000</v>
      </c>
      <c r="AK420" s="541"/>
      <c r="AL420" s="290"/>
      <c r="AM420" s="7"/>
      <c r="AN420" s="7"/>
      <c r="AO420" s="7"/>
      <c r="AP420" s="7"/>
      <c r="AQ420" s="7"/>
      <c r="AR420" s="7"/>
      <c r="AS420" s="7"/>
      <c r="AT420" s="7"/>
      <c r="AU420" s="7"/>
      <c r="AV420" s="7"/>
      <c r="AW420" s="7"/>
      <c r="AX420" s="7"/>
      <c r="AY420" s="7"/>
      <c r="AZ420" s="7"/>
      <c r="BA420" s="7"/>
      <c r="BB420" s="7"/>
      <c r="BC420" s="7"/>
      <c r="BD420" s="7"/>
      <c r="BE420" s="7"/>
      <c r="BF420" s="7"/>
      <c r="BG420" s="7"/>
      <c r="BH420" s="7"/>
      <c r="BI420" s="7"/>
      <c r="BJ420" s="7"/>
      <c r="BK420" s="7"/>
      <c r="BL420" s="7"/>
      <c r="BM420" s="7"/>
      <c r="BN420" s="7"/>
      <c r="BO420" s="7"/>
      <c r="BP420" s="7"/>
      <c r="BQ420" s="7"/>
      <c r="BR420" s="7"/>
      <c r="BS420" s="7"/>
      <c r="BT420" s="7"/>
      <c r="BU420" s="7"/>
      <c r="BV420" s="7"/>
      <c r="BW420" s="7"/>
      <c r="BX420" s="7"/>
      <c r="BY420" s="7"/>
    </row>
    <row r="421" spans="1:77" s="8" customFormat="1" ht="24" customHeight="1" x14ac:dyDescent="0.25">
      <c r="A421" s="441"/>
      <c r="B421" s="449"/>
      <c r="C421" s="442"/>
      <c r="D421" s="64">
        <v>39</v>
      </c>
      <c r="E421" s="62" t="s">
        <v>1522</v>
      </c>
      <c r="F421" s="62"/>
      <c r="G421" s="120"/>
      <c r="H421" s="120"/>
      <c r="I421" s="121"/>
      <c r="J421" s="123"/>
      <c r="K421" s="122"/>
      <c r="L421" s="123"/>
      <c r="M421" s="123"/>
      <c r="N421" s="125"/>
      <c r="O421" s="124"/>
      <c r="P421" s="125"/>
      <c r="Q421" s="126"/>
      <c r="R421" s="124"/>
      <c r="S421" s="186"/>
      <c r="T421" s="128"/>
      <c r="U421" s="128"/>
      <c r="V421" s="129">
        <f>V422+V426</f>
        <v>0</v>
      </c>
      <c r="W421" s="129">
        <f t="shared" ref="W421:AH421" si="143">W422+W426</f>
        <v>0</v>
      </c>
      <c r="X421" s="129">
        <f t="shared" si="143"/>
        <v>0</v>
      </c>
      <c r="Y421" s="129">
        <f t="shared" si="143"/>
        <v>0</v>
      </c>
      <c r="Z421" s="129">
        <f t="shared" si="143"/>
        <v>0</v>
      </c>
      <c r="AA421" s="129">
        <f t="shared" si="143"/>
        <v>0</v>
      </c>
      <c r="AB421" s="129">
        <f t="shared" si="143"/>
        <v>0</v>
      </c>
      <c r="AC421" s="129">
        <f t="shared" si="143"/>
        <v>0</v>
      </c>
      <c r="AD421" s="129">
        <f t="shared" si="143"/>
        <v>0</v>
      </c>
      <c r="AE421" s="129">
        <f t="shared" si="143"/>
        <v>0</v>
      </c>
      <c r="AF421" s="129">
        <f t="shared" si="143"/>
        <v>78000000</v>
      </c>
      <c r="AG421" s="129">
        <f t="shared" si="143"/>
        <v>0</v>
      </c>
      <c r="AH421" s="129">
        <f t="shared" si="143"/>
        <v>0</v>
      </c>
      <c r="AI421" s="548"/>
      <c r="AJ421" s="883">
        <f>AJ422+AJ426</f>
        <v>78000000</v>
      </c>
      <c r="AK421" s="170"/>
      <c r="AL421" s="153"/>
      <c r="AM421" s="7"/>
      <c r="AN421" s="7"/>
      <c r="AO421" s="7"/>
      <c r="AP421" s="7"/>
      <c r="AQ421" s="7"/>
      <c r="AR421" s="7"/>
      <c r="AS421" s="7"/>
      <c r="AT421" s="7"/>
      <c r="AU421" s="7"/>
      <c r="AV421" s="7"/>
      <c r="AW421" s="7"/>
      <c r="AX421" s="7"/>
      <c r="AY421" s="7"/>
      <c r="AZ421" s="7"/>
      <c r="BA421" s="7"/>
      <c r="BB421" s="7"/>
      <c r="BC421" s="7"/>
      <c r="BD421" s="7"/>
      <c r="BE421" s="7"/>
      <c r="BF421" s="7"/>
      <c r="BG421" s="7"/>
      <c r="BH421" s="7"/>
      <c r="BI421" s="7"/>
      <c r="BJ421" s="7"/>
      <c r="BK421" s="7"/>
      <c r="BL421" s="7"/>
      <c r="BM421" s="7"/>
      <c r="BN421" s="7"/>
      <c r="BO421" s="7"/>
      <c r="BP421" s="7"/>
      <c r="BQ421" s="7"/>
      <c r="BR421" s="7"/>
      <c r="BS421" s="7"/>
      <c r="BT421" s="7"/>
      <c r="BU421" s="7"/>
      <c r="BV421" s="7"/>
      <c r="BW421" s="7"/>
      <c r="BX421" s="7"/>
      <c r="BY421" s="7"/>
    </row>
    <row r="422" spans="1:77" s="8" customFormat="1" ht="24" customHeight="1" x14ac:dyDescent="0.25">
      <c r="A422" s="443"/>
      <c r="B422" s="450"/>
      <c r="C422" s="444"/>
      <c r="D422" s="250"/>
      <c r="E422" s="250"/>
      <c r="F422" s="131" t="s">
        <v>1274</v>
      </c>
      <c r="G422" s="68" t="s">
        <v>1275</v>
      </c>
      <c r="H422" s="68"/>
      <c r="I422" s="177"/>
      <c r="J422" s="595"/>
      <c r="K422" s="623"/>
      <c r="L422" s="595"/>
      <c r="M422" s="595"/>
      <c r="N422" s="590"/>
      <c r="O422" s="591"/>
      <c r="P422" s="590"/>
      <c r="Q422" s="624"/>
      <c r="R422" s="591"/>
      <c r="S422" s="625"/>
      <c r="T422" s="132"/>
      <c r="U422" s="132"/>
      <c r="V422" s="133">
        <f>SUM(V423:V425)</f>
        <v>0</v>
      </c>
      <c r="W422" s="133">
        <f t="shared" ref="W422:AJ422" si="144">SUM(W423:W425)</f>
        <v>0</v>
      </c>
      <c r="X422" s="133">
        <f t="shared" si="144"/>
        <v>0</v>
      </c>
      <c r="Y422" s="133">
        <f t="shared" si="144"/>
        <v>0</v>
      </c>
      <c r="Z422" s="133">
        <f t="shared" si="144"/>
        <v>0</v>
      </c>
      <c r="AA422" s="133">
        <f t="shared" si="144"/>
        <v>0</v>
      </c>
      <c r="AB422" s="133">
        <f t="shared" si="144"/>
        <v>0</v>
      </c>
      <c r="AC422" s="133">
        <f t="shared" si="144"/>
        <v>0</v>
      </c>
      <c r="AD422" s="133">
        <f t="shared" si="144"/>
        <v>0</v>
      </c>
      <c r="AE422" s="133">
        <f t="shared" si="144"/>
        <v>0</v>
      </c>
      <c r="AF422" s="133">
        <f t="shared" si="144"/>
        <v>60000000</v>
      </c>
      <c r="AG422" s="133">
        <f t="shared" si="144"/>
        <v>0</v>
      </c>
      <c r="AH422" s="133">
        <f t="shared" si="144"/>
        <v>0</v>
      </c>
      <c r="AI422" s="545"/>
      <c r="AJ422" s="880">
        <f t="shared" si="144"/>
        <v>60000000</v>
      </c>
      <c r="AK422" s="286"/>
      <c r="AL422" s="140"/>
      <c r="AM422" s="7"/>
      <c r="AN422" s="7"/>
      <c r="AO422" s="7"/>
      <c r="AP422" s="7"/>
      <c r="AQ422" s="7"/>
      <c r="AR422" s="7"/>
      <c r="AS422" s="7"/>
      <c r="AT422" s="7"/>
      <c r="AU422" s="7"/>
      <c r="AV422" s="7"/>
      <c r="AW422" s="7"/>
      <c r="AX422" s="7"/>
      <c r="AY422" s="7"/>
      <c r="AZ422" s="7"/>
      <c r="BA422" s="7"/>
      <c r="BB422" s="7"/>
      <c r="BC422" s="7"/>
      <c r="BD422" s="7"/>
      <c r="BE422" s="7"/>
      <c r="BF422" s="7"/>
      <c r="BG422" s="7"/>
      <c r="BH422" s="7"/>
      <c r="BI422" s="7"/>
      <c r="BJ422" s="7"/>
      <c r="BK422" s="7"/>
      <c r="BL422" s="7"/>
      <c r="BM422" s="7"/>
      <c r="BN422" s="7"/>
      <c r="BO422" s="7"/>
      <c r="BP422" s="7"/>
      <c r="BQ422" s="7"/>
      <c r="BR422" s="7"/>
      <c r="BS422" s="7"/>
      <c r="BT422" s="7"/>
      <c r="BU422" s="7"/>
      <c r="BV422" s="7"/>
      <c r="BW422" s="7"/>
      <c r="BX422" s="7"/>
      <c r="BY422" s="7"/>
    </row>
    <row r="423" spans="1:77" ht="60" customHeight="1" x14ac:dyDescent="0.2">
      <c r="A423" s="445"/>
      <c r="B423" s="450"/>
      <c r="C423" s="444"/>
      <c r="D423" s="440"/>
      <c r="E423" s="440"/>
      <c r="F423" s="437"/>
      <c r="G423" s="437"/>
      <c r="H423" s="952" t="s">
        <v>1276</v>
      </c>
      <c r="I423" s="958">
        <v>3903005</v>
      </c>
      <c r="J423" s="955" t="s">
        <v>1277</v>
      </c>
      <c r="K423" s="958">
        <v>3903005</v>
      </c>
      <c r="L423" s="955" t="s">
        <v>1277</v>
      </c>
      <c r="M423" s="180" t="s">
        <v>1278</v>
      </c>
      <c r="N423" s="521" t="s">
        <v>1279</v>
      </c>
      <c r="O423" s="180" t="s">
        <v>1278</v>
      </c>
      <c r="P423" s="521" t="s">
        <v>1279</v>
      </c>
      <c r="Q423" s="513" t="s">
        <v>51</v>
      </c>
      <c r="R423" s="112">
        <v>1</v>
      </c>
      <c r="S423" s="979" t="s">
        <v>1280</v>
      </c>
      <c r="T423" s="949" t="s">
        <v>1281</v>
      </c>
      <c r="U423" s="949" t="s">
        <v>1282</v>
      </c>
      <c r="V423" s="135"/>
      <c r="W423" s="135"/>
      <c r="X423" s="135"/>
      <c r="Y423" s="136"/>
      <c r="Z423" s="136"/>
      <c r="AA423" s="292"/>
      <c r="AB423" s="136"/>
      <c r="AC423" s="136"/>
      <c r="AD423" s="293"/>
      <c r="AE423" s="136"/>
      <c r="AF423" s="136">
        <f>20000000-10000000</f>
        <v>10000000</v>
      </c>
      <c r="AG423" s="136"/>
      <c r="AH423" s="136"/>
      <c r="AI423" s="544"/>
      <c r="AJ423" s="879">
        <f>+V423+W423+X423+Y423+Z423+AA423+AB423+AC423+AD423+AE423+AF423+AG423+AH423</f>
        <v>10000000</v>
      </c>
      <c r="AK423" s="539" t="s">
        <v>1530</v>
      </c>
      <c r="AL423" s="60" t="s">
        <v>1239</v>
      </c>
      <c r="AM423" s="7"/>
    </row>
    <row r="424" spans="1:77" ht="60" customHeight="1" x14ac:dyDescent="0.2">
      <c r="A424" s="445"/>
      <c r="B424" s="450"/>
      <c r="C424" s="444"/>
      <c r="D424" s="440"/>
      <c r="E424" s="440"/>
      <c r="F424" s="438"/>
      <c r="G424" s="438"/>
      <c r="H424" s="959"/>
      <c r="I424" s="958"/>
      <c r="J424" s="955"/>
      <c r="K424" s="958"/>
      <c r="L424" s="955"/>
      <c r="M424" s="180" t="s">
        <v>1283</v>
      </c>
      <c r="N424" s="521" t="s">
        <v>1284</v>
      </c>
      <c r="O424" s="180" t="s">
        <v>1283</v>
      </c>
      <c r="P424" s="521" t="s">
        <v>1284</v>
      </c>
      <c r="Q424" s="513" t="s">
        <v>67</v>
      </c>
      <c r="R424" s="112">
        <v>50</v>
      </c>
      <c r="S424" s="979"/>
      <c r="T424" s="949"/>
      <c r="U424" s="949"/>
      <c r="V424" s="135"/>
      <c r="W424" s="135"/>
      <c r="X424" s="135"/>
      <c r="Y424" s="136"/>
      <c r="Z424" s="136"/>
      <c r="AA424" s="292"/>
      <c r="AB424" s="136"/>
      <c r="AC424" s="136"/>
      <c r="AD424" s="293"/>
      <c r="AE424" s="136"/>
      <c r="AF424" s="136">
        <f>20000000+10000000</f>
        <v>30000000</v>
      </c>
      <c r="AG424" s="136"/>
      <c r="AH424" s="136"/>
      <c r="AI424" s="544"/>
      <c r="AJ424" s="879">
        <f>+V424+W424+X424+Y424+Z424+AA424+AB424+AC424+AD424+AE424+AF424+AG424+AH424</f>
        <v>30000000</v>
      </c>
      <c r="AK424" s="539" t="s">
        <v>1530</v>
      </c>
      <c r="AL424" s="60" t="s">
        <v>1239</v>
      </c>
      <c r="AM424" s="7"/>
    </row>
    <row r="425" spans="1:77" ht="69.75" customHeight="1" x14ac:dyDescent="0.2">
      <c r="A425" s="446"/>
      <c r="B425" s="451"/>
      <c r="C425" s="447"/>
      <c r="D425" s="259"/>
      <c r="E425" s="259"/>
      <c r="F425" s="439"/>
      <c r="G425" s="439"/>
      <c r="H425" s="953"/>
      <c r="I425" s="958"/>
      <c r="J425" s="955"/>
      <c r="K425" s="958"/>
      <c r="L425" s="955"/>
      <c r="M425" s="180" t="s">
        <v>1285</v>
      </c>
      <c r="N425" s="521" t="s">
        <v>1286</v>
      </c>
      <c r="O425" s="180" t="s">
        <v>1285</v>
      </c>
      <c r="P425" s="521" t="s">
        <v>1286</v>
      </c>
      <c r="Q425" s="513" t="s">
        <v>67</v>
      </c>
      <c r="R425" s="112">
        <v>50</v>
      </c>
      <c r="S425" s="979"/>
      <c r="T425" s="949"/>
      <c r="U425" s="949"/>
      <c r="V425" s="135"/>
      <c r="W425" s="135"/>
      <c r="X425" s="135"/>
      <c r="Y425" s="136"/>
      <c r="Z425" s="136"/>
      <c r="AA425" s="292"/>
      <c r="AB425" s="136"/>
      <c r="AC425" s="136"/>
      <c r="AD425" s="293"/>
      <c r="AE425" s="136"/>
      <c r="AF425" s="136">
        <v>20000000</v>
      </c>
      <c r="AG425" s="136"/>
      <c r="AH425" s="136"/>
      <c r="AI425" s="544"/>
      <c r="AJ425" s="879">
        <f>+V425+W425+X425+Y425+Z425+AA425+AB425+AC425+AD425+AE425+AF425+AG425+AH425</f>
        <v>20000000</v>
      </c>
      <c r="AK425" s="539" t="s">
        <v>1530</v>
      </c>
      <c r="AL425" s="60" t="s">
        <v>1239</v>
      </c>
      <c r="AM425" s="7"/>
    </row>
    <row r="426" spans="1:77" s="8" customFormat="1" ht="24" customHeight="1" x14ac:dyDescent="0.25">
      <c r="A426" s="115"/>
      <c r="B426" s="259"/>
      <c r="C426" s="78"/>
      <c r="D426" s="78"/>
      <c r="E426" s="78"/>
      <c r="F426" s="131">
        <v>3904</v>
      </c>
      <c r="G426" s="68" t="s">
        <v>783</v>
      </c>
      <c r="H426" s="68"/>
      <c r="I426" s="177"/>
      <c r="J426" s="595"/>
      <c r="K426" s="623"/>
      <c r="L426" s="595"/>
      <c r="M426" s="595"/>
      <c r="N426" s="590"/>
      <c r="O426" s="591"/>
      <c r="P426" s="590"/>
      <c r="Q426" s="624"/>
      <c r="R426" s="591"/>
      <c r="S426" s="625"/>
      <c r="T426" s="132"/>
      <c r="U426" s="132"/>
      <c r="V426" s="133">
        <f>+V427</f>
        <v>0</v>
      </c>
      <c r="W426" s="133">
        <f t="shared" ref="W426:AJ426" si="145">+W427</f>
        <v>0</v>
      </c>
      <c r="X426" s="133">
        <f t="shared" si="145"/>
        <v>0</v>
      </c>
      <c r="Y426" s="133">
        <f t="shared" si="145"/>
        <v>0</v>
      </c>
      <c r="Z426" s="133">
        <f t="shared" si="145"/>
        <v>0</v>
      </c>
      <c r="AA426" s="133">
        <f t="shared" si="145"/>
        <v>0</v>
      </c>
      <c r="AB426" s="133">
        <f t="shared" si="145"/>
        <v>0</v>
      </c>
      <c r="AC426" s="133">
        <f t="shared" si="145"/>
        <v>0</v>
      </c>
      <c r="AD426" s="133">
        <f t="shared" si="145"/>
        <v>0</v>
      </c>
      <c r="AE426" s="133">
        <f t="shared" si="145"/>
        <v>0</v>
      </c>
      <c r="AF426" s="133">
        <f t="shared" si="145"/>
        <v>18000000</v>
      </c>
      <c r="AG426" s="133">
        <f t="shared" si="145"/>
        <v>0</v>
      </c>
      <c r="AH426" s="133">
        <f t="shared" si="145"/>
        <v>0</v>
      </c>
      <c r="AI426" s="545"/>
      <c r="AJ426" s="880">
        <f t="shared" si="145"/>
        <v>18000000</v>
      </c>
      <c r="AK426" s="286"/>
      <c r="AL426" s="140"/>
      <c r="AM426" s="7"/>
      <c r="AN426" s="7"/>
      <c r="AO426" s="7"/>
      <c r="AP426" s="7"/>
      <c r="AQ426" s="7"/>
      <c r="AR426" s="7"/>
      <c r="AS426" s="7"/>
      <c r="AT426" s="7"/>
      <c r="AU426" s="7"/>
      <c r="AV426" s="7"/>
      <c r="AW426" s="7"/>
      <c r="AX426" s="7"/>
      <c r="AY426" s="7"/>
      <c r="AZ426" s="7"/>
      <c r="BA426" s="7"/>
      <c r="BB426" s="7"/>
      <c r="BC426" s="7"/>
      <c r="BD426" s="7"/>
      <c r="BE426" s="7"/>
      <c r="BF426" s="7"/>
      <c r="BG426" s="7"/>
      <c r="BH426" s="7"/>
      <c r="BI426" s="7"/>
      <c r="BJ426" s="7"/>
      <c r="BK426" s="7"/>
      <c r="BL426" s="7"/>
      <c r="BM426" s="7"/>
      <c r="BN426" s="7"/>
      <c r="BO426" s="7"/>
      <c r="BP426" s="7"/>
      <c r="BQ426" s="7"/>
      <c r="BR426" s="7"/>
      <c r="BS426" s="7"/>
      <c r="BT426" s="7"/>
      <c r="BU426" s="7"/>
      <c r="BV426" s="7"/>
      <c r="BW426" s="7"/>
      <c r="BX426" s="7"/>
      <c r="BY426" s="7"/>
    </row>
    <row r="427" spans="1:77" ht="94.5" customHeight="1" x14ac:dyDescent="0.2">
      <c r="A427" s="130"/>
      <c r="B427" s="78"/>
      <c r="C427" s="78"/>
      <c r="D427" s="78"/>
      <c r="E427" s="78"/>
      <c r="F427" s="74"/>
      <c r="G427" s="513"/>
      <c r="H427" s="506" t="s">
        <v>1287</v>
      </c>
      <c r="I427" s="511">
        <v>3904018</v>
      </c>
      <c r="J427" s="506" t="s">
        <v>1288</v>
      </c>
      <c r="K427" s="851">
        <v>3904018</v>
      </c>
      <c r="L427" s="849" t="s">
        <v>1288</v>
      </c>
      <c r="M427" s="694">
        <v>390401809</v>
      </c>
      <c r="N427" s="847" t="s">
        <v>1289</v>
      </c>
      <c r="O427" s="694">
        <v>390401809</v>
      </c>
      <c r="P427" s="847" t="s">
        <v>1289</v>
      </c>
      <c r="Q427" s="437" t="s">
        <v>67</v>
      </c>
      <c r="R427" s="223">
        <v>6</v>
      </c>
      <c r="S427" s="852" t="s">
        <v>1290</v>
      </c>
      <c r="T427" s="847" t="s">
        <v>1291</v>
      </c>
      <c r="U427" s="847" t="s">
        <v>1292</v>
      </c>
      <c r="V427" s="524"/>
      <c r="W427" s="524"/>
      <c r="X427" s="524"/>
      <c r="Y427" s="853"/>
      <c r="Z427" s="853"/>
      <c r="AA427" s="854"/>
      <c r="AB427" s="853"/>
      <c r="AC427" s="853"/>
      <c r="AD427" s="855"/>
      <c r="AE427" s="853"/>
      <c r="AF427" s="853">
        <v>18000000</v>
      </c>
      <c r="AG427" s="853"/>
      <c r="AH427" s="853"/>
      <c r="AI427" s="544"/>
      <c r="AJ427" s="879">
        <f>+V427+W427+X427+Y427+Z427+AA427+AB427+AC427+AD427+AE427+AF427+AG427+AH427</f>
        <v>18000000</v>
      </c>
      <c r="AK427" s="539" t="s">
        <v>1530</v>
      </c>
      <c r="AL427" s="60" t="s">
        <v>1239</v>
      </c>
      <c r="AM427" s="7"/>
    </row>
    <row r="428" spans="1:77" s="8" customFormat="1" ht="24" customHeight="1" x14ac:dyDescent="0.25">
      <c r="A428" s="115"/>
      <c r="B428" s="116">
        <v>4</v>
      </c>
      <c r="C428" s="116"/>
      <c r="D428" s="61" t="s">
        <v>42</v>
      </c>
      <c r="E428" s="157"/>
      <c r="F428" s="61"/>
      <c r="G428" s="163"/>
      <c r="H428" s="163"/>
      <c r="I428" s="366"/>
      <c r="J428" s="165"/>
      <c r="K428" s="859"/>
      <c r="L428" s="860"/>
      <c r="M428" s="860"/>
      <c r="N428" s="861"/>
      <c r="O428" s="862"/>
      <c r="P428" s="861"/>
      <c r="Q428" s="863"/>
      <c r="R428" s="862"/>
      <c r="S428" s="864"/>
      <c r="T428" s="861"/>
      <c r="U428" s="861"/>
      <c r="V428" s="549">
        <f>V429</f>
        <v>0</v>
      </c>
      <c r="W428" s="549">
        <f t="shared" ref="W428:AJ429" si="146">W429</f>
        <v>0</v>
      </c>
      <c r="X428" s="549">
        <f t="shared" si="146"/>
        <v>0</v>
      </c>
      <c r="Y428" s="549">
        <f t="shared" si="146"/>
        <v>0</v>
      </c>
      <c r="Z428" s="549">
        <f t="shared" si="146"/>
        <v>0</v>
      </c>
      <c r="AA428" s="549">
        <f t="shared" si="146"/>
        <v>0</v>
      </c>
      <c r="AB428" s="549">
        <f t="shared" si="146"/>
        <v>0</v>
      </c>
      <c r="AC428" s="549">
        <f t="shared" si="146"/>
        <v>0</v>
      </c>
      <c r="AD428" s="549">
        <f t="shared" si="146"/>
        <v>0</v>
      </c>
      <c r="AE428" s="549">
        <f t="shared" si="146"/>
        <v>0</v>
      </c>
      <c r="AF428" s="549">
        <f t="shared" si="146"/>
        <v>298000000</v>
      </c>
      <c r="AG428" s="549">
        <f t="shared" si="146"/>
        <v>0</v>
      </c>
      <c r="AH428" s="549">
        <f t="shared" si="146"/>
        <v>0</v>
      </c>
      <c r="AI428" s="549"/>
      <c r="AJ428" s="884">
        <f>AJ429</f>
        <v>298000000</v>
      </c>
      <c r="AK428" s="542"/>
      <c r="AL428" s="152"/>
      <c r="AM428" s="7"/>
      <c r="AN428" s="7"/>
      <c r="AO428" s="7"/>
      <c r="AP428" s="7"/>
      <c r="AQ428" s="7"/>
      <c r="AR428" s="7"/>
      <c r="AS428" s="7"/>
      <c r="AT428" s="7"/>
      <c r="AU428" s="7"/>
      <c r="AV428" s="7"/>
      <c r="AW428" s="7"/>
      <c r="AX428" s="7"/>
      <c r="AY428" s="7"/>
      <c r="AZ428" s="7"/>
      <c r="BA428" s="7"/>
      <c r="BB428" s="7"/>
      <c r="BC428" s="7"/>
      <c r="BD428" s="7"/>
      <c r="BE428" s="7"/>
      <c r="BF428" s="7"/>
      <c r="BG428" s="7"/>
      <c r="BH428" s="7"/>
      <c r="BI428" s="7"/>
      <c r="BJ428" s="7"/>
      <c r="BK428" s="7"/>
      <c r="BL428" s="7"/>
      <c r="BM428" s="7"/>
      <c r="BN428" s="7"/>
      <c r="BO428" s="7"/>
      <c r="BP428" s="7"/>
      <c r="BQ428" s="7"/>
      <c r="BR428" s="7"/>
      <c r="BS428" s="7"/>
      <c r="BT428" s="7"/>
      <c r="BU428" s="7"/>
      <c r="BV428" s="7"/>
      <c r="BW428" s="7"/>
      <c r="BX428" s="7"/>
      <c r="BY428" s="7"/>
    </row>
    <row r="429" spans="1:77" s="8" customFormat="1" ht="24" customHeight="1" x14ac:dyDescent="0.25">
      <c r="A429" s="115"/>
      <c r="B429" s="70"/>
      <c r="C429" s="70"/>
      <c r="D429" s="64">
        <v>23</v>
      </c>
      <c r="E429" s="62" t="s">
        <v>1231</v>
      </c>
      <c r="F429" s="62"/>
      <c r="G429" s="120"/>
      <c r="H429" s="120"/>
      <c r="I429" s="121"/>
      <c r="J429" s="123"/>
      <c r="K429" s="865"/>
      <c r="L429" s="866"/>
      <c r="M429" s="866"/>
      <c r="N429" s="867"/>
      <c r="O429" s="868"/>
      <c r="P429" s="867"/>
      <c r="Q429" s="869"/>
      <c r="R429" s="868"/>
      <c r="S429" s="870"/>
      <c r="T429" s="867"/>
      <c r="U429" s="867"/>
      <c r="V429" s="548">
        <f>V430</f>
        <v>0</v>
      </c>
      <c r="W429" s="548">
        <f t="shared" si="146"/>
        <v>0</v>
      </c>
      <c r="X429" s="548">
        <f t="shared" si="146"/>
        <v>0</v>
      </c>
      <c r="Y429" s="548">
        <f t="shared" si="146"/>
        <v>0</v>
      </c>
      <c r="Z429" s="548">
        <f t="shared" si="146"/>
        <v>0</v>
      </c>
      <c r="AA429" s="548">
        <f t="shared" si="146"/>
        <v>0</v>
      </c>
      <c r="AB429" s="548">
        <f t="shared" si="146"/>
        <v>0</v>
      </c>
      <c r="AC429" s="548">
        <f t="shared" si="146"/>
        <v>0</v>
      </c>
      <c r="AD429" s="548">
        <f t="shared" si="146"/>
        <v>0</v>
      </c>
      <c r="AE429" s="548">
        <f t="shared" si="146"/>
        <v>0</v>
      </c>
      <c r="AF429" s="548">
        <f t="shared" si="146"/>
        <v>298000000</v>
      </c>
      <c r="AG429" s="548">
        <f t="shared" si="146"/>
        <v>0</v>
      </c>
      <c r="AH429" s="548">
        <f t="shared" si="146"/>
        <v>0</v>
      </c>
      <c r="AI429" s="548"/>
      <c r="AJ429" s="883">
        <f t="shared" si="146"/>
        <v>298000000</v>
      </c>
      <c r="AK429" s="170"/>
      <c r="AL429" s="153"/>
      <c r="AM429" s="7"/>
      <c r="AN429" s="7"/>
      <c r="AO429" s="7"/>
      <c r="AP429" s="7"/>
      <c r="AQ429" s="7"/>
      <c r="AR429" s="7"/>
      <c r="AS429" s="7"/>
      <c r="AT429" s="7"/>
      <c r="AU429" s="7"/>
      <c r="AV429" s="7"/>
      <c r="AW429" s="7"/>
      <c r="AX429" s="7"/>
      <c r="AY429" s="7"/>
      <c r="AZ429" s="7"/>
      <c r="BA429" s="7"/>
      <c r="BB429" s="7"/>
      <c r="BC429" s="7"/>
      <c r="BD429" s="7"/>
      <c r="BE429" s="7"/>
      <c r="BF429" s="7"/>
      <c r="BG429" s="7"/>
      <c r="BH429" s="7"/>
      <c r="BI429" s="7"/>
      <c r="BJ429" s="7"/>
      <c r="BK429" s="7"/>
      <c r="BL429" s="7"/>
      <c r="BM429" s="7"/>
      <c r="BN429" s="7"/>
      <c r="BO429" s="7"/>
      <c r="BP429" s="7"/>
      <c r="BQ429" s="7"/>
      <c r="BR429" s="7"/>
      <c r="BS429" s="7"/>
      <c r="BT429" s="7"/>
      <c r="BU429" s="7"/>
      <c r="BV429" s="7"/>
      <c r="BW429" s="7"/>
      <c r="BX429" s="7"/>
      <c r="BY429" s="7"/>
    </row>
    <row r="430" spans="1:77" s="8" customFormat="1" ht="24" customHeight="1" x14ac:dyDescent="0.25">
      <c r="A430" s="115"/>
      <c r="B430" s="78"/>
      <c r="C430" s="78"/>
      <c r="D430" s="78"/>
      <c r="E430" s="78"/>
      <c r="F430" s="131">
        <v>2302</v>
      </c>
      <c r="G430" s="68" t="s">
        <v>1527</v>
      </c>
      <c r="H430" s="68"/>
      <c r="I430" s="177"/>
      <c r="J430" s="177"/>
      <c r="K430" s="871"/>
      <c r="L430" s="871"/>
      <c r="M430" s="871"/>
      <c r="N430" s="872"/>
      <c r="O430" s="873"/>
      <c r="P430" s="872"/>
      <c r="Q430" s="874"/>
      <c r="R430" s="873"/>
      <c r="S430" s="875"/>
      <c r="T430" s="872"/>
      <c r="U430" s="872"/>
      <c r="V430" s="545">
        <f>SUM(V431:V436)</f>
        <v>0</v>
      </c>
      <c r="W430" s="545">
        <f t="shared" ref="W430:AJ430" si="147">SUM(W431:W436)</f>
        <v>0</v>
      </c>
      <c r="X430" s="545">
        <f t="shared" si="147"/>
        <v>0</v>
      </c>
      <c r="Y430" s="545">
        <f t="shared" si="147"/>
        <v>0</v>
      </c>
      <c r="Z430" s="545">
        <f t="shared" si="147"/>
        <v>0</v>
      </c>
      <c r="AA430" s="545">
        <f t="shared" si="147"/>
        <v>0</v>
      </c>
      <c r="AB430" s="545">
        <f t="shared" si="147"/>
        <v>0</v>
      </c>
      <c r="AC430" s="545">
        <f t="shared" si="147"/>
        <v>0</v>
      </c>
      <c r="AD430" s="545">
        <f t="shared" si="147"/>
        <v>0</v>
      </c>
      <c r="AE430" s="545">
        <f t="shared" si="147"/>
        <v>0</v>
      </c>
      <c r="AF430" s="545">
        <f t="shared" si="147"/>
        <v>298000000</v>
      </c>
      <c r="AG430" s="545">
        <f t="shared" si="147"/>
        <v>0</v>
      </c>
      <c r="AH430" s="545">
        <f t="shared" si="147"/>
        <v>0</v>
      </c>
      <c r="AI430" s="545"/>
      <c r="AJ430" s="880">
        <f t="shared" si="147"/>
        <v>298000000</v>
      </c>
      <c r="AK430" s="286">
        <f>SUM(AK431:AK436)</f>
        <v>0</v>
      </c>
      <c r="AL430" s="140">
        <f>SUM(AL431:AL436)</f>
        <v>0</v>
      </c>
      <c r="AM430" s="7"/>
      <c r="AN430" s="7"/>
      <c r="AO430" s="7"/>
      <c r="AP430" s="7"/>
      <c r="AQ430" s="7"/>
      <c r="AR430" s="7"/>
      <c r="AS430" s="7"/>
      <c r="AT430" s="7"/>
      <c r="AU430" s="7"/>
      <c r="AV430" s="7"/>
      <c r="AW430" s="7"/>
      <c r="AX430" s="7"/>
      <c r="AY430" s="7"/>
      <c r="AZ430" s="7"/>
      <c r="BA430" s="7"/>
      <c r="BB430" s="7"/>
      <c r="BC430" s="7"/>
      <c r="BD430" s="7"/>
      <c r="BE430" s="7"/>
      <c r="BF430" s="7"/>
      <c r="BG430" s="7"/>
      <c r="BH430" s="7"/>
      <c r="BI430" s="7"/>
      <c r="BJ430" s="7"/>
      <c r="BK430" s="7"/>
      <c r="BL430" s="7"/>
      <c r="BM430" s="7"/>
      <c r="BN430" s="7"/>
      <c r="BO430" s="7"/>
      <c r="BP430" s="7"/>
      <c r="BQ430" s="7"/>
      <c r="BR430" s="7"/>
      <c r="BS430" s="7"/>
      <c r="BT430" s="7"/>
      <c r="BU430" s="7"/>
      <c r="BV430" s="7"/>
      <c r="BW430" s="7"/>
      <c r="BX430" s="7"/>
      <c r="BY430" s="7"/>
    </row>
    <row r="431" spans="1:77" ht="54.75" customHeight="1" x14ac:dyDescent="0.2">
      <c r="A431" s="130"/>
      <c r="B431" s="78"/>
      <c r="C431" s="78"/>
      <c r="D431" s="78"/>
      <c r="E431" s="78"/>
      <c r="F431" s="74"/>
      <c r="G431" s="513"/>
      <c r="H431" s="506" t="s">
        <v>1293</v>
      </c>
      <c r="I431" s="511">
        <v>2302003</v>
      </c>
      <c r="J431" s="506" t="s">
        <v>1294</v>
      </c>
      <c r="K431" s="109">
        <v>2302003</v>
      </c>
      <c r="L431" s="850" t="s">
        <v>1294</v>
      </c>
      <c r="M431" s="856">
        <v>230200300</v>
      </c>
      <c r="N431" s="848" t="s">
        <v>1295</v>
      </c>
      <c r="O431" s="856">
        <v>230200300</v>
      </c>
      <c r="P431" s="848" t="s">
        <v>1295</v>
      </c>
      <c r="Q431" s="439" t="s">
        <v>67</v>
      </c>
      <c r="R431" s="202">
        <v>2</v>
      </c>
      <c r="S431" s="985" t="s">
        <v>1296</v>
      </c>
      <c r="T431" s="980" t="s">
        <v>1297</v>
      </c>
      <c r="U431" s="980" t="s">
        <v>1298</v>
      </c>
      <c r="V431" s="264"/>
      <c r="W431" s="264"/>
      <c r="X431" s="264"/>
      <c r="Y431" s="268"/>
      <c r="Z431" s="268"/>
      <c r="AA431" s="857"/>
      <c r="AB431" s="268"/>
      <c r="AC431" s="268"/>
      <c r="AD431" s="858"/>
      <c r="AE431" s="268"/>
      <c r="AF431" s="268">
        <v>120000000</v>
      </c>
      <c r="AG431" s="268"/>
      <c r="AH431" s="268"/>
      <c r="AI431" s="544"/>
      <c r="AJ431" s="879">
        <f t="shared" ref="AJ431:AJ436" si="148">+V431+W431+X431+Y431+Z431+AA431+AB431+AC431+AD431+AE431+AF431+AG431+AH431</f>
        <v>120000000</v>
      </c>
      <c r="AK431" s="539" t="s">
        <v>1530</v>
      </c>
      <c r="AL431" s="60" t="s">
        <v>1239</v>
      </c>
      <c r="AM431" s="7"/>
    </row>
    <row r="432" spans="1:77" ht="93" customHeight="1" x14ac:dyDescent="0.2">
      <c r="A432" s="130"/>
      <c r="B432" s="78"/>
      <c r="C432" s="78"/>
      <c r="D432" s="78"/>
      <c r="E432" s="78"/>
      <c r="F432" s="74"/>
      <c r="G432" s="513"/>
      <c r="H432" s="506" t="s">
        <v>1293</v>
      </c>
      <c r="I432" s="511">
        <v>2302033</v>
      </c>
      <c r="J432" s="506" t="s">
        <v>1299</v>
      </c>
      <c r="K432" s="511">
        <v>2302033</v>
      </c>
      <c r="L432" s="506" t="s">
        <v>1299</v>
      </c>
      <c r="M432" s="180">
        <v>230203300</v>
      </c>
      <c r="N432" s="505" t="s">
        <v>1300</v>
      </c>
      <c r="O432" s="180">
        <v>230203300</v>
      </c>
      <c r="P432" s="505" t="s">
        <v>1300</v>
      </c>
      <c r="Q432" s="513" t="s">
        <v>51</v>
      </c>
      <c r="R432" s="112">
        <v>100</v>
      </c>
      <c r="S432" s="979"/>
      <c r="T432" s="949"/>
      <c r="U432" s="949"/>
      <c r="V432" s="135"/>
      <c r="W432" s="135"/>
      <c r="X432" s="135"/>
      <c r="Y432" s="136"/>
      <c r="Z432" s="136"/>
      <c r="AA432" s="292"/>
      <c r="AB432" s="136"/>
      <c r="AC432" s="136"/>
      <c r="AD432" s="293"/>
      <c r="AE432" s="136"/>
      <c r="AF432" s="136">
        <v>50000000</v>
      </c>
      <c r="AG432" s="136"/>
      <c r="AH432" s="136"/>
      <c r="AI432" s="544"/>
      <c r="AJ432" s="879">
        <f t="shared" si="148"/>
        <v>50000000</v>
      </c>
      <c r="AK432" s="539" t="s">
        <v>1530</v>
      </c>
      <c r="AL432" s="60" t="s">
        <v>1239</v>
      </c>
      <c r="AM432" s="7"/>
    </row>
    <row r="433" spans="1:77" ht="132" customHeight="1" x14ac:dyDescent="0.2">
      <c r="A433" s="130"/>
      <c r="B433" s="78"/>
      <c r="C433" s="78"/>
      <c r="D433" s="78"/>
      <c r="E433" s="78"/>
      <c r="F433" s="74"/>
      <c r="G433" s="513"/>
      <c r="H433" s="506" t="s">
        <v>1293</v>
      </c>
      <c r="I433" s="511">
        <v>2302066</v>
      </c>
      <c r="J433" s="506" t="s">
        <v>1301</v>
      </c>
      <c r="K433" s="511">
        <v>2302066</v>
      </c>
      <c r="L433" s="506" t="s">
        <v>1301</v>
      </c>
      <c r="M433" s="180">
        <v>230206600</v>
      </c>
      <c r="N433" s="505" t="s">
        <v>1302</v>
      </c>
      <c r="O433" s="180">
        <v>230206600</v>
      </c>
      <c r="P433" s="505" t="s">
        <v>1302</v>
      </c>
      <c r="Q433" s="95" t="s">
        <v>67</v>
      </c>
      <c r="R433" s="112">
        <v>50</v>
      </c>
      <c r="S433" s="979"/>
      <c r="T433" s="949"/>
      <c r="U433" s="949"/>
      <c r="V433" s="135"/>
      <c r="W433" s="135"/>
      <c r="X433" s="135"/>
      <c r="Y433" s="136"/>
      <c r="Z433" s="136"/>
      <c r="AA433" s="292"/>
      <c r="AB433" s="136"/>
      <c r="AC433" s="136"/>
      <c r="AD433" s="293"/>
      <c r="AE433" s="136"/>
      <c r="AF433" s="136">
        <v>60000000</v>
      </c>
      <c r="AG433" s="136"/>
      <c r="AH433" s="136"/>
      <c r="AI433" s="544"/>
      <c r="AJ433" s="879">
        <f t="shared" si="148"/>
        <v>60000000</v>
      </c>
      <c r="AK433" s="539" t="s">
        <v>1530</v>
      </c>
      <c r="AL433" s="60" t="s">
        <v>1239</v>
      </c>
      <c r="AM433" s="7"/>
    </row>
    <row r="434" spans="1:77" ht="108" customHeight="1" x14ac:dyDescent="0.2">
      <c r="A434" s="130"/>
      <c r="B434" s="78"/>
      <c r="C434" s="78"/>
      <c r="D434" s="78"/>
      <c r="E434" s="78"/>
      <c r="F434" s="74"/>
      <c r="G434" s="513"/>
      <c r="H434" s="506" t="s">
        <v>1293</v>
      </c>
      <c r="I434" s="511">
        <v>2302004</v>
      </c>
      <c r="J434" s="506" t="s">
        <v>1303</v>
      </c>
      <c r="K434" s="511">
        <v>2302004</v>
      </c>
      <c r="L434" s="506" t="s">
        <v>1303</v>
      </c>
      <c r="M434" s="180">
        <v>230200403</v>
      </c>
      <c r="N434" s="505" t="s">
        <v>1304</v>
      </c>
      <c r="O434" s="180">
        <v>230200403</v>
      </c>
      <c r="P434" s="505" t="s">
        <v>1304</v>
      </c>
      <c r="Q434" s="513" t="s">
        <v>51</v>
      </c>
      <c r="R434" s="112">
        <v>1</v>
      </c>
      <c r="S434" s="979"/>
      <c r="T434" s="949"/>
      <c r="U434" s="949"/>
      <c r="V434" s="135"/>
      <c r="W434" s="135"/>
      <c r="X434" s="135"/>
      <c r="Y434" s="136"/>
      <c r="Z434" s="136"/>
      <c r="AA434" s="292"/>
      <c r="AB434" s="136"/>
      <c r="AC434" s="136"/>
      <c r="AD434" s="293"/>
      <c r="AE434" s="136"/>
      <c r="AF434" s="136">
        <v>25000000</v>
      </c>
      <c r="AG434" s="136"/>
      <c r="AH434" s="136"/>
      <c r="AI434" s="544"/>
      <c r="AJ434" s="879">
        <f t="shared" si="148"/>
        <v>25000000</v>
      </c>
      <c r="AK434" s="539" t="s">
        <v>1530</v>
      </c>
      <c r="AL434" s="60" t="s">
        <v>1239</v>
      </c>
      <c r="AM434" s="7"/>
    </row>
    <row r="435" spans="1:77" ht="149.25" customHeight="1" x14ac:dyDescent="0.2">
      <c r="A435" s="130"/>
      <c r="B435" s="78"/>
      <c r="C435" s="78"/>
      <c r="D435" s="78"/>
      <c r="E435" s="78"/>
      <c r="F435" s="74"/>
      <c r="G435" s="513"/>
      <c r="H435" s="506" t="s">
        <v>1293</v>
      </c>
      <c r="I435" s="180">
        <v>2302007</v>
      </c>
      <c r="J435" s="506" t="s">
        <v>1305</v>
      </c>
      <c r="K435" s="511">
        <v>2302007</v>
      </c>
      <c r="L435" s="506" t="s">
        <v>1305</v>
      </c>
      <c r="M435" s="180">
        <v>230200701</v>
      </c>
      <c r="N435" s="505" t="s">
        <v>1306</v>
      </c>
      <c r="O435" s="180">
        <v>230200701</v>
      </c>
      <c r="P435" s="505" t="s">
        <v>1306</v>
      </c>
      <c r="Q435" s="513" t="s">
        <v>51</v>
      </c>
      <c r="R435" s="112">
        <v>1</v>
      </c>
      <c r="S435" s="979"/>
      <c r="T435" s="949"/>
      <c r="U435" s="949"/>
      <c r="V435" s="135"/>
      <c r="W435" s="135"/>
      <c r="X435" s="135"/>
      <c r="Y435" s="136"/>
      <c r="Z435" s="136"/>
      <c r="AA435" s="292"/>
      <c r="AB435" s="136"/>
      <c r="AC435" s="136"/>
      <c r="AD435" s="293"/>
      <c r="AE435" s="136"/>
      <c r="AF435" s="136">
        <v>25000000</v>
      </c>
      <c r="AG435" s="136"/>
      <c r="AH435" s="136"/>
      <c r="AI435" s="544"/>
      <c r="AJ435" s="879">
        <f t="shared" si="148"/>
        <v>25000000</v>
      </c>
      <c r="AK435" s="539" t="s">
        <v>1530</v>
      </c>
      <c r="AL435" s="60" t="s">
        <v>1239</v>
      </c>
      <c r="AM435" s="7"/>
    </row>
    <row r="436" spans="1:77" ht="72" customHeight="1" x14ac:dyDescent="0.2">
      <c r="A436" s="130"/>
      <c r="B436" s="78"/>
      <c r="C436" s="78"/>
      <c r="D436" s="78"/>
      <c r="E436" s="78"/>
      <c r="F436" s="74"/>
      <c r="G436" s="513"/>
      <c r="H436" s="506" t="s">
        <v>1293</v>
      </c>
      <c r="I436" s="511">
        <v>2302083</v>
      </c>
      <c r="J436" s="506" t="s">
        <v>95</v>
      </c>
      <c r="K436" s="511">
        <v>2302083</v>
      </c>
      <c r="L436" s="506" t="s">
        <v>95</v>
      </c>
      <c r="M436" s="180">
        <v>230208300</v>
      </c>
      <c r="N436" s="505" t="s">
        <v>552</v>
      </c>
      <c r="O436" s="180">
        <v>230208300</v>
      </c>
      <c r="P436" s="505" t="s">
        <v>552</v>
      </c>
      <c r="Q436" s="513" t="s">
        <v>51</v>
      </c>
      <c r="R436" s="112">
        <v>1</v>
      </c>
      <c r="S436" s="979"/>
      <c r="T436" s="949"/>
      <c r="U436" s="949"/>
      <c r="V436" s="135"/>
      <c r="W436" s="135"/>
      <c r="X436" s="135"/>
      <c r="Y436" s="136"/>
      <c r="Z436" s="136"/>
      <c r="AA436" s="292"/>
      <c r="AB436" s="136"/>
      <c r="AC436" s="136"/>
      <c r="AD436" s="293"/>
      <c r="AE436" s="136"/>
      <c r="AF436" s="136">
        <v>18000000</v>
      </c>
      <c r="AG436" s="136"/>
      <c r="AH436" s="136"/>
      <c r="AI436" s="544"/>
      <c r="AJ436" s="879">
        <f t="shared" si="148"/>
        <v>18000000</v>
      </c>
      <c r="AK436" s="539" t="s">
        <v>1530</v>
      </c>
      <c r="AL436" s="60" t="s">
        <v>1239</v>
      </c>
      <c r="AM436" s="7"/>
    </row>
    <row r="437" spans="1:77" s="25" customFormat="1" ht="30" customHeight="1" x14ac:dyDescent="0.25">
      <c r="A437" s="960" t="s">
        <v>1307</v>
      </c>
      <c r="B437" s="961"/>
      <c r="C437" s="961"/>
      <c r="D437" s="961"/>
      <c r="E437" s="961"/>
      <c r="F437" s="961"/>
      <c r="G437" s="962"/>
      <c r="H437" s="335"/>
      <c r="I437" s="335"/>
      <c r="J437" s="337"/>
      <c r="K437" s="336"/>
      <c r="L437" s="337"/>
      <c r="M437" s="337"/>
      <c r="N437" s="338"/>
      <c r="O437" s="336"/>
      <c r="P437" s="338"/>
      <c r="Q437" s="339"/>
      <c r="R437" s="336"/>
      <c r="S437" s="340"/>
      <c r="T437" s="337"/>
      <c r="U437" s="337"/>
      <c r="V437" s="341">
        <f t="shared" ref="V437:AJ437" si="149">+V401+V333+V278+V233+V224+V166+V147+V131+V88+V44+V37+V19+V9</f>
        <v>12724444384.490002</v>
      </c>
      <c r="W437" s="341">
        <f t="shared" si="149"/>
        <v>4387879528.3299999</v>
      </c>
      <c r="X437" s="341">
        <f t="shared" si="149"/>
        <v>56108067</v>
      </c>
      <c r="Y437" s="341">
        <f t="shared" si="149"/>
        <v>2373920278.6599998</v>
      </c>
      <c r="Z437" s="341">
        <f t="shared" si="149"/>
        <v>6474048726.8999996</v>
      </c>
      <c r="AA437" s="342">
        <f t="shared" si="149"/>
        <v>37641943531.420006</v>
      </c>
      <c r="AB437" s="341">
        <f t="shared" si="149"/>
        <v>143579499577.42001</v>
      </c>
      <c r="AC437" s="342">
        <f t="shared" si="149"/>
        <v>25145000000</v>
      </c>
      <c r="AD437" s="341">
        <f t="shared" si="149"/>
        <v>11590214233.049999</v>
      </c>
      <c r="AE437" s="343">
        <f t="shared" si="149"/>
        <v>2895159641.6800003</v>
      </c>
      <c r="AF437" s="343">
        <f t="shared" si="149"/>
        <v>32820846275.190002</v>
      </c>
      <c r="AG437" s="343">
        <f t="shared" si="149"/>
        <v>1268304311.01</v>
      </c>
      <c r="AH437" s="343">
        <f t="shared" si="149"/>
        <v>9805514266.8999996</v>
      </c>
      <c r="AI437" s="778"/>
      <c r="AJ437" s="550">
        <f t="shared" si="149"/>
        <v>291418489407.71008</v>
      </c>
      <c r="AK437" s="543"/>
      <c r="AL437" s="344">
        <f>+AL401+AL333+AL278+AL233+AL224+AL166+AL147+AL131+AL88+AL44+AL37+AL19+AL9</f>
        <v>0</v>
      </c>
      <c r="AM437" s="7"/>
      <c r="AN437" s="24"/>
      <c r="AO437" s="24"/>
      <c r="AP437" s="24"/>
      <c r="AQ437" s="24"/>
      <c r="AR437" s="24"/>
      <c r="AS437" s="24"/>
      <c r="AT437" s="24"/>
      <c r="AU437" s="24"/>
      <c r="AV437" s="24"/>
      <c r="AW437" s="24"/>
      <c r="AX437" s="24"/>
      <c r="AY437" s="24"/>
      <c r="AZ437" s="24"/>
      <c r="BA437" s="24"/>
      <c r="BB437" s="24"/>
      <c r="BC437" s="24"/>
      <c r="BD437" s="24"/>
      <c r="BE437" s="24"/>
      <c r="BF437" s="24"/>
      <c r="BG437" s="24"/>
      <c r="BH437" s="24"/>
      <c r="BI437" s="24"/>
      <c r="BJ437" s="24"/>
      <c r="BK437" s="24"/>
      <c r="BL437" s="24"/>
      <c r="BM437" s="24"/>
      <c r="BN437" s="24"/>
      <c r="BO437" s="24"/>
      <c r="BP437" s="24"/>
      <c r="BQ437" s="24"/>
      <c r="BR437" s="24"/>
      <c r="BS437" s="24"/>
      <c r="BT437" s="24"/>
      <c r="BU437" s="24"/>
      <c r="BV437" s="24"/>
      <c r="BW437" s="24"/>
      <c r="BX437" s="24"/>
      <c r="BY437" s="24"/>
    </row>
    <row r="438" spans="1:77" s="436" customFormat="1" ht="16.5" customHeight="1" x14ac:dyDescent="0.25">
      <c r="A438" s="432"/>
      <c r="B438" s="432"/>
      <c r="C438" s="432"/>
      <c r="D438" s="432"/>
      <c r="E438" s="432"/>
      <c r="F438" s="432"/>
      <c r="G438" s="432"/>
      <c r="H438" s="433"/>
      <c r="I438" s="432"/>
      <c r="J438" s="432"/>
      <c r="K438" s="432"/>
      <c r="L438" s="432"/>
      <c r="M438" s="432"/>
      <c r="N438" s="432"/>
      <c r="O438" s="432"/>
      <c r="P438" s="432"/>
      <c r="Q438" s="434"/>
      <c r="R438" s="432"/>
      <c r="S438" s="434"/>
      <c r="T438" s="434"/>
      <c r="U438" s="434"/>
      <c r="V438" s="435"/>
      <c r="W438" s="435"/>
      <c r="X438" s="435"/>
      <c r="Y438" s="435"/>
      <c r="Z438" s="435"/>
      <c r="AA438" s="435"/>
      <c r="AB438" s="435"/>
      <c r="AC438" s="435"/>
      <c r="AD438" s="435"/>
      <c r="AE438" s="435"/>
      <c r="AF438" s="435"/>
      <c r="AG438" s="435"/>
      <c r="AH438" s="435"/>
      <c r="AI438" s="435"/>
      <c r="AJ438" s="435"/>
      <c r="AK438" s="435"/>
      <c r="AL438" s="435"/>
      <c r="AM438" s="7"/>
    </row>
    <row r="439" spans="1:77" s="365" customFormat="1" ht="24" customHeight="1" x14ac:dyDescent="0.2">
      <c r="A439" s="356" t="s">
        <v>1308</v>
      </c>
      <c r="B439" s="356"/>
      <c r="C439" s="356"/>
      <c r="D439" s="356"/>
      <c r="E439" s="356"/>
      <c r="F439" s="355"/>
      <c r="G439" s="368"/>
      <c r="H439" s="369"/>
      <c r="I439" s="369"/>
      <c r="J439" s="369"/>
      <c r="K439" s="370"/>
      <c r="L439" s="369"/>
      <c r="M439" s="369"/>
      <c r="N439" s="372"/>
      <c r="O439" s="371"/>
      <c r="P439" s="372"/>
      <c r="Q439" s="373"/>
      <c r="R439" s="371"/>
      <c r="S439" s="368"/>
      <c r="T439" s="372"/>
      <c r="U439" s="372"/>
      <c r="V439" s="374">
        <f t="shared" ref="V439:AJ439" si="150">+V440</f>
        <v>6651616460</v>
      </c>
      <c r="W439" s="374">
        <f t="shared" si="150"/>
        <v>0</v>
      </c>
      <c r="X439" s="374">
        <f t="shared" si="150"/>
        <v>0</v>
      </c>
      <c r="Y439" s="374">
        <f t="shared" si="150"/>
        <v>0</v>
      </c>
      <c r="Z439" s="374">
        <f t="shared" si="150"/>
        <v>0</v>
      </c>
      <c r="AA439" s="374">
        <f t="shared" si="150"/>
        <v>0</v>
      </c>
      <c r="AB439" s="374">
        <f t="shared" si="150"/>
        <v>0</v>
      </c>
      <c r="AC439" s="374">
        <f t="shared" si="150"/>
        <v>0</v>
      </c>
      <c r="AD439" s="374">
        <f t="shared" si="150"/>
        <v>0</v>
      </c>
      <c r="AE439" s="374">
        <f t="shared" si="150"/>
        <v>0</v>
      </c>
      <c r="AF439" s="374">
        <f t="shared" si="150"/>
        <v>1047130260.64</v>
      </c>
      <c r="AG439" s="374">
        <f t="shared" si="150"/>
        <v>4312107593.5500002</v>
      </c>
      <c r="AH439" s="374">
        <f t="shared" si="150"/>
        <v>1000000000</v>
      </c>
      <c r="AI439" s="374">
        <f t="shared" si="150"/>
        <v>0</v>
      </c>
      <c r="AJ439" s="374">
        <f t="shared" si="150"/>
        <v>13010854314.189999</v>
      </c>
      <c r="AK439" s="374"/>
      <c r="AL439" s="375"/>
      <c r="AM439" s="7"/>
      <c r="AN439" s="364"/>
      <c r="AO439" s="364"/>
      <c r="AP439" s="364"/>
      <c r="AQ439" s="364"/>
      <c r="AR439" s="364"/>
      <c r="AS439" s="364"/>
      <c r="AT439" s="364"/>
      <c r="AU439" s="364"/>
      <c r="AV439" s="364"/>
      <c r="AW439" s="364"/>
      <c r="AX439" s="364"/>
      <c r="AY439" s="364"/>
      <c r="AZ439" s="364"/>
      <c r="BA439" s="364"/>
      <c r="BB439" s="364"/>
      <c r="BC439" s="364"/>
      <c r="BD439" s="364"/>
      <c r="BE439" s="364"/>
      <c r="BF439" s="364"/>
      <c r="BG439" s="364"/>
      <c r="BH439" s="364"/>
      <c r="BI439" s="364"/>
      <c r="BJ439" s="364"/>
      <c r="BK439" s="364"/>
      <c r="BL439" s="364"/>
      <c r="BM439" s="364"/>
      <c r="BN439" s="364"/>
      <c r="BO439" s="364"/>
      <c r="BP439" s="364"/>
      <c r="BQ439" s="364"/>
      <c r="BR439" s="364"/>
      <c r="BS439" s="364"/>
      <c r="BT439" s="364"/>
      <c r="BU439" s="364"/>
      <c r="BV439" s="364"/>
      <c r="BW439" s="364"/>
      <c r="BX439" s="364"/>
      <c r="BY439" s="364"/>
    </row>
    <row r="440" spans="1:77" ht="24" customHeight="1" x14ac:dyDescent="0.2">
      <c r="A440" s="130"/>
      <c r="B440" s="116">
        <v>1</v>
      </c>
      <c r="C440" s="116"/>
      <c r="D440" s="61" t="s">
        <v>148</v>
      </c>
      <c r="E440" s="157"/>
      <c r="F440" s="61"/>
      <c r="G440" s="163"/>
      <c r="H440" s="163"/>
      <c r="I440" s="366"/>
      <c r="J440" s="165"/>
      <c r="K440" s="164"/>
      <c r="L440" s="165"/>
      <c r="M440" s="165"/>
      <c r="N440" s="167"/>
      <c r="O440" s="166"/>
      <c r="P440" s="167"/>
      <c r="Q440" s="168"/>
      <c r="R440" s="166"/>
      <c r="S440" s="626"/>
      <c r="T440" s="118"/>
      <c r="U440" s="118"/>
      <c r="V440" s="119">
        <f>V441</f>
        <v>6651616460</v>
      </c>
      <c r="W440" s="119">
        <f t="shared" ref="W440:AJ440" si="151">W441</f>
        <v>0</v>
      </c>
      <c r="X440" s="119">
        <f t="shared" si="151"/>
        <v>0</v>
      </c>
      <c r="Y440" s="119">
        <f t="shared" si="151"/>
        <v>0</v>
      </c>
      <c r="Z440" s="119">
        <f t="shared" si="151"/>
        <v>0</v>
      </c>
      <c r="AA440" s="119">
        <f t="shared" si="151"/>
        <v>0</v>
      </c>
      <c r="AB440" s="119">
        <f t="shared" si="151"/>
        <v>0</v>
      </c>
      <c r="AC440" s="119">
        <f t="shared" si="151"/>
        <v>0</v>
      </c>
      <c r="AD440" s="119">
        <f t="shared" si="151"/>
        <v>0</v>
      </c>
      <c r="AE440" s="119">
        <f t="shared" si="151"/>
        <v>0</v>
      </c>
      <c r="AF440" s="119">
        <f t="shared" si="151"/>
        <v>1047130260.64</v>
      </c>
      <c r="AG440" s="119">
        <f t="shared" si="151"/>
        <v>4312107593.5500002</v>
      </c>
      <c r="AH440" s="119">
        <f t="shared" si="151"/>
        <v>1000000000</v>
      </c>
      <c r="AI440" s="119">
        <f t="shared" si="151"/>
        <v>0</v>
      </c>
      <c r="AJ440" s="119">
        <f t="shared" si="151"/>
        <v>13010854314.189999</v>
      </c>
      <c r="AK440" s="119"/>
      <c r="AL440" s="152"/>
      <c r="AM440" s="7"/>
    </row>
    <row r="441" spans="1:77" s="8" customFormat="1" ht="24" customHeight="1" x14ac:dyDescent="0.25">
      <c r="A441" s="115"/>
      <c r="B441" s="70"/>
      <c r="C441" s="70"/>
      <c r="D441" s="64">
        <v>43</v>
      </c>
      <c r="E441" s="62" t="s">
        <v>189</v>
      </c>
      <c r="F441" s="62"/>
      <c r="G441" s="120"/>
      <c r="H441" s="120"/>
      <c r="I441" s="121"/>
      <c r="J441" s="123"/>
      <c r="K441" s="122"/>
      <c r="L441" s="123"/>
      <c r="M441" s="123"/>
      <c r="N441" s="125"/>
      <c r="O441" s="124"/>
      <c r="P441" s="125"/>
      <c r="Q441" s="126"/>
      <c r="R441" s="124"/>
      <c r="S441" s="186"/>
      <c r="T441" s="128"/>
      <c r="U441" s="128"/>
      <c r="V441" s="129">
        <f>V442+V447</f>
        <v>6651616460</v>
      </c>
      <c r="W441" s="129">
        <f t="shared" ref="W441:AH441" si="152">W442+W447</f>
        <v>0</v>
      </c>
      <c r="X441" s="129">
        <f t="shared" si="152"/>
        <v>0</v>
      </c>
      <c r="Y441" s="129">
        <f t="shared" si="152"/>
        <v>0</v>
      </c>
      <c r="Z441" s="129">
        <f t="shared" si="152"/>
        <v>0</v>
      </c>
      <c r="AA441" s="129">
        <f t="shared" si="152"/>
        <v>0</v>
      </c>
      <c r="AB441" s="129">
        <f t="shared" si="152"/>
        <v>0</v>
      </c>
      <c r="AC441" s="129">
        <f t="shared" si="152"/>
        <v>0</v>
      </c>
      <c r="AD441" s="129">
        <f t="shared" si="152"/>
        <v>0</v>
      </c>
      <c r="AE441" s="129">
        <f t="shared" si="152"/>
        <v>0</v>
      </c>
      <c r="AF441" s="129">
        <f>AF442+AF447</f>
        <v>1047130260.64</v>
      </c>
      <c r="AG441" s="129">
        <f t="shared" si="152"/>
        <v>4312107593.5500002</v>
      </c>
      <c r="AH441" s="129">
        <f t="shared" si="152"/>
        <v>1000000000</v>
      </c>
      <c r="AI441" s="129">
        <f t="shared" ref="AI441:AJ441" si="153">AI442+AI447</f>
        <v>0</v>
      </c>
      <c r="AJ441" s="129">
        <f t="shared" si="153"/>
        <v>13010854314.189999</v>
      </c>
      <c r="AK441" s="129"/>
      <c r="AL441" s="153"/>
      <c r="AM441" s="7"/>
      <c r="AN441" s="7"/>
      <c r="AO441" s="7"/>
      <c r="AP441" s="7"/>
      <c r="AQ441" s="7"/>
      <c r="AR441" s="7"/>
      <c r="AS441" s="7"/>
      <c r="AT441" s="7"/>
      <c r="AU441" s="7"/>
      <c r="AV441" s="7"/>
      <c r="AW441" s="7"/>
      <c r="AX441" s="7"/>
      <c r="AY441" s="7"/>
      <c r="AZ441" s="7"/>
      <c r="BA441" s="7"/>
      <c r="BB441" s="7"/>
      <c r="BC441" s="7"/>
      <c r="BD441" s="7"/>
      <c r="BE441" s="7"/>
      <c r="BF441" s="7"/>
      <c r="BG441" s="7"/>
      <c r="BH441" s="7"/>
      <c r="BI441" s="7"/>
      <c r="BJ441" s="7"/>
      <c r="BK441" s="7"/>
      <c r="BL441" s="7"/>
      <c r="BM441" s="7"/>
      <c r="BN441" s="7"/>
      <c r="BO441" s="7"/>
      <c r="BP441" s="7"/>
      <c r="BQ441" s="7"/>
      <c r="BR441" s="7"/>
      <c r="BS441" s="7"/>
      <c r="BT441" s="7"/>
      <c r="BU441" s="7"/>
      <c r="BV441" s="7"/>
      <c r="BW441" s="7"/>
      <c r="BX441" s="7"/>
      <c r="BY441" s="7"/>
    </row>
    <row r="442" spans="1:77" ht="24" customHeight="1" x14ac:dyDescent="0.2">
      <c r="A442" s="130"/>
      <c r="B442" s="78"/>
      <c r="C442" s="78"/>
      <c r="D442" s="78"/>
      <c r="E442" s="78"/>
      <c r="F442" s="138">
        <v>4301</v>
      </c>
      <c r="G442" s="68" t="s">
        <v>190</v>
      </c>
      <c r="H442" s="68"/>
      <c r="I442" s="177"/>
      <c r="J442" s="627"/>
      <c r="K442" s="596"/>
      <c r="L442" s="627"/>
      <c r="M442" s="627"/>
      <c r="N442" s="628"/>
      <c r="O442" s="596"/>
      <c r="P442" s="628"/>
      <c r="Q442" s="629"/>
      <c r="R442" s="596"/>
      <c r="S442" s="630"/>
      <c r="T442" s="225"/>
      <c r="U442" s="225"/>
      <c r="V442" s="144">
        <f>SUM(V443:V446)</f>
        <v>2117742469</v>
      </c>
      <c r="W442" s="144">
        <f t="shared" ref="W442:AH442" si="154">SUM(W443:W446)</f>
        <v>0</v>
      </c>
      <c r="X442" s="144">
        <f t="shared" si="154"/>
        <v>0</v>
      </c>
      <c r="Y442" s="144">
        <f t="shared" si="154"/>
        <v>0</v>
      </c>
      <c r="Z442" s="144">
        <f t="shared" si="154"/>
        <v>0</v>
      </c>
      <c r="AA442" s="144">
        <f t="shared" si="154"/>
        <v>0</v>
      </c>
      <c r="AB442" s="144">
        <f t="shared" si="154"/>
        <v>0</v>
      </c>
      <c r="AC442" s="144">
        <f t="shared" si="154"/>
        <v>0</v>
      </c>
      <c r="AD442" s="144">
        <f t="shared" si="154"/>
        <v>0</v>
      </c>
      <c r="AE442" s="144">
        <f t="shared" si="154"/>
        <v>0</v>
      </c>
      <c r="AF442" s="144">
        <f>SUM(AF443:AF446)</f>
        <v>136127636</v>
      </c>
      <c r="AG442" s="144">
        <f t="shared" si="154"/>
        <v>1978796087.1399999</v>
      </c>
      <c r="AH442" s="144">
        <f t="shared" si="154"/>
        <v>1000000000</v>
      </c>
      <c r="AI442" s="144">
        <f t="shared" ref="AI442:AJ442" si="155">SUM(AI443:AI446)</f>
        <v>0</v>
      </c>
      <c r="AJ442" s="144">
        <f t="shared" si="155"/>
        <v>5232666192.1399994</v>
      </c>
      <c r="AK442" s="144"/>
      <c r="AL442" s="345"/>
      <c r="AM442" s="7"/>
    </row>
    <row r="443" spans="1:77" s="37" customFormat="1" ht="140.25" customHeight="1" x14ac:dyDescent="0.2">
      <c r="A443" s="311"/>
      <c r="B443" s="70"/>
      <c r="C443" s="70"/>
      <c r="D443" s="70"/>
      <c r="E443" s="70"/>
      <c r="F443" s="70"/>
      <c r="G443" s="837"/>
      <c r="H443" s="80" t="s">
        <v>1309</v>
      </c>
      <c r="I443" s="69">
        <v>4301007</v>
      </c>
      <c r="J443" s="840" t="s">
        <v>1310</v>
      </c>
      <c r="K443" s="69">
        <v>4301007</v>
      </c>
      <c r="L443" s="840" t="s">
        <v>1310</v>
      </c>
      <c r="M443" s="69">
        <v>430100701</v>
      </c>
      <c r="N443" s="839" t="s">
        <v>1311</v>
      </c>
      <c r="O443" s="69">
        <v>430100701</v>
      </c>
      <c r="P443" s="839" t="s">
        <v>1311</v>
      </c>
      <c r="Q443" s="838" t="s">
        <v>51</v>
      </c>
      <c r="R443" s="232">
        <v>12</v>
      </c>
      <c r="S443" s="988">
        <v>2020003630009</v>
      </c>
      <c r="T443" s="949" t="s">
        <v>1312</v>
      </c>
      <c r="U443" s="955" t="s">
        <v>1313</v>
      </c>
      <c r="V443" s="207">
        <v>1117742469</v>
      </c>
      <c r="W443" s="135"/>
      <c r="X443" s="135"/>
      <c r="Y443" s="135"/>
      <c r="Z443" s="135"/>
      <c r="AA443" s="296"/>
      <c r="AB443" s="135"/>
      <c r="AC443" s="135"/>
      <c r="AD443" s="241"/>
      <c r="AE443" s="135"/>
      <c r="AF443" s="207"/>
      <c r="AG443" s="207">
        <v>1303803175.05</v>
      </c>
      <c r="AH443" s="135">
        <v>240000000</v>
      </c>
      <c r="AI443" s="135"/>
      <c r="AJ443" s="313">
        <f>+V443+W443+X443+Y443+Z443+AA443+AB443+AC443+AD443+AE443+AF443+AG443+AH443</f>
        <v>2661545644.0500002</v>
      </c>
      <c r="AK443" s="842" t="s">
        <v>1531</v>
      </c>
      <c r="AL443" s="843" t="s">
        <v>1565</v>
      </c>
      <c r="AM443" s="844"/>
    </row>
    <row r="444" spans="1:77" s="37" customFormat="1" ht="140.25" customHeight="1" x14ac:dyDescent="0.2">
      <c r="A444" s="311"/>
      <c r="B444" s="70"/>
      <c r="C444" s="70"/>
      <c r="D444" s="70"/>
      <c r="E444" s="70"/>
      <c r="F444" s="70"/>
      <c r="G444" s="837"/>
      <c r="H444" s="80" t="s">
        <v>1309</v>
      </c>
      <c r="I444" s="69">
        <v>4301037</v>
      </c>
      <c r="J444" s="840" t="s">
        <v>1314</v>
      </c>
      <c r="K444" s="69">
        <v>4301037</v>
      </c>
      <c r="L444" s="840" t="s">
        <v>1314</v>
      </c>
      <c r="M444" s="69">
        <v>430103701</v>
      </c>
      <c r="N444" s="839" t="s">
        <v>1315</v>
      </c>
      <c r="O444" s="69">
        <v>430103701</v>
      </c>
      <c r="P444" s="839" t="s">
        <v>1315</v>
      </c>
      <c r="Q444" s="232" t="s">
        <v>51</v>
      </c>
      <c r="R444" s="232">
        <v>12</v>
      </c>
      <c r="S444" s="988"/>
      <c r="T444" s="949"/>
      <c r="U444" s="955"/>
      <c r="V444" s="135"/>
      <c r="W444" s="135"/>
      <c r="X444" s="135"/>
      <c r="Y444" s="135"/>
      <c r="Z444" s="135"/>
      <c r="AA444" s="240"/>
      <c r="AB444" s="135"/>
      <c r="AC444" s="135"/>
      <c r="AD444" s="241"/>
      <c r="AE444" s="135"/>
      <c r="AF444" s="207"/>
      <c r="AG444" s="207">
        <v>216820060</v>
      </c>
      <c r="AH444" s="297">
        <v>165000000</v>
      </c>
      <c r="AI444" s="297"/>
      <c r="AJ444" s="313">
        <f>+V444+W444+X444+Y444+Z444+AA444+AB444+AC444+AD444+AE444+AF444+AG444+AH444</f>
        <v>381820060</v>
      </c>
      <c r="AK444" s="842" t="s">
        <v>1531</v>
      </c>
      <c r="AL444" s="843" t="s">
        <v>1565</v>
      </c>
      <c r="AM444" s="844"/>
    </row>
    <row r="445" spans="1:77" s="37" customFormat="1" ht="129" customHeight="1" x14ac:dyDescent="0.2">
      <c r="A445" s="311"/>
      <c r="B445" s="70"/>
      <c r="C445" s="70"/>
      <c r="D445" s="70"/>
      <c r="E445" s="70"/>
      <c r="F445" s="70"/>
      <c r="G445" s="837"/>
      <c r="H445" s="80" t="s">
        <v>1309</v>
      </c>
      <c r="I445" s="69">
        <v>4301037</v>
      </c>
      <c r="J445" s="840" t="s">
        <v>1314</v>
      </c>
      <c r="K445" s="69">
        <v>4301037</v>
      </c>
      <c r="L445" s="840" t="s">
        <v>1314</v>
      </c>
      <c r="M445" s="69" t="s">
        <v>1316</v>
      </c>
      <c r="N445" s="839" t="s">
        <v>1317</v>
      </c>
      <c r="O445" s="69" t="s">
        <v>1316</v>
      </c>
      <c r="P445" s="839" t="s">
        <v>1317</v>
      </c>
      <c r="Q445" s="232" t="s">
        <v>51</v>
      </c>
      <c r="R445" s="232">
        <v>12</v>
      </c>
      <c r="S445" s="988"/>
      <c r="T445" s="949"/>
      <c r="U445" s="955"/>
      <c r="V445" s="135">
        <v>1000000000</v>
      </c>
      <c r="W445" s="135"/>
      <c r="X445" s="135"/>
      <c r="Y445" s="135"/>
      <c r="Z445" s="135"/>
      <c r="AA445" s="240"/>
      <c r="AB445" s="135"/>
      <c r="AC445" s="135"/>
      <c r="AD445" s="241"/>
      <c r="AE445" s="135"/>
      <c r="AF445" s="207">
        <v>136127636</v>
      </c>
      <c r="AG445" s="207">
        <v>381994725.11000001</v>
      </c>
      <c r="AH445" s="135">
        <v>595000000</v>
      </c>
      <c r="AI445" s="135"/>
      <c r="AJ445" s="313">
        <f>+V445+W445+X445+Y445+Z445+AA445+AB445+AC445+AD445+AE445+AF445+AG445+AH445</f>
        <v>2113122361.1100001</v>
      </c>
      <c r="AK445" s="842" t="s">
        <v>1531</v>
      </c>
      <c r="AL445" s="843" t="s">
        <v>1565</v>
      </c>
      <c r="AM445" s="844"/>
    </row>
    <row r="446" spans="1:77" s="37" customFormat="1" ht="166.5" customHeight="1" x14ac:dyDescent="0.2">
      <c r="A446" s="311"/>
      <c r="B446" s="70"/>
      <c r="C446" s="70"/>
      <c r="D446" s="70"/>
      <c r="E446" s="70"/>
      <c r="F446" s="70"/>
      <c r="G446" s="837"/>
      <c r="H446" s="80" t="s">
        <v>1309</v>
      </c>
      <c r="I446" s="232" t="s">
        <v>46</v>
      </c>
      <c r="J446" s="840" t="s">
        <v>1318</v>
      </c>
      <c r="K446" s="69">
        <v>4301006</v>
      </c>
      <c r="L446" s="840" t="s">
        <v>1319</v>
      </c>
      <c r="M446" s="232" t="s">
        <v>46</v>
      </c>
      <c r="N446" s="839" t="s">
        <v>1320</v>
      </c>
      <c r="O446" s="69">
        <v>430100600</v>
      </c>
      <c r="P446" s="839" t="s">
        <v>1321</v>
      </c>
      <c r="Q446" s="838" t="s">
        <v>51</v>
      </c>
      <c r="R446" s="232">
        <v>1</v>
      </c>
      <c r="S446" s="988"/>
      <c r="T446" s="949"/>
      <c r="U446" s="955"/>
      <c r="V446" s="135"/>
      <c r="W446" s="135"/>
      <c r="X446" s="135"/>
      <c r="Y446" s="135"/>
      <c r="Z446" s="135"/>
      <c r="AA446" s="240"/>
      <c r="AB446" s="135"/>
      <c r="AC446" s="135"/>
      <c r="AD446" s="241"/>
      <c r="AE446" s="135"/>
      <c r="AF446" s="533"/>
      <c r="AG446" s="731">
        <v>76178126.980000004</v>
      </c>
      <c r="AH446" s="315"/>
      <c r="AI446" s="315"/>
      <c r="AJ446" s="313">
        <f>+V446+W446+X446+Y446+Z446+AA446+AB446+AC446+AD446+AE446+AF446+AG446+AH446</f>
        <v>76178126.980000004</v>
      </c>
      <c r="AK446" s="842" t="s">
        <v>1531</v>
      </c>
      <c r="AL446" s="843" t="s">
        <v>1565</v>
      </c>
      <c r="AM446" s="844"/>
    </row>
    <row r="447" spans="1:77" ht="24" customHeight="1" x14ac:dyDescent="0.2">
      <c r="A447" s="130"/>
      <c r="B447" s="78"/>
      <c r="C447" s="78"/>
      <c r="D447" s="78"/>
      <c r="E447" s="78"/>
      <c r="F447" s="298">
        <v>4302</v>
      </c>
      <c r="G447" s="68" t="s">
        <v>1322</v>
      </c>
      <c r="H447" s="68"/>
      <c r="I447" s="177"/>
      <c r="J447" s="595"/>
      <c r="K447" s="623"/>
      <c r="L447" s="595"/>
      <c r="M447" s="595"/>
      <c r="N447" s="590"/>
      <c r="O447" s="591"/>
      <c r="P447" s="590"/>
      <c r="Q447" s="624"/>
      <c r="R447" s="591"/>
      <c r="S447" s="625"/>
      <c r="T447" s="132"/>
      <c r="U447" s="132"/>
      <c r="V447" s="133">
        <f>SUM(V448:V449)</f>
        <v>4533873991</v>
      </c>
      <c r="W447" s="133">
        <f t="shared" ref="W447:AJ447" si="156">SUM(W448:W449)</f>
        <v>0</v>
      </c>
      <c r="X447" s="133">
        <f t="shared" si="156"/>
        <v>0</v>
      </c>
      <c r="Y447" s="133">
        <f t="shared" si="156"/>
        <v>0</v>
      </c>
      <c r="Z447" s="133">
        <f t="shared" si="156"/>
        <v>0</v>
      </c>
      <c r="AA447" s="133">
        <f t="shared" si="156"/>
        <v>0</v>
      </c>
      <c r="AB447" s="133">
        <f t="shared" si="156"/>
        <v>0</v>
      </c>
      <c r="AC447" s="133">
        <f t="shared" si="156"/>
        <v>0</v>
      </c>
      <c r="AD447" s="133">
        <f t="shared" si="156"/>
        <v>0</v>
      </c>
      <c r="AE447" s="133">
        <f t="shared" si="156"/>
        <v>0</v>
      </c>
      <c r="AF447" s="193">
        <f t="shared" si="156"/>
        <v>911002624.63999999</v>
      </c>
      <c r="AG447" s="193">
        <f t="shared" si="156"/>
        <v>2333311506.4100003</v>
      </c>
      <c r="AH447" s="133">
        <f t="shared" si="156"/>
        <v>0</v>
      </c>
      <c r="AI447" s="133"/>
      <c r="AJ447" s="133">
        <f t="shared" si="156"/>
        <v>7778188122.0500002</v>
      </c>
      <c r="AK447" s="285"/>
      <c r="AL447" s="299"/>
      <c r="AM447" s="7"/>
    </row>
    <row r="448" spans="1:77" s="37" customFormat="1" ht="151.5" customHeight="1" x14ac:dyDescent="0.2">
      <c r="A448" s="311"/>
      <c r="B448" s="70"/>
      <c r="C448" s="70"/>
      <c r="D448" s="70"/>
      <c r="E448" s="70"/>
      <c r="F448" s="70"/>
      <c r="G448" s="311"/>
      <c r="H448" s="80" t="s">
        <v>1323</v>
      </c>
      <c r="I448" s="300">
        <v>4302075</v>
      </c>
      <c r="J448" s="840" t="s">
        <v>1324</v>
      </c>
      <c r="K448" s="300">
        <v>4302075</v>
      </c>
      <c r="L448" s="840" t="s">
        <v>1324</v>
      </c>
      <c r="M448" s="386">
        <v>430207500</v>
      </c>
      <c r="N448" s="80" t="s">
        <v>1325</v>
      </c>
      <c r="O448" s="386">
        <v>430207500</v>
      </c>
      <c r="P448" s="80" t="s">
        <v>1325</v>
      </c>
      <c r="Q448" s="838" t="s">
        <v>51</v>
      </c>
      <c r="R448" s="232">
        <v>25</v>
      </c>
      <c r="S448" s="845">
        <v>2020003630010</v>
      </c>
      <c r="T448" s="846" t="s">
        <v>1326</v>
      </c>
      <c r="U448" s="846" t="s">
        <v>1327</v>
      </c>
      <c r="V448" s="820">
        <v>4533873991</v>
      </c>
      <c r="W448" s="135"/>
      <c r="X448" s="135"/>
      <c r="Y448" s="135"/>
      <c r="Z448" s="135"/>
      <c r="AA448" s="240"/>
      <c r="AB448" s="135"/>
      <c r="AC448" s="135"/>
      <c r="AD448" s="241"/>
      <c r="AE448" s="135"/>
      <c r="AF448" s="402">
        <v>784120550</v>
      </c>
      <c r="AG448" s="402">
        <v>2333311506.4100003</v>
      </c>
      <c r="AH448" s="135"/>
      <c r="AI448" s="135"/>
      <c r="AJ448" s="313">
        <f>+V448+W448+X448+Y448+Z448+AA448+AB448+AC448+AD448+AE448+AF448+AG448+AH448</f>
        <v>7651306047.4099998</v>
      </c>
      <c r="AK448" s="842" t="s">
        <v>1531</v>
      </c>
      <c r="AL448" s="843" t="s">
        <v>1565</v>
      </c>
      <c r="AM448" s="844"/>
    </row>
    <row r="449" spans="1:77" s="37" customFormat="1" ht="147" customHeight="1" x14ac:dyDescent="0.2">
      <c r="A449" s="311"/>
      <c r="B449" s="70"/>
      <c r="C449" s="70"/>
      <c r="D449" s="70"/>
      <c r="E449" s="70"/>
      <c r="F449" s="70"/>
      <c r="G449" s="311"/>
      <c r="H449" s="80" t="s">
        <v>1328</v>
      </c>
      <c r="I449" s="300">
        <v>4302075</v>
      </c>
      <c r="J449" s="840" t="s">
        <v>1324</v>
      </c>
      <c r="K449" s="300">
        <v>4302004</v>
      </c>
      <c r="L449" s="840" t="s">
        <v>1329</v>
      </c>
      <c r="M449" s="232" t="s">
        <v>46</v>
      </c>
      <c r="N449" s="80" t="s">
        <v>1330</v>
      </c>
      <c r="O449" s="316">
        <v>430200401</v>
      </c>
      <c r="P449" s="80" t="s">
        <v>1331</v>
      </c>
      <c r="Q449" s="838" t="s">
        <v>51</v>
      </c>
      <c r="R449" s="232">
        <v>1</v>
      </c>
      <c r="S449" s="845">
        <v>2020003630013</v>
      </c>
      <c r="T449" s="839" t="s">
        <v>1332</v>
      </c>
      <c r="U449" s="840" t="s">
        <v>1333</v>
      </c>
      <c r="V449" s="135"/>
      <c r="W449" s="135"/>
      <c r="X449" s="135"/>
      <c r="Y449" s="135"/>
      <c r="Z449" s="135"/>
      <c r="AA449" s="240"/>
      <c r="AB449" s="135"/>
      <c r="AC449" s="135"/>
      <c r="AD449" s="241"/>
      <c r="AE449" s="135"/>
      <c r="AF449" s="730">
        <f>35000000+91882074.64</f>
        <v>126882074.64</v>
      </c>
      <c r="AG449" s="207"/>
      <c r="AH449" s="135"/>
      <c r="AI449" s="135"/>
      <c r="AJ449" s="313">
        <f>+V449+W449+X449+Y449+Z449+AA449+AB449+AC449+AD449+AE449+AF449+AG449+AH449</f>
        <v>126882074.64</v>
      </c>
      <c r="AK449" s="842" t="s">
        <v>1531</v>
      </c>
      <c r="AL449" s="843" t="s">
        <v>1565</v>
      </c>
      <c r="AM449" s="844"/>
    </row>
    <row r="450" spans="1:77" s="436" customFormat="1" ht="16.5" customHeight="1" x14ac:dyDescent="0.25">
      <c r="A450" s="432"/>
      <c r="B450" s="432"/>
      <c r="C450" s="432"/>
      <c r="D450" s="432"/>
      <c r="E450" s="432"/>
      <c r="F450" s="432"/>
      <c r="G450" s="432"/>
      <c r="H450" s="433"/>
      <c r="I450" s="432"/>
      <c r="J450" s="432"/>
      <c r="K450" s="432"/>
      <c r="L450" s="432"/>
      <c r="M450" s="432"/>
      <c r="N450" s="432"/>
      <c r="O450" s="432"/>
      <c r="P450" s="432"/>
      <c r="Q450" s="434"/>
      <c r="R450" s="432"/>
      <c r="S450" s="434"/>
      <c r="T450" s="434"/>
      <c r="U450" s="434"/>
      <c r="V450" s="435"/>
      <c r="W450" s="435"/>
      <c r="X450" s="435"/>
      <c r="Y450" s="435"/>
      <c r="Z450" s="435"/>
      <c r="AA450" s="435"/>
      <c r="AB450" s="435"/>
      <c r="AC450" s="435"/>
      <c r="AD450" s="435"/>
      <c r="AE450" s="435"/>
      <c r="AF450" s="435"/>
      <c r="AG450" s="435"/>
      <c r="AH450" s="435"/>
      <c r="AI450" s="435"/>
      <c r="AJ450" s="435"/>
      <c r="AK450" s="435"/>
      <c r="AL450" s="435"/>
      <c r="AM450" s="7"/>
    </row>
    <row r="451" spans="1:77" s="365" customFormat="1" ht="24" customHeight="1" x14ac:dyDescent="0.2">
      <c r="A451" s="34" t="s">
        <v>1334</v>
      </c>
      <c r="B451" s="34"/>
      <c r="C451" s="34"/>
      <c r="D451" s="34"/>
      <c r="E451" s="34"/>
      <c r="F451" s="35"/>
      <c r="G451" s="36"/>
      <c r="H451" s="357"/>
      <c r="I451" s="357"/>
      <c r="J451" s="357"/>
      <c r="K451" s="360"/>
      <c r="L451" s="357"/>
      <c r="M451" s="357"/>
      <c r="N451" s="362"/>
      <c r="O451" s="361"/>
      <c r="P451" s="362"/>
      <c r="Q451" s="363"/>
      <c r="R451" s="361"/>
      <c r="S451" s="36"/>
      <c r="T451" s="362"/>
      <c r="U451" s="362"/>
      <c r="V451" s="358">
        <f>V452+V459</f>
        <v>1027674743.01</v>
      </c>
      <c r="W451" s="358">
        <f t="shared" ref="W451:AJ451" si="157">W452+W459</f>
        <v>0</v>
      </c>
      <c r="X451" s="358">
        <f t="shared" si="157"/>
        <v>0</v>
      </c>
      <c r="Y451" s="358">
        <f t="shared" si="157"/>
        <v>0</v>
      </c>
      <c r="Z451" s="358">
        <f t="shared" si="157"/>
        <v>0</v>
      </c>
      <c r="AA451" s="358">
        <f t="shared" si="157"/>
        <v>0</v>
      </c>
      <c r="AB451" s="358">
        <f t="shared" si="157"/>
        <v>0</v>
      </c>
      <c r="AC451" s="358">
        <f t="shared" si="157"/>
        <v>0</v>
      </c>
      <c r="AD451" s="358">
        <f t="shared" si="157"/>
        <v>0</v>
      </c>
      <c r="AE451" s="358">
        <f t="shared" si="157"/>
        <v>0</v>
      </c>
      <c r="AF451" s="358">
        <f t="shared" si="157"/>
        <v>0</v>
      </c>
      <c r="AG451" s="358">
        <f t="shared" si="157"/>
        <v>997308456.01999998</v>
      </c>
      <c r="AH451" s="358">
        <f t="shared" si="157"/>
        <v>0</v>
      </c>
      <c r="AI451" s="358"/>
      <c r="AJ451" s="358">
        <f t="shared" si="157"/>
        <v>2024983199.03</v>
      </c>
      <c r="AK451" s="358"/>
      <c r="AL451" s="359"/>
      <c r="AM451" s="7"/>
      <c r="AN451" s="364"/>
      <c r="AO451" s="364"/>
      <c r="AP451" s="364"/>
      <c r="AQ451" s="364"/>
      <c r="AR451" s="364"/>
      <c r="AS451" s="364"/>
      <c r="AT451" s="364"/>
      <c r="AU451" s="364"/>
      <c r="AV451" s="364"/>
      <c r="AW451" s="364"/>
      <c r="AX451" s="364"/>
      <c r="AY451" s="364"/>
      <c r="AZ451" s="364"/>
      <c r="BA451" s="364"/>
      <c r="BB451" s="364"/>
      <c r="BC451" s="364"/>
      <c r="BD451" s="364"/>
      <c r="BE451" s="364"/>
      <c r="BF451" s="364"/>
      <c r="BG451" s="364"/>
      <c r="BH451" s="364"/>
      <c r="BI451" s="364"/>
      <c r="BJ451" s="364"/>
      <c r="BK451" s="364"/>
      <c r="BL451" s="364"/>
      <c r="BM451" s="364"/>
      <c r="BN451" s="364"/>
      <c r="BO451" s="364"/>
      <c r="BP451" s="364"/>
      <c r="BQ451" s="364"/>
      <c r="BR451" s="364"/>
      <c r="BS451" s="364"/>
      <c r="BT451" s="364"/>
      <c r="BU451" s="364"/>
      <c r="BV451" s="364"/>
      <c r="BW451" s="364"/>
      <c r="BX451" s="364"/>
      <c r="BY451" s="364"/>
    </row>
    <row r="452" spans="1:77" ht="24" customHeight="1" x14ac:dyDescent="0.2">
      <c r="A452" s="130"/>
      <c r="B452" s="116">
        <v>1</v>
      </c>
      <c r="C452" s="116"/>
      <c r="D452" s="61" t="s">
        <v>148</v>
      </c>
      <c r="E452" s="157"/>
      <c r="F452" s="61"/>
      <c r="G452" s="163"/>
      <c r="H452" s="366"/>
      <c r="I452" s="366"/>
      <c r="J452" s="165"/>
      <c r="K452" s="588"/>
      <c r="L452" s="165"/>
      <c r="M452" s="165"/>
      <c r="N452" s="167"/>
      <c r="O452" s="166"/>
      <c r="P452" s="167"/>
      <c r="Q452" s="599"/>
      <c r="R452" s="166"/>
      <c r="S452" s="598"/>
      <c r="T452" s="118"/>
      <c r="U452" s="118"/>
      <c r="V452" s="301">
        <f>V453+V456</f>
        <v>616604845.79999995</v>
      </c>
      <c r="W452" s="301">
        <f t="shared" ref="W452:AH452" si="158">W453+W456</f>
        <v>0</v>
      </c>
      <c r="X452" s="301">
        <f t="shared" si="158"/>
        <v>0</v>
      </c>
      <c r="Y452" s="301">
        <f t="shared" si="158"/>
        <v>0</v>
      </c>
      <c r="Z452" s="301">
        <f t="shared" si="158"/>
        <v>0</v>
      </c>
      <c r="AA452" s="301">
        <f t="shared" si="158"/>
        <v>0</v>
      </c>
      <c r="AB452" s="301">
        <f t="shared" si="158"/>
        <v>0</v>
      </c>
      <c r="AC452" s="301">
        <f t="shared" si="158"/>
        <v>0</v>
      </c>
      <c r="AD452" s="301">
        <f t="shared" si="158"/>
        <v>0</v>
      </c>
      <c r="AE452" s="301">
        <f t="shared" si="158"/>
        <v>0</v>
      </c>
      <c r="AF452" s="301">
        <f t="shared" si="158"/>
        <v>0</v>
      </c>
      <c r="AG452" s="301">
        <f t="shared" si="158"/>
        <v>0</v>
      </c>
      <c r="AH452" s="301">
        <f t="shared" si="158"/>
        <v>0</v>
      </c>
      <c r="AI452" s="301"/>
      <c r="AJ452" s="301">
        <f>AJ453+AJ456</f>
        <v>616604845.79999995</v>
      </c>
      <c r="AK452" s="301"/>
      <c r="AL452" s="302"/>
      <c r="AM452" s="7"/>
    </row>
    <row r="453" spans="1:77" s="8" customFormat="1" ht="24" customHeight="1" x14ac:dyDescent="0.25">
      <c r="A453" s="115"/>
      <c r="B453" s="70"/>
      <c r="C453" s="70"/>
      <c r="D453" s="64">
        <v>43</v>
      </c>
      <c r="E453" s="62" t="s">
        <v>189</v>
      </c>
      <c r="F453" s="62"/>
      <c r="G453" s="120"/>
      <c r="H453" s="121"/>
      <c r="I453" s="121"/>
      <c r="J453" s="123"/>
      <c r="K453" s="122"/>
      <c r="L453" s="123"/>
      <c r="M453" s="123"/>
      <c r="N453" s="125"/>
      <c r="O453" s="124"/>
      <c r="P453" s="125"/>
      <c r="Q453" s="126"/>
      <c r="R453" s="124"/>
      <c r="S453" s="186"/>
      <c r="T453" s="128"/>
      <c r="U453" s="128"/>
      <c r="V453" s="129">
        <f>V454</f>
        <v>308302422.89999998</v>
      </c>
      <c r="W453" s="129">
        <f t="shared" ref="W453:AJ454" si="159">W454</f>
        <v>0</v>
      </c>
      <c r="X453" s="129">
        <f t="shared" si="159"/>
        <v>0</v>
      </c>
      <c r="Y453" s="129">
        <f t="shared" si="159"/>
        <v>0</v>
      </c>
      <c r="Z453" s="129">
        <f t="shared" si="159"/>
        <v>0</v>
      </c>
      <c r="AA453" s="129">
        <f t="shared" si="159"/>
        <v>0</v>
      </c>
      <c r="AB453" s="129">
        <f t="shared" si="159"/>
        <v>0</v>
      </c>
      <c r="AC453" s="129">
        <f t="shared" si="159"/>
        <v>0</v>
      </c>
      <c r="AD453" s="129">
        <f t="shared" si="159"/>
        <v>0</v>
      </c>
      <c r="AE453" s="129">
        <f t="shared" si="159"/>
        <v>0</v>
      </c>
      <c r="AF453" s="129">
        <f t="shared" si="159"/>
        <v>0</v>
      </c>
      <c r="AG453" s="129">
        <f t="shared" si="159"/>
        <v>0</v>
      </c>
      <c r="AH453" s="129">
        <f t="shared" si="159"/>
        <v>0</v>
      </c>
      <c r="AI453" s="129"/>
      <c r="AJ453" s="129">
        <f t="shared" si="159"/>
        <v>308302422.89999998</v>
      </c>
      <c r="AK453" s="129"/>
      <c r="AL453" s="153"/>
      <c r="AM453" s="7"/>
      <c r="AN453" s="7"/>
      <c r="AO453" s="7"/>
      <c r="AP453" s="7"/>
      <c r="AQ453" s="7"/>
      <c r="AR453" s="7"/>
      <c r="AS453" s="7"/>
      <c r="AT453" s="7"/>
      <c r="AU453" s="7"/>
      <c r="AV453" s="7"/>
      <c r="AW453" s="7"/>
      <c r="AX453" s="7"/>
      <c r="AY453" s="7"/>
      <c r="AZ453" s="7"/>
      <c r="BA453" s="7"/>
      <c r="BB453" s="7"/>
      <c r="BC453" s="7"/>
      <c r="BD453" s="7"/>
      <c r="BE453" s="7"/>
      <c r="BF453" s="7"/>
      <c r="BG453" s="7"/>
      <c r="BH453" s="7"/>
      <c r="BI453" s="7"/>
      <c r="BJ453" s="7"/>
      <c r="BK453" s="7"/>
      <c r="BL453" s="7"/>
      <c r="BM453" s="7"/>
      <c r="BN453" s="7"/>
      <c r="BO453" s="7"/>
      <c r="BP453" s="7"/>
      <c r="BQ453" s="7"/>
      <c r="BR453" s="7"/>
      <c r="BS453" s="7"/>
      <c r="BT453" s="7"/>
      <c r="BU453" s="7"/>
      <c r="BV453" s="7"/>
      <c r="BW453" s="7"/>
      <c r="BX453" s="7"/>
      <c r="BY453" s="7"/>
    </row>
    <row r="454" spans="1:77" ht="24" customHeight="1" x14ac:dyDescent="0.2">
      <c r="A454" s="130"/>
      <c r="B454" s="303"/>
      <c r="C454" s="303"/>
      <c r="D454" s="303"/>
      <c r="E454" s="303"/>
      <c r="F454" s="138">
        <v>4301</v>
      </c>
      <c r="G454" s="68" t="s">
        <v>190</v>
      </c>
      <c r="H454" s="177"/>
      <c r="I454" s="177"/>
      <c r="J454" s="595"/>
      <c r="K454" s="596"/>
      <c r="L454" s="595"/>
      <c r="M454" s="595"/>
      <c r="N454" s="620"/>
      <c r="O454" s="591"/>
      <c r="P454" s="620"/>
      <c r="Q454" s="621"/>
      <c r="R454" s="591"/>
      <c r="S454" s="622"/>
      <c r="T454" s="196"/>
      <c r="U454" s="196"/>
      <c r="V454" s="304">
        <f>V455</f>
        <v>308302422.89999998</v>
      </c>
      <c r="W454" s="304">
        <f t="shared" si="159"/>
        <v>0</v>
      </c>
      <c r="X454" s="304">
        <f t="shared" si="159"/>
        <v>0</v>
      </c>
      <c r="Y454" s="304">
        <f t="shared" si="159"/>
        <v>0</v>
      </c>
      <c r="Z454" s="304">
        <f t="shared" si="159"/>
        <v>0</v>
      </c>
      <c r="AA454" s="304">
        <f t="shared" si="159"/>
        <v>0</v>
      </c>
      <c r="AB454" s="304">
        <f t="shared" si="159"/>
        <v>0</v>
      </c>
      <c r="AC454" s="304">
        <f t="shared" si="159"/>
        <v>0</v>
      </c>
      <c r="AD454" s="304">
        <f t="shared" si="159"/>
        <v>0</v>
      </c>
      <c r="AE454" s="304">
        <f t="shared" si="159"/>
        <v>0</v>
      </c>
      <c r="AF454" s="304">
        <f t="shared" si="159"/>
        <v>0</v>
      </c>
      <c r="AG454" s="304">
        <f t="shared" si="159"/>
        <v>0</v>
      </c>
      <c r="AH454" s="304">
        <f t="shared" si="159"/>
        <v>0</v>
      </c>
      <c r="AI454" s="304"/>
      <c r="AJ454" s="304">
        <f t="shared" si="159"/>
        <v>308302422.89999998</v>
      </c>
      <c r="AK454" s="304"/>
      <c r="AL454" s="197"/>
      <c r="AM454" s="7"/>
    </row>
    <row r="455" spans="1:77" s="37" customFormat="1" ht="175.5" customHeight="1" x14ac:dyDescent="0.2">
      <c r="A455" s="311"/>
      <c r="B455" s="325"/>
      <c r="C455" s="325"/>
      <c r="D455" s="325"/>
      <c r="E455" s="325"/>
      <c r="F455" s="312"/>
      <c r="G455" s="503"/>
      <c r="H455" s="509" t="s">
        <v>191</v>
      </c>
      <c r="I455" s="232" t="s">
        <v>46</v>
      </c>
      <c r="J455" s="518" t="s">
        <v>1335</v>
      </c>
      <c r="K455" s="69">
        <v>4301004</v>
      </c>
      <c r="L455" s="518" t="s">
        <v>193</v>
      </c>
      <c r="M455" s="232" t="s">
        <v>46</v>
      </c>
      <c r="N455" s="518" t="s">
        <v>1336</v>
      </c>
      <c r="O455" s="72">
        <v>430100401</v>
      </c>
      <c r="P455" s="518" t="s">
        <v>195</v>
      </c>
      <c r="Q455" s="514" t="s">
        <v>67</v>
      </c>
      <c r="R455" s="232">
        <v>3</v>
      </c>
      <c r="S455" s="503" t="s">
        <v>1337</v>
      </c>
      <c r="T455" s="518" t="s">
        <v>1338</v>
      </c>
      <c r="U455" s="518" t="s">
        <v>1339</v>
      </c>
      <c r="V455" s="326">
        <v>308302422.89999998</v>
      </c>
      <c r="W455" s="135"/>
      <c r="X455" s="135"/>
      <c r="Y455" s="135"/>
      <c r="Z455" s="135"/>
      <c r="AA455" s="240"/>
      <c r="AB455" s="135"/>
      <c r="AC455" s="135"/>
      <c r="AD455" s="241"/>
      <c r="AE455" s="135"/>
      <c r="AF455" s="189"/>
      <c r="AG455" s="175"/>
      <c r="AH455" s="135"/>
      <c r="AI455" s="135"/>
      <c r="AJ455" s="313">
        <f>+V455+W455+X455+Y455+Z455+AA455+AB455+AC455+AD455+AE455+AF455+AG455+AH455</f>
        <v>308302422.89999998</v>
      </c>
      <c r="AK455" s="315" t="s">
        <v>1532</v>
      </c>
      <c r="AL455" s="315" t="s">
        <v>1340</v>
      </c>
      <c r="AM455" s="7"/>
    </row>
    <row r="456" spans="1:77" s="8" customFormat="1" ht="24" customHeight="1" x14ac:dyDescent="0.25">
      <c r="A456" s="115"/>
      <c r="B456" s="70"/>
      <c r="C456" s="70"/>
      <c r="D456" s="64">
        <v>22</v>
      </c>
      <c r="E456" s="62" t="s">
        <v>169</v>
      </c>
      <c r="F456" s="62"/>
      <c r="G456" s="120"/>
      <c r="H456" s="121"/>
      <c r="I456" s="121"/>
      <c r="J456" s="123"/>
      <c r="K456" s="122"/>
      <c r="L456" s="123"/>
      <c r="M456" s="123"/>
      <c r="N456" s="125"/>
      <c r="O456" s="124"/>
      <c r="P456" s="125"/>
      <c r="Q456" s="126"/>
      <c r="R456" s="124"/>
      <c r="S456" s="186"/>
      <c r="T456" s="128"/>
      <c r="U456" s="128"/>
      <c r="V456" s="129">
        <f>V457</f>
        <v>308302422.89999998</v>
      </c>
      <c r="W456" s="129">
        <f t="shared" ref="W456:AJ457" si="160">W457</f>
        <v>0</v>
      </c>
      <c r="X456" s="129">
        <f t="shared" si="160"/>
        <v>0</v>
      </c>
      <c r="Y456" s="129">
        <f t="shared" si="160"/>
        <v>0</v>
      </c>
      <c r="Z456" s="129">
        <f t="shared" si="160"/>
        <v>0</v>
      </c>
      <c r="AA456" s="129">
        <f t="shared" si="160"/>
        <v>0</v>
      </c>
      <c r="AB456" s="129">
        <f t="shared" si="160"/>
        <v>0</v>
      </c>
      <c r="AC456" s="129">
        <f t="shared" si="160"/>
        <v>0</v>
      </c>
      <c r="AD456" s="129">
        <f t="shared" si="160"/>
        <v>0</v>
      </c>
      <c r="AE456" s="129">
        <f t="shared" si="160"/>
        <v>0</v>
      </c>
      <c r="AF456" s="129">
        <f t="shared" si="160"/>
        <v>0</v>
      </c>
      <c r="AG456" s="129">
        <f t="shared" si="160"/>
        <v>0</v>
      </c>
      <c r="AH456" s="129">
        <f t="shared" si="160"/>
        <v>0</v>
      </c>
      <c r="AI456" s="129"/>
      <c r="AJ456" s="129">
        <f t="shared" si="160"/>
        <v>308302422.89999998</v>
      </c>
      <c r="AK456" s="129"/>
      <c r="AL456" s="153"/>
      <c r="AM456" s="7"/>
      <c r="AN456" s="7"/>
      <c r="AO456" s="7"/>
      <c r="AP456" s="7"/>
      <c r="AQ456" s="7"/>
      <c r="AR456" s="7"/>
      <c r="AS456" s="7"/>
      <c r="AT456" s="7"/>
      <c r="AU456" s="7"/>
      <c r="AV456" s="7"/>
      <c r="AW456" s="7"/>
      <c r="AX456" s="7"/>
      <c r="AY456" s="7"/>
      <c r="AZ456" s="7"/>
      <c r="BA456" s="7"/>
      <c r="BB456" s="7"/>
      <c r="BC456" s="7"/>
      <c r="BD456" s="7"/>
      <c r="BE456" s="7"/>
      <c r="BF456" s="7"/>
      <c r="BG456" s="7"/>
      <c r="BH456" s="7"/>
      <c r="BI456" s="7"/>
      <c r="BJ456" s="7"/>
      <c r="BK456" s="7"/>
      <c r="BL456" s="7"/>
      <c r="BM456" s="7"/>
      <c r="BN456" s="7"/>
      <c r="BO456" s="7"/>
      <c r="BP456" s="7"/>
      <c r="BQ456" s="7"/>
      <c r="BR456" s="7"/>
      <c r="BS456" s="7"/>
      <c r="BT456" s="7"/>
      <c r="BU456" s="7"/>
      <c r="BV456" s="7"/>
      <c r="BW456" s="7"/>
      <c r="BX456" s="7"/>
      <c r="BY456" s="7"/>
    </row>
    <row r="457" spans="1:77" ht="24" customHeight="1" x14ac:dyDescent="0.2">
      <c r="A457" s="130"/>
      <c r="B457" s="303"/>
      <c r="C457" s="303"/>
      <c r="D457" s="303"/>
      <c r="E457" s="303"/>
      <c r="F457" s="138">
        <v>2201</v>
      </c>
      <c r="G457" s="305" t="s">
        <v>293</v>
      </c>
      <c r="H457" s="594"/>
      <c r="I457" s="594"/>
      <c r="J457" s="594"/>
      <c r="K457" s="594"/>
      <c r="L457" s="594"/>
      <c r="M457" s="594"/>
      <c r="N457" s="590"/>
      <c r="O457" s="591"/>
      <c r="P457" s="590"/>
      <c r="Q457" s="597"/>
      <c r="R457" s="591"/>
      <c r="S457" s="593"/>
      <c r="T457" s="132"/>
      <c r="U457" s="132"/>
      <c r="V457" s="304">
        <f>V458</f>
        <v>308302422.89999998</v>
      </c>
      <c r="W457" s="304">
        <f t="shared" si="160"/>
        <v>0</v>
      </c>
      <c r="X457" s="304">
        <f t="shared" si="160"/>
        <v>0</v>
      </c>
      <c r="Y457" s="304">
        <f t="shared" si="160"/>
        <v>0</v>
      </c>
      <c r="Z457" s="304">
        <f t="shared" si="160"/>
        <v>0</v>
      </c>
      <c r="AA457" s="304">
        <f t="shared" si="160"/>
        <v>0</v>
      </c>
      <c r="AB457" s="304">
        <f t="shared" si="160"/>
        <v>0</v>
      </c>
      <c r="AC457" s="304">
        <f t="shared" si="160"/>
        <v>0</v>
      </c>
      <c r="AD457" s="304">
        <f t="shared" si="160"/>
        <v>0</v>
      </c>
      <c r="AE457" s="304">
        <f t="shared" si="160"/>
        <v>0</v>
      </c>
      <c r="AF457" s="304">
        <f t="shared" si="160"/>
        <v>0</v>
      </c>
      <c r="AG457" s="304">
        <f t="shared" si="160"/>
        <v>0</v>
      </c>
      <c r="AH457" s="304">
        <f t="shared" si="160"/>
        <v>0</v>
      </c>
      <c r="AI457" s="304"/>
      <c r="AJ457" s="304">
        <f t="shared" si="160"/>
        <v>308302422.89999998</v>
      </c>
      <c r="AK457" s="304"/>
      <c r="AL457" s="197"/>
      <c r="AM457" s="7"/>
    </row>
    <row r="458" spans="1:77" s="37" customFormat="1" ht="131.25" customHeight="1" x14ac:dyDescent="0.2">
      <c r="A458" s="311"/>
      <c r="B458" s="70"/>
      <c r="C458" s="70"/>
      <c r="D458" s="70"/>
      <c r="E458" s="70"/>
      <c r="F458" s="312"/>
      <c r="G458" s="503"/>
      <c r="H458" s="509" t="s">
        <v>171</v>
      </c>
      <c r="I458" s="232" t="s">
        <v>46</v>
      </c>
      <c r="J458" s="509" t="s">
        <v>697</v>
      </c>
      <c r="K458" s="72">
        <v>2201062</v>
      </c>
      <c r="L458" s="509" t="s">
        <v>173</v>
      </c>
      <c r="M458" s="232" t="s">
        <v>46</v>
      </c>
      <c r="N458" s="504" t="s">
        <v>174</v>
      </c>
      <c r="O458" s="69">
        <v>220106200</v>
      </c>
      <c r="P458" s="504" t="s">
        <v>175</v>
      </c>
      <c r="Q458" s="514" t="s">
        <v>67</v>
      </c>
      <c r="R458" s="232">
        <v>15</v>
      </c>
      <c r="S458" s="503" t="s">
        <v>1341</v>
      </c>
      <c r="T458" s="518" t="s">
        <v>1342</v>
      </c>
      <c r="U458" s="518" t="s">
        <v>1343</v>
      </c>
      <c r="V458" s="326">
        <v>308302422.89999998</v>
      </c>
      <c r="W458" s="135"/>
      <c r="X458" s="135"/>
      <c r="Y458" s="135"/>
      <c r="Z458" s="135"/>
      <c r="AA458" s="240"/>
      <c r="AB458" s="135"/>
      <c r="AC458" s="135"/>
      <c r="AD458" s="241"/>
      <c r="AE458" s="135"/>
      <c r="AF458" s="189"/>
      <c r="AG458" s="135"/>
      <c r="AH458" s="159"/>
      <c r="AI458" s="159"/>
      <c r="AJ458" s="313">
        <f>+V458+W458+X458+Y458+Z458+AA458+AB458+AC458+AD458+AE458+AF458+AG458+AH458</f>
        <v>308302422.89999998</v>
      </c>
      <c r="AK458" s="315" t="s">
        <v>1532</v>
      </c>
      <c r="AL458" s="315" t="s">
        <v>1340</v>
      </c>
      <c r="AM458" s="7"/>
    </row>
    <row r="459" spans="1:77" ht="24" customHeight="1" x14ac:dyDescent="0.2">
      <c r="A459" s="130"/>
      <c r="B459" s="116">
        <v>3</v>
      </c>
      <c r="C459" s="116"/>
      <c r="D459" s="61" t="s">
        <v>199</v>
      </c>
      <c r="E459" s="157"/>
      <c r="F459" s="61"/>
      <c r="G459" s="163"/>
      <c r="H459" s="366"/>
      <c r="I459" s="366"/>
      <c r="J459" s="165"/>
      <c r="K459" s="588"/>
      <c r="L459" s="165"/>
      <c r="M459" s="165"/>
      <c r="N459" s="167"/>
      <c r="O459" s="166"/>
      <c r="P459" s="167"/>
      <c r="Q459" s="599"/>
      <c r="R459" s="166"/>
      <c r="S459" s="598"/>
      <c r="T459" s="118"/>
      <c r="U459" s="118"/>
      <c r="V459" s="301">
        <f>V460+V463</f>
        <v>411069897.21000004</v>
      </c>
      <c r="W459" s="301">
        <f t="shared" ref="W459:AH459" si="161">W460+W463</f>
        <v>0</v>
      </c>
      <c r="X459" s="301">
        <f t="shared" si="161"/>
        <v>0</v>
      </c>
      <c r="Y459" s="301">
        <f t="shared" si="161"/>
        <v>0</v>
      </c>
      <c r="Z459" s="301">
        <f t="shared" si="161"/>
        <v>0</v>
      </c>
      <c r="AA459" s="301">
        <f t="shared" si="161"/>
        <v>0</v>
      </c>
      <c r="AB459" s="301">
        <f t="shared" si="161"/>
        <v>0</v>
      </c>
      <c r="AC459" s="301">
        <f t="shared" si="161"/>
        <v>0</v>
      </c>
      <c r="AD459" s="301">
        <f t="shared" si="161"/>
        <v>0</v>
      </c>
      <c r="AE459" s="301">
        <f t="shared" si="161"/>
        <v>0</v>
      </c>
      <c r="AF459" s="301">
        <f t="shared" si="161"/>
        <v>0</v>
      </c>
      <c r="AG459" s="301">
        <f t="shared" si="161"/>
        <v>997308456.01999998</v>
      </c>
      <c r="AH459" s="301">
        <f t="shared" si="161"/>
        <v>0</v>
      </c>
      <c r="AI459" s="301"/>
      <c r="AJ459" s="301">
        <f>AJ460+AJ463</f>
        <v>1408378353.23</v>
      </c>
      <c r="AK459" s="301"/>
      <c r="AL459" s="302"/>
      <c r="AM459" s="7"/>
    </row>
    <row r="460" spans="1:77" s="8" customFormat="1" ht="24" customHeight="1" x14ac:dyDescent="0.25">
      <c r="A460" s="115"/>
      <c r="B460" s="70"/>
      <c r="C460" s="70"/>
      <c r="D460" s="64">
        <v>24</v>
      </c>
      <c r="E460" s="62" t="s">
        <v>200</v>
      </c>
      <c r="F460" s="62"/>
      <c r="G460" s="120"/>
      <c r="H460" s="121"/>
      <c r="I460" s="121"/>
      <c r="J460" s="123"/>
      <c r="K460" s="122"/>
      <c r="L460" s="123"/>
      <c r="M460" s="123"/>
      <c r="N460" s="125"/>
      <c r="O460" s="124"/>
      <c r="P460" s="125"/>
      <c r="Q460" s="126"/>
      <c r="R460" s="124"/>
      <c r="S460" s="186"/>
      <c r="T460" s="128"/>
      <c r="U460" s="128"/>
      <c r="V460" s="129">
        <f>V461</f>
        <v>0</v>
      </c>
      <c r="W460" s="129">
        <f t="shared" ref="W460:AJ461" si="162">W461</f>
        <v>0</v>
      </c>
      <c r="X460" s="129">
        <f t="shared" si="162"/>
        <v>0</v>
      </c>
      <c r="Y460" s="129">
        <f t="shared" si="162"/>
        <v>0</v>
      </c>
      <c r="Z460" s="129">
        <f t="shared" si="162"/>
        <v>0</v>
      </c>
      <c r="AA460" s="129">
        <f t="shared" si="162"/>
        <v>0</v>
      </c>
      <c r="AB460" s="129">
        <f t="shared" si="162"/>
        <v>0</v>
      </c>
      <c r="AC460" s="129">
        <f t="shared" si="162"/>
        <v>0</v>
      </c>
      <c r="AD460" s="129">
        <f t="shared" si="162"/>
        <v>0</v>
      </c>
      <c r="AE460" s="129">
        <f t="shared" si="162"/>
        <v>0</v>
      </c>
      <c r="AF460" s="129">
        <f t="shared" si="162"/>
        <v>0</v>
      </c>
      <c r="AG460" s="129">
        <f t="shared" si="162"/>
        <v>199461691.20000002</v>
      </c>
      <c r="AH460" s="129">
        <f t="shared" si="162"/>
        <v>0</v>
      </c>
      <c r="AI460" s="129"/>
      <c r="AJ460" s="129">
        <f t="shared" si="162"/>
        <v>199461691.20000002</v>
      </c>
      <c r="AK460" s="129"/>
      <c r="AL460" s="153"/>
      <c r="AM460" s="7"/>
      <c r="AN460" s="7"/>
      <c r="AO460" s="7"/>
      <c r="AP460" s="7"/>
      <c r="AQ460" s="7"/>
      <c r="AR460" s="7"/>
      <c r="AS460" s="7"/>
      <c r="AT460" s="7"/>
      <c r="AU460" s="7"/>
      <c r="AV460" s="7"/>
      <c r="AW460" s="7"/>
      <c r="AX460" s="7"/>
      <c r="AY460" s="7"/>
      <c r="AZ460" s="7"/>
      <c r="BA460" s="7"/>
      <c r="BB460" s="7"/>
      <c r="BC460" s="7"/>
      <c r="BD460" s="7"/>
      <c r="BE460" s="7"/>
      <c r="BF460" s="7"/>
      <c r="BG460" s="7"/>
      <c r="BH460" s="7"/>
      <c r="BI460" s="7"/>
      <c r="BJ460" s="7"/>
      <c r="BK460" s="7"/>
      <c r="BL460" s="7"/>
      <c r="BM460" s="7"/>
      <c r="BN460" s="7"/>
      <c r="BO460" s="7"/>
      <c r="BP460" s="7"/>
      <c r="BQ460" s="7"/>
      <c r="BR460" s="7"/>
      <c r="BS460" s="7"/>
      <c r="BT460" s="7"/>
      <c r="BU460" s="7"/>
      <c r="BV460" s="7"/>
      <c r="BW460" s="7"/>
      <c r="BX460" s="7"/>
      <c r="BY460" s="7"/>
    </row>
    <row r="461" spans="1:77" ht="24" customHeight="1" x14ac:dyDescent="0.2">
      <c r="A461" s="130"/>
      <c r="B461" s="303"/>
      <c r="C461" s="303"/>
      <c r="D461" s="303"/>
      <c r="E461" s="303"/>
      <c r="F461" s="138">
        <v>2402</v>
      </c>
      <c r="G461" s="305" t="s">
        <v>201</v>
      </c>
      <c r="H461" s="594"/>
      <c r="I461" s="594"/>
      <c r="J461" s="595"/>
      <c r="K461" s="596"/>
      <c r="L461" s="595"/>
      <c r="M461" s="595"/>
      <c r="N461" s="590"/>
      <c r="O461" s="591"/>
      <c r="P461" s="590"/>
      <c r="Q461" s="597"/>
      <c r="R461" s="591"/>
      <c r="S461" s="593"/>
      <c r="T461" s="132"/>
      <c r="U461" s="132"/>
      <c r="V461" s="304">
        <f>V462</f>
        <v>0</v>
      </c>
      <c r="W461" s="304">
        <f t="shared" si="162"/>
        <v>0</v>
      </c>
      <c r="X461" s="304">
        <f t="shared" si="162"/>
        <v>0</v>
      </c>
      <c r="Y461" s="304">
        <f t="shared" si="162"/>
        <v>0</v>
      </c>
      <c r="Z461" s="304">
        <f t="shared" si="162"/>
        <v>0</v>
      </c>
      <c r="AA461" s="304">
        <f t="shared" si="162"/>
        <v>0</v>
      </c>
      <c r="AB461" s="304">
        <f t="shared" si="162"/>
        <v>0</v>
      </c>
      <c r="AC461" s="304">
        <f t="shared" si="162"/>
        <v>0</v>
      </c>
      <c r="AD461" s="304">
        <f t="shared" si="162"/>
        <v>0</v>
      </c>
      <c r="AE461" s="304">
        <f t="shared" si="162"/>
        <v>0</v>
      </c>
      <c r="AF461" s="304">
        <f t="shared" si="162"/>
        <v>0</v>
      </c>
      <c r="AG461" s="304">
        <f t="shared" si="162"/>
        <v>199461691.20000002</v>
      </c>
      <c r="AH461" s="304">
        <f t="shared" si="162"/>
        <v>0</v>
      </c>
      <c r="AI461" s="304"/>
      <c r="AJ461" s="304">
        <f t="shared" si="162"/>
        <v>199461691.20000002</v>
      </c>
      <c r="AK461" s="304"/>
      <c r="AL461" s="197"/>
      <c r="AM461" s="7"/>
    </row>
    <row r="462" spans="1:77" s="37" customFormat="1" ht="132" customHeight="1" x14ac:dyDescent="0.2">
      <c r="A462" s="311"/>
      <c r="B462" s="325"/>
      <c r="C462" s="325"/>
      <c r="D462" s="325"/>
      <c r="E462" s="325"/>
      <c r="F462" s="312"/>
      <c r="G462" s="503"/>
      <c r="H462" s="518" t="s">
        <v>1344</v>
      </c>
      <c r="I462" s="232" t="s">
        <v>46</v>
      </c>
      <c r="J462" s="509" t="s">
        <v>210</v>
      </c>
      <c r="K462" s="72">
        <v>2402041</v>
      </c>
      <c r="L462" s="509" t="s">
        <v>211</v>
      </c>
      <c r="M462" s="232" t="s">
        <v>46</v>
      </c>
      <c r="N462" s="504" t="s">
        <v>212</v>
      </c>
      <c r="O462" s="72">
        <v>240204100</v>
      </c>
      <c r="P462" s="504" t="s">
        <v>213</v>
      </c>
      <c r="Q462" s="514" t="s">
        <v>51</v>
      </c>
      <c r="R462" s="182">
        <v>130</v>
      </c>
      <c r="S462" s="503" t="s">
        <v>1345</v>
      </c>
      <c r="T462" s="508" t="s">
        <v>1346</v>
      </c>
      <c r="U462" s="509" t="s">
        <v>1347</v>
      </c>
      <c r="V462" s="135"/>
      <c r="W462" s="135"/>
      <c r="X462" s="189"/>
      <c r="Y462" s="135"/>
      <c r="Z462" s="135"/>
      <c r="AA462" s="240"/>
      <c r="AB462" s="135"/>
      <c r="AC462" s="135"/>
      <c r="AD462" s="241"/>
      <c r="AE462" s="135"/>
      <c r="AF462" s="189"/>
      <c r="AG462" s="175">
        <v>199461691.20000002</v>
      </c>
      <c r="AH462" s="135"/>
      <c r="AI462" s="135"/>
      <c r="AJ462" s="313">
        <f>+V462+W462+X462+Y462+Z462+AA462+AB462+AC462+AD462+AE462+AF462+AG462+AH462</f>
        <v>199461691.20000002</v>
      </c>
      <c r="AK462" s="315" t="s">
        <v>1532</v>
      </c>
      <c r="AL462" s="315" t="s">
        <v>1340</v>
      </c>
      <c r="AM462" s="7"/>
    </row>
    <row r="463" spans="1:77" s="8" customFormat="1" ht="24" customHeight="1" x14ac:dyDescent="0.25">
      <c r="A463" s="115"/>
      <c r="B463" s="70"/>
      <c r="C463" s="70"/>
      <c r="D463" s="379">
        <v>40</v>
      </c>
      <c r="E463" s="62" t="s">
        <v>236</v>
      </c>
      <c r="F463" s="62"/>
      <c r="G463" s="120"/>
      <c r="H463" s="120"/>
      <c r="I463" s="121"/>
      <c r="J463" s="123"/>
      <c r="K463" s="122"/>
      <c r="L463" s="123"/>
      <c r="M463" s="123"/>
      <c r="N463" s="125"/>
      <c r="O463" s="124"/>
      <c r="P463" s="125"/>
      <c r="Q463" s="126"/>
      <c r="R463" s="124"/>
      <c r="S463" s="186"/>
      <c r="T463" s="128"/>
      <c r="U463" s="128"/>
      <c r="V463" s="129">
        <f>V464</f>
        <v>411069897.21000004</v>
      </c>
      <c r="W463" s="129">
        <f t="shared" ref="W463:AJ463" si="163">W464</f>
        <v>0</v>
      </c>
      <c r="X463" s="129">
        <f t="shared" si="163"/>
        <v>0</v>
      </c>
      <c r="Y463" s="129">
        <f t="shared" si="163"/>
        <v>0</v>
      </c>
      <c r="Z463" s="129">
        <f t="shared" si="163"/>
        <v>0</v>
      </c>
      <c r="AA463" s="129">
        <f t="shared" si="163"/>
        <v>0</v>
      </c>
      <c r="AB463" s="129">
        <f t="shared" si="163"/>
        <v>0</v>
      </c>
      <c r="AC463" s="129">
        <f t="shared" si="163"/>
        <v>0</v>
      </c>
      <c r="AD463" s="129">
        <f t="shared" si="163"/>
        <v>0</v>
      </c>
      <c r="AE463" s="129">
        <f t="shared" si="163"/>
        <v>0</v>
      </c>
      <c r="AF463" s="129">
        <f t="shared" si="163"/>
        <v>0</v>
      </c>
      <c r="AG463" s="129">
        <f t="shared" si="163"/>
        <v>797846764.81999993</v>
      </c>
      <c r="AH463" s="129">
        <f t="shared" si="163"/>
        <v>0</v>
      </c>
      <c r="AI463" s="129"/>
      <c r="AJ463" s="129">
        <f t="shared" si="163"/>
        <v>1208916662.03</v>
      </c>
      <c r="AK463" s="129"/>
      <c r="AL463" s="153"/>
      <c r="AM463" s="7"/>
      <c r="AN463" s="7"/>
      <c r="AO463" s="7"/>
      <c r="AP463" s="7"/>
      <c r="AQ463" s="7"/>
      <c r="AR463" s="7"/>
      <c r="AS463" s="7"/>
      <c r="AT463" s="7"/>
      <c r="AU463" s="7"/>
      <c r="AV463" s="7"/>
      <c r="AW463" s="7"/>
      <c r="AX463" s="7"/>
      <c r="AY463" s="7"/>
      <c r="AZ463" s="7"/>
      <c r="BA463" s="7"/>
      <c r="BB463" s="7"/>
      <c r="BC463" s="7"/>
      <c r="BD463" s="7"/>
      <c r="BE463" s="7"/>
      <c r="BF463" s="7"/>
      <c r="BG463" s="7"/>
      <c r="BH463" s="7"/>
      <c r="BI463" s="7"/>
      <c r="BJ463" s="7"/>
      <c r="BK463" s="7"/>
      <c r="BL463" s="7"/>
      <c r="BM463" s="7"/>
      <c r="BN463" s="7"/>
      <c r="BO463" s="7"/>
      <c r="BP463" s="7"/>
      <c r="BQ463" s="7"/>
      <c r="BR463" s="7"/>
      <c r="BS463" s="7"/>
      <c r="BT463" s="7"/>
      <c r="BU463" s="7"/>
      <c r="BV463" s="7"/>
      <c r="BW463" s="7"/>
      <c r="BX463" s="7"/>
      <c r="BY463" s="7"/>
    </row>
    <row r="464" spans="1:77" ht="24" customHeight="1" x14ac:dyDescent="0.2">
      <c r="A464" s="130"/>
      <c r="B464" s="303"/>
      <c r="C464" s="303"/>
      <c r="D464" s="303"/>
      <c r="E464" s="303"/>
      <c r="F464" s="138">
        <v>4001</v>
      </c>
      <c r="G464" s="305" t="s">
        <v>237</v>
      </c>
      <c r="H464" s="305"/>
      <c r="I464" s="594"/>
      <c r="J464" s="595"/>
      <c r="K464" s="596"/>
      <c r="L464" s="595"/>
      <c r="M464" s="595"/>
      <c r="N464" s="590"/>
      <c r="O464" s="591"/>
      <c r="P464" s="590"/>
      <c r="Q464" s="597"/>
      <c r="R464" s="591"/>
      <c r="S464" s="593"/>
      <c r="T464" s="132"/>
      <c r="U464" s="132"/>
      <c r="V464" s="304">
        <f>SUM(V465:V471)</f>
        <v>411069897.21000004</v>
      </c>
      <c r="W464" s="304">
        <f t="shared" ref="W464:AJ464" si="164">SUM(W465:W471)</f>
        <v>0</v>
      </c>
      <c r="X464" s="304">
        <f t="shared" si="164"/>
        <v>0</v>
      </c>
      <c r="Y464" s="304">
        <f t="shared" si="164"/>
        <v>0</v>
      </c>
      <c r="Z464" s="304">
        <f t="shared" si="164"/>
        <v>0</v>
      </c>
      <c r="AA464" s="304">
        <f t="shared" si="164"/>
        <v>0</v>
      </c>
      <c r="AB464" s="304">
        <f t="shared" si="164"/>
        <v>0</v>
      </c>
      <c r="AC464" s="304">
        <f t="shared" si="164"/>
        <v>0</v>
      </c>
      <c r="AD464" s="304">
        <f t="shared" si="164"/>
        <v>0</v>
      </c>
      <c r="AE464" s="304">
        <f t="shared" si="164"/>
        <v>0</v>
      </c>
      <c r="AF464" s="304">
        <f t="shared" si="164"/>
        <v>0</v>
      </c>
      <c r="AG464" s="304">
        <f t="shared" si="164"/>
        <v>797846764.81999993</v>
      </c>
      <c r="AH464" s="304">
        <f t="shared" si="164"/>
        <v>0</v>
      </c>
      <c r="AI464" s="304"/>
      <c r="AJ464" s="304">
        <f t="shared" si="164"/>
        <v>1208916662.03</v>
      </c>
      <c r="AK464" s="304"/>
      <c r="AL464" s="197"/>
      <c r="AM464" s="7"/>
    </row>
    <row r="465" spans="1:77" ht="90" customHeight="1" x14ac:dyDescent="0.2">
      <c r="A465" s="130"/>
      <c r="B465" s="78"/>
      <c r="C465" s="78"/>
      <c r="D465" s="78"/>
      <c r="E465" s="78"/>
      <c r="F465" s="74"/>
      <c r="G465" s="198"/>
      <c r="H465" s="506" t="s">
        <v>238</v>
      </c>
      <c r="I465" s="306">
        <v>4001001</v>
      </c>
      <c r="J465" s="506" t="s">
        <v>1348</v>
      </c>
      <c r="K465" s="306">
        <v>4001001</v>
      </c>
      <c r="L465" s="506" t="s">
        <v>1348</v>
      </c>
      <c r="M465" s="92" t="s">
        <v>1349</v>
      </c>
      <c r="N465" s="521" t="s">
        <v>1350</v>
      </c>
      <c r="O465" s="92" t="s">
        <v>1349</v>
      </c>
      <c r="P465" s="521" t="s">
        <v>1350</v>
      </c>
      <c r="Q465" s="95" t="s">
        <v>67</v>
      </c>
      <c r="R465" s="112">
        <v>3</v>
      </c>
      <c r="S465" s="979" t="s">
        <v>1351</v>
      </c>
      <c r="T465" s="964" t="s">
        <v>1352</v>
      </c>
      <c r="U465" s="963" t="s">
        <v>1353</v>
      </c>
      <c r="V465" s="184">
        <v>0</v>
      </c>
      <c r="W465" s="135"/>
      <c r="X465" s="135"/>
      <c r="Y465" s="135"/>
      <c r="Z465" s="135"/>
      <c r="AA465" s="240"/>
      <c r="AB465" s="135"/>
      <c r="AC465" s="135"/>
      <c r="AD465" s="241"/>
      <c r="AE465" s="135"/>
      <c r="AF465" s="189"/>
      <c r="AG465" s="135">
        <v>9973084.5600000005</v>
      </c>
      <c r="AH465" s="159"/>
      <c r="AI465" s="159"/>
      <c r="AJ465" s="136">
        <f t="shared" ref="AJ465:AJ471" si="165">+V465+W465+X465+Y465+Z465+AA465+AB465+AC465+AD465+AE465+AF465+AG465+AH465</f>
        <v>9973084.5600000005</v>
      </c>
      <c r="AK465" s="936" t="s">
        <v>1532</v>
      </c>
      <c r="AL465" s="942" t="s">
        <v>1340</v>
      </c>
      <c r="AM465" s="7"/>
    </row>
    <row r="466" spans="1:77" ht="90" customHeight="1" x14ac:dyDescent="0.2">
      <c r="A466" s="130"/>
      <c r="B466" s="78"/>
      <c r="C466" s="78"/>
      <c r="D466" s="78"/>
      <c r="E466" s="78"/>
      <c r="F466" s="74"/>
      <c r="G466" s="198"/>
      <c r="H466" s="506" t="s">
        <v>1354</v>
      </c>
      <c r="I466" s="306">
        <v>4001017</v>
      </c>
      <c r="J466" s="506" t="s">
        <v>1355</v>
      </c>
      <c r="K466" s="306">
        <v>4001017</v>
      </c>
      <c r="L466" s="506" t="s">
        <v>1355</v>
      </c>
      <c r="M466" s="92" t="s">
        <v>1356</v>
      </c>
      <c r="N466" s="521" t="s">
        <v>1357</v>
      </c>
      <c r="O466" s="92" t="s">
        <v>1356</v>
      </c>
      <c r="P466" s="521" t="s">
        <v>1357</v>
      </c>
      <c r="Q466" s="112" t="s">
        <v>67</v>
      </c>
      <c r="R466" s="112">
        <v>25</v>
      </c>
      <c r="S466" s="979"/>
      <c r="T466" s="964"/>
      <c r="U466" s="963"/>
      <c r="V466" s="326">
        <f>51383737.16+62209722.85</f>
        <v>113593460.00999999</v>
      </c>
      <c r="W466" s="135"/>
      <c r="X466" s="135"/>
      <c r="Y466" s="135"/>
      <c r="Z466" s="135"/>
      <c r="AA466" s="240"/>
      <c r="AB466" s="135"/>
      <c r="AC466" s="135"/>
      <c r="AD466" s="241"/>
      <c r="AE466" s="135"/>
      <c r="AF466" s="189"/>
      <c r="AG466" s="135">
        <f>29919253.68+27767253.39+12918750+7031749.71</f>
        <v>77637006.779999986</v>
      </c>
      <c r="AH466" s="159"/>
      <c r="AI466" s="159"/>
      <c r="AJ466" s="136">
        <f t="shared" si="165"/>
        <v>191230466.78999996</v>
      </c>
      <c r="AK466" s="937"/>
      <c r="AL466" s="943"/>
      <c r="AM466" s="7"/>
    </row>
    <row r="467" spans="1:77" ht="58.5" customHeight="1" x14ac:dyDescent="0.2">
      <c r="A467" s="130"/>
      <c r="B467" s="78"/>
      <c r="C467" s="78"/>
      <c r="D467" s="78"/>
      <c r="E467" s="78"/>
      <c r="F467" s="74"/>
      <c r="G467" s="198"/>
      <c r="H467" s="506" t="s">
        <v>238</v>
      </c>
      <c r="I467" s="306">
        <v>4001018</v>
      </c>
      <c r="J467" s="506" t="s">
        <v>1358</v>
      </c>
      <c r="K467" s="306">
        <v>4001018</v>
      </c>
      <c r="L467" s="506" t="s">
        <v>1358</v>
      </c>
      <c r="M467" s="92" t="s">
        <v>1359</v>
      </c>
      <c r="N467" s="521" t="s">
        <v>1360</v>
      </c>
      <c r="O467" s="92" t="s">
        <v>1359</v>
      </c>
      <c r="P467" s="521" t="s">
        <v>1360</v>
      </c>
      <c r="Q467" s="112" t="s">
        <v>67</v>
      </c>
      <c r="R467" s="112">
        <v>75</v>
      </c>
      <c r="S467" s="979"/>
      <c r="T467" s="964"/>
      <c r="U467" s="963"/>
      <c r="V467" s="326">
        <v>143874464.02000001</v>
      </c>
      <c r="W467" s="135"/>
      <c r="X467" s="135"/>
      <c r="Y467" s="135"/>
      <c r="Z467" s="135"/>
      <c r="AA467" s="240"/>
      <c r="AB467" s="135"/>
      <c r="AC467" s="135"/>
      <c r="AD467" s="241"/>
      <c r="AE467" s="135"/>
      <c r="AF467" s="189"/>
      <c r="AG467" s="135">
        <f>59838507.38-8822723.33</f>
        <v>51015784.050000004</v>
      </c>
      <c r="AH467" s="159"/>
      <c r="AI467" s="159"/>
      <c r="AJ467" s="136">
        <f t="shared" si="165"/>
        <v>194890248.07000002</v>
      </c>
      <c r="AK467" s="937"/>
      <c r="AL467" s="943"/>
      <c r="AM467" s="7"/>
    </row>
    <row r="468" spans="1:77" ht="43.5" customHeight="1" x14ac:dyDescent="0.2">
      <c r="A468" s="130"/>
      <c r="B468" s="78"/>
      <c r="C468" s="78"/>
      <c r="D468" s="78"/>
      <c r="E468" s="78"/>
      <c r="F468" s="74"/>
      <c r="G468" s="198"/>
      <c r="H468" s="506" t="s">
        <v>238</v>
      </c>
      <c r="I468" s="306">
        <v>4001030</v>
      </c>
      <c r="J468" s="506" t="s">
        <v>1361</v>
      </c>
      <c r="K468" s="306">
        <v>4001030</v>
      </c>
      <c r="L468" s="506" t="s">
        <v>1361</v>
      </c>
      <c r="M468" s="92" t="s">
        <v>1362</v>
      </c>
      <c r="N468" s="521" t="s">
        <v>262</v>
      </c>
      <c r="O468" s="92" t="s">
        <v>1362</v>
      </c>
      <c r="P468" s="521" t="s">
        <v>262</v>
      </c>
      <c r="Q468" s="95" t="s">
        <v>67</v>
      </c>
      <c r="R468" s="112">
        <v>3</v>
      </c>
      <c r="S468" s="979"/>
      <c r="T468" s="964"/>
      <c r="U468" s="963"/>
      <c r="V468" s="326">
        <v>0</v>
      </c>
      <c r="W468" s="135"/>
      <c r="X468" s="135"/>
      <c r="Y468" s="135"/>
      <c r="Z468" s="135"/>
      <c r="AA468" s="240"/>
      <c r="AB468" s="135"/>
      <c r="AC468" s="135"/>
      <c r="AD468" s="241"/>
      <c r="AE468" s="135"/>
      <c r="AF468" s="175"/>
      <c r="AG468" s="135">
        <v>9973084.5600000005</v>
      </c>
      <c r="AH468" s="159"/>
      <c r="AI468" s="159"/>
      <c r="AJ468" s="136">
        <f t="shared" si="165"/>
        <v>9973084.5600000005</v>
      </c>
      <c r="AK468" s="937"/>
      <c r="AL468" s="943"/>
      <c r="AM468" s="7"/>
    </row>
    <row r="469" spans="1:77" ht="51.75" customHeight="1" x14ac:dyDescent="0.2">
      <c r="A469" s="130"/>
      <c r="B469" s="78"/>
      <c r="C469" s="78"/>
      <c r="D469" s="78"/>
      <c r="E469" s="78"/>
      <c r="F469" s="74"/>
      <c r="G469" s="198"/>
      <c r="H469" s="506" t="s">
        <v>238</v>
      </c>
      <c r="I469" s="306">
        <v>4001031</v>
      </c>
      <c r="J469" s="506" t="s">
        <v>1363</v>
      </c>
      <c r="K469" s="306">
        <v>4001031</v>
      </c>
      <c r="L469" s="506" t="s">
        <v>1363</v>
      </c>
      <c r="M469" s="92">
        <v>400103103</v>
      </c>
      <c r="N469" s="80" t="s">
        <v>1364</v>
      </c>
      <c r="O469" s="92">
        <v>400103103</v>
      </c>
      <c r="P469" s="80" t="s">
        <v>1364</v>
      </c>
      <c r="Q469" s="95" t="s">
        <v>67</v>
      </c>
      <c r="R469" s="112">
        <v>8</v>
      </c>
      <c r="S469" s="979"/>
      <c r="T469" s="964"/>
      <c r="U469" s="963"/>
      <c r="V469" s="326">
        <v>0</v>
      </c>
      <c r="W469" s="135"/>
      <c r="X469" s="135"/>
      <c r="Y469" s="135"/>
      <c r="Z469" s="135"/>
      <c r="AA469" s="240"/>
      <c r="AB469" s="135"/>
      <c r="AC469" s="135"/>
      <c r="AD469" s="241"/>
      <c r="AE469" s="135"/>
      <c r="AF469" s="175"/>
      <c r="AG469" s="135">
        <v>598385073.60000002</v>
      </c>
      <c r="AH469" s="159"/>
      <c r="AI469" s="159"/>
      <c r="AJ469" s="136">
        <f t="shared" si="165"/>
        <v>598385073.60000002</v>
      </c>
      <c r="AK469" s="937"/>
      <c r="AL469" s="943"/>
      <c r="AM469" s="7"/>
    </row>
    <row r="470" spans="1:77" ht="60.75" customHeight="1" x14ac:dyDescent="0.2">
      <c r="A470" s="130"/>
      <c r="B470" s="78"/>
      <c r="C470" s="78"/>
      <c r="D470" s="78"/>
      <c r="E470" s="78"/>
      <c r="F470" s="74"/>
      <c r="G470" s="198"/>
      <c r="H470" s="506" t="s">
        <v>1354</v>
      </c>
      <c r="I470" s="306" t="s">
        <v>1365</v>
      </c>
      <c r="J470" s="506" t="s">
        <v>1366</v>
      </c>
      <c r="K470" s="306" t="s">
        <v>1365</v>
      </c>
      <c r="L470" s="506" t="s">
        <v>1366</v>
      </c>
      <c r="M470" s="92" t="s">
        <v>1367</v>
      </c>
      <c r="N470" s="521" t="s">
        <v>1366</v>
      </c>
      <c r="O470" s="92" t="s">
        <v>1367</v>
      </c>
      <c r="P470" s="521" t="s">
        <v>1366</v>
      </c>
      <c r="Q470" s="95" t="s">
        <v>67</v>
      </c>
      <c r="R470" s="112">
        <v>35</v>
      </c>
      <c r="S470" s="979"/>
      <c r="T470" s="964"/>
      <c r="U470" s="963"/>
      <c r="V470" s="326">
        <f>71937232.01-57179838.22</f>
        <v>14757393.790000007</v>
      </c>
      <c r="W470" s="135"/>
      <c r="X470" s="135"/>
      <c r="Y470" s="135"/>
      <c r="Z470" s="135"/>
      <c r="AA470" s="240"/>
      <c r="AB470" s="135"/>
      <c r="AC470" s="135"/>
      <c r="AD470" s="241"/>
      <c r="AE470" s="135"/>
      <c r="AF470" s="175"/>
      <c r="AG470" s="135">
        <f>29919253.68-27767253.39</f>
        <v>2152000.2899999991</v>
      </c>
      <c r="AH470" s="159"/>
      <c r="AI470" s="159"/>
      <c r="AJ470" s="136">
        <f t="shared" si="165"/>
        <v>16909394.080000006</v>
      </c>
      <c r="AK470" s="937"/>
      <c r="AL470" s="943"/>
      <c r="AM470" s="7"/>
    </row>
    <row r="471" spans="1:77" ht="52.5" customHeight="1" x14ac:dyDescent="0.2">
      <c r="A471" s="130"/>
      <c r="B471" s="78"/>
      <c r="C471" s="78"/>
      <c r="D471" s="78"/>
      <c r="E471" s="78"/>
      <c r="F471" s="74"/>
      <c r="G471" s="198"/>
      <c r="H471" s="506" t="s">
        <v>238</v>
      </c>
      <c r="I471" s="306" t="s">
        <v>1368</v>
      </c>
      <c r="J471" s="506" t="s">
        <v>241</v>
      </c>
      <c r="K471" s="306" t="s">
        <v>1368</v>
      </c>
      <c r="L471" s="506" t="s">
        <v>241</v>
      </c>
      <c r="M471" s="92">
        <v>400101500</v>
      </c>
      <c r="N471" s="521" t="s">
        <v>241</v>
      </c>
      <c r="O471" s="92">
        <v>400101500</v>
      </c>
      <c r="P471" s="521" t="s">
        <v>241</v>
      </c>
      <c r="Q471" s="95" t="s">
        <v>67</v>
      </c>
      <c r="R471" s="71">
        <v>50</v>
      </c>
      <c r="S471" s="979"/>
      <c r="T471" s="964"/>
      <c r="U471" s="963"/>
      <c r="V471" s="326">
        <f>143874464.02-5029884.63</f>
        <v>138844579.39000002</v>
      </c>
      <c r="W471" s="135"/>
      <c r="X471" s="135"/>
      <c r="Y471" s="135"/>
      <c r="Z471" s="135"/>
      <c r="AA471" s="240"/>
      <c r="AB471" s="135"/>
      <c r="AC471" s="135"/>
      <c r="AD471" s="241"/>
      <c r="AE471" s="135"/>
      <c r="AF471" s="175"/>
      <c r="AG471" s="135">
        <f>59838507.36-11127776.38</f>
        <v>48710730.979999997</v>
      </c>
      <c r="AH471" s="159"/>
      <c r="AI471" s="159"/>
      <c r="AJ471" s="136">
        <f t="shared" si="165"/>
        <v>187555310.37</v>
      </c>
      <c r="AK471" s="938"/>
      <c r="AL471" s="944"/>
      <c r="AM471" s="7"/>
    </row>
    <row r="472" spans="1:77" s="436" customFormat="1" ht="16.5" customHeight="1" x14ac:dyDescent="0.25">
      <c r="A472" s="432"/>
      <c r="B472" s="432"/>
      <c r="C472" s="432"/>
      <c r="D472" s="432"/>
      <c r="E472" s="432"/>
      <c r="F472" s="432"/>
      <c r="G472" s="432"/>
      <c r="H472" s="433"/>
      <c r="I472" s="432"/>
      <c r="J472" s="432"/>
      <c r="K472" s="432"/>
      <c r="L472" s="432"/>
      <c r="M472" s="432"/>
      <c r="N472" s="432"/>
      <c r="O472" s="432"/>
      <c r="P472" s="432"/>
      <c r="Q472" s="434"/>
      <c r="R472" s="432"/>
      <c r="S472" s="434"/>
      <c r="T472" s="434"/>
      <c r="U472" s="434"/>
      <c r="V472" s="435"/>
      <c r="W472" s="435"/>
      <c r="X472" s="435"/>
      <c r="Y472" s="435"/>
      <c r="Z472" s="435"/>
      <c r="AA472" s="435"/>
      <c r="AB472" s="435"/>
      <c r="AC472" s="435"/>
      <c r="AD472" s="435"/>
      <c r="AE472" s="435"/>
      <c r="AF472" s="435"/>
      <c r="AG472" s="435"/>
      <c r="AH472" s="435"/>
      <c r="AI472" s="435"/>
      <c r="AJ472" s="435"/>
      <c r="AK472" s="435"/>
      <c r="AL472" s="435"/>
      <c r="AM472" s="7"/>
    </row>
    <row r="473" spans="1:77" s="365" customFormat="1" ht="24" customHeight="1" x14ac:dyDescent="0.2">
      <c r="A473" s="34" t="s">
        <v>1369</v>
      </c>
      <c r="B473" s="34"/>
      <c r="C473" s="34"/>
      <c r="D473" s="34"/>
      <c r="E473" s="34"/>
      <c r="F473" s="35"/>
      <c r="G473" s="578"/>
      <c r="H473" s="600"/>
      <c r="I473" s="600"/>
      <c r="J473" s="600"/>
      <c r="K473" s="601"/>
      <c r="L473" s="600"/>
      <c r="M473" s="600"/>
      <c r="N473" s="602"/>
      <c r="O473" s="603"/>
      <c r="P473" s="602"/>
      <c r="Q473" s="604"/>
      <c r="R473" s="603"/>
      <c r="S473" s="36"/>
      <c r="T473" s="362"/>
      <c r="U473" s="362"/>
      <c r="V473" s="358">
        <f t="shared" ref="V473:AH475" si="166">V474</f>
        <v>0</v>
      </c>
      <c r="W473" s="358">
        <f t="shared" si="166"/>
        <v>0</v>
      </c>
      <c r="X473" s="358">
        <f t="shared" si="166"/>
        <v>0</v>
      </c>
      <c r="Y473" s="358">
        <f t="shared" si="166"/>
        <v>0</v>
      </c>
      <c r="Z473" s="358">
        <f t="shared" si="166"/>
        <v>0</v>
      </c>
      <c r="AA473" s="358">
        <f t="shared" si="166"/>
        <v>0</v>
      </c>
      <c r="AB473" s="358">
        <f t="shared" si="166"/>
        <v>0</v>
      </c>
      <c r="AC473" s="358">
        <f t="shared" si="166"/>
        <v>0</v>
      </c>
      <c r="AD473" s="358">
        <f t="shared" si="166"/>
        <v>0</v>
      </c>
      <c r="AE473" s="358">
        <f t="shared" si="166"/>
        <v>0</v>
      </c>
      <c r="AF473" s="358">
        <f t="shared" si="166"/>
        <v>0</v>
      </c>
      <c r="AG473" s="358">
        <f t="shared" si="166"/>
        <v>110210000</v>
      </c>
      <c r="AH473" s="358">
        <f t="shared" si="166"/>
        <v>0</v>
      </c>
      <c r="AI473" s="358"/>
      <c r="AJ473" s="358">
        <f>AJ474</f>
        <v>110210000</v>
      </c>
      <c r="AK473" s="358"/>
      <c r="AL473" s="359"/>
      <c r="AM473" s="7"/>
      <c r="AN473" s="364"/>
      <c r="AO473" s="364"/>
      <c r="AP473" s="364"/>
      <c r="AQ473" s="364"/>
      <c r="AR473" s="364"/>
      <c r="AS473" s="364"/>
      <c r="AT473" s="364"/>
      <c r="AU473" s="364"/>
      <c r="AV473" s="364"/>
      <c r="AW473" s="364"/>
      <c r="AX473" s="364"/>
      <c r="AY473" s="364"/>
      <c r="AZ473" s="364"/>
      <c r="BA473" s="364"/>
      <c r="BB473" s="364"/>
      <c r="BC473" s="364"/>
      <c r="BD473" s="364"/>
      <c r="BE473" s="364"/>
      <c r="BF473" s="364"/>
      <c r="BG473" s="364"/>
      <c r="BH473" s="364"/>
      <c r="BI473" s="364"/>
      <c r="BJ473" s="364"/>
      <c r="BK473" s="364"/>
      <c r="BL473" s="364"/>
      <c r="BM473" s="364"/>
      <c r="BN473" s="364"/>
      <c r="BO473" s="364"/>
      <c r="BP473" s="364"/>
      <c r="BQ473" s="364"/>
      <c r="BR473" s="364"/>
      <c r="BS473" s="364"/>
      <c r="BT473" s="364"/>
      <c r="BU473" s="364"/>
      <c r="BV473" s="364"/>
      <c r="BW473" s="364"/>
      <c r="BX473" s="364"/>
      <c r="BY473" s="364"/>
    </row>
    <row r="474" spans="1:77" ht="24" customHeight="1" x14ac:dyDescent="0.2">
      <c r="A474" s="130"/>
      <c r="B474" s="116">
        <v>3</v>
      </c>
      <c r="C474" s="61" t="s">
        <v>199</v>
      </c>
      <c r="D474" s="61"/>
      <c r="E474" s="157"/>
      <c r="F474" s="61"/>
      <c r="G474" s="163"/>
      <c r="H474" s="366"/>
      <c r="I474" s="366"/>
      <c r="J474" s="165"/>
      <c r="K474" s="588"/>
      <c r="L474" s="165"/>
      <c r="M474" s="165"/>
      <c r="N474" s="167"/>
      <c r="O474" s="166"/>
      <c r="P474" s="167"/>
      <c r="Q474" s="599"/>
      <c r="R474" s="166"/>
      <c r="S474" s="598"/>
      <c r="T474" s="118"/>
      <c r="U474" s="118"/>
      <c r="V474" s="301">
        <f t="shared" si="166"/>
        <v>0</v>
      </c>
      <c r="W474" s="301">
        <f t="shared" si="166"/>
        <v>0</v>
      </c>
      <c r="X474" s="301">
        <f t="shared" si="166"/>
        <v>0</v>
      </c>
      <c r="Y474" s="301">
        <f t="shared" si="166"/>
        <v>0</v>
      </c>
      <c r="Z474" s="301">
        <f t="shared" si="166"/>
        <v>0</v>
      </c>
      <c r="AA474" s="301">
        <f t="shared" si="166"/>
        <v>0</v>
      </c>
      <c r="AB474" s="301">
        <f t="shared" si="166"/>
        <v>0</v>
      </c>
      <c r="AC474" s="301">
        <f t="shared" si="166"/>
        <v>0</v>
      </c>
      <c r="AD474" s="301">
        <f t="shared" si="166"/>
        <v>0</v>
      </c>
      <c r="AE474" s="301">
        <f t="shared" si="166"/>
        <v>0</v>
      </c>
      <c r="AF474" s="301">
        <f t="shared" si="166"/>
        <v>0</v>
      </c>
      <c r="AG474" s="301">
        <f t="shared" si="166"/>
        <v>110210000</v>
      </c>
      <c r="AH474" s="301">
        <f t="shared" si="166"/>
        <v>0</v>
      </c>
      <c r="AI474" s="301"/>
      <c r="AJ474" s="301">
        <f>AJ475</f>
        <v>110210000</v>
      </c>
      <c r="AK474" s="301"/>
      <c r="AL474" s="302"/>
      <c r="AM474" s="7"/>
    </row>
    <row r="475" spans="1:77" s="8" customFormat="1" ht="24" customHeight="1" x14ac:dyDescent="0.25">
      <c r="A475" s="115"/>
      <c r="B475" s="70"/>
      <c r="C475" s="70"/>
      <c r="D475" s="64">
        <v>24</v>
      </c>
      <c r="E475" s="62" t="s">
        <v>200</v>
      </c>
      <c r="F475" s="62"/>
      <c r="G475" s="120"/>
      <c r="H475" s="121"/>
      <c r="I475" s="121"/>
      <c r="J475" s="123"/>
      <c r="K475" s="122"/>
      <c r="L475" s="123"/>
      <c r="M475" s="123"/>
      <c r="N475" s="125"/>
      <c r="O475" s="124"/>
      <c r="P475" s="125"/>
      <c r="Q475" s="126"/>
      <c r="R475" s="124"/>
      <c r="S475" s="186"/>
      <c r="T475" s="128"/>
      <c r="U475" s="128"/>
      <c r="V475" s="129">
        <f t="shared" si="166"/>
        <v>0</v>
      </c>
      <c r="W475" s="129">
        <f t="shared" si="166"/>
        <v>0</v>
      </c>
      <c r="X475" s="129">
        <f t="shared" si="166"/>
        <v>0</v>
      </c>
      <c r="Y475" s="129">
        <f t="shared" si="166"/>
        <v>0</v>
      </c>
      <c r="Z475" s="129">
        <f t="shared" si="166"/>
        <v>0</v>
      </c>
      <c r="AA475" s="129">
        <f t="shared" si="166"/>
        <v>0</v>
      </c>
      <c r="AB475" s="129">
        <f t="shared" si="166"/>
        <v>0</v>
      </c>
      <c r="AC475" s="129">
        <f t="shared" si="166"/>
        <v>0</v>
      </c>
      <c r="AD475" s="129">
        <f t="shared" si="166"/>
        <v>0</v>
      </c>
      <c r="AE475" s="129">
        <f t="shared" si="166"/>
        <v>0</v>
      </c>
      <c r="AF475" s="129">
        <f t="shared" si="166"/>
        <v>0</v>
      </c>
      <c r="AG475" s="129">
        <f t="shared" si="166"/>
        <v>110210000</v>
      </c>
      <c r="AH475" s="129">
        <f t="shared" si="166"/>
        <v>0</v>
      </c>
      <c r="AI475" s="129"/>
      <c r="AJ475" s="129">
        <f>AJ476</f>
        <v>110210000</v>
      </c>
      <c r="AK475" s="129"/>
      <c r="AL475" s="153"/>
      <c r="AM475" s="7"/>
      <c r="AN475" s="7"/>
      <c r="AO475" s="7"/>
      <c r="AP475" s="7"/>
      <c r="AQ475" s="7"/>
      <c r="AR475" s="7"/>
      <c r="AS475" s="7"/>
      <c r="AT475" s="7"/>
      <c r="AU475" s="7"/>
      <c r="AV475" s="7"/>
      <c r="AW475" s="7"/>
      <c r="AX475" s="7"/>
      <c r="AY475" s="7"/>
      <c r="AZ475" s="7"/>
      <c r="BA475" s="7"/>
      <c r="BB475" s="7"/>
      <c r="BC475" s="7"/>
      <c r="BD475" s="7"/>
      <c r="BE475" s="7"/>
      <c r="BF475" s="7"/>
      <c r="BG475" s="7"/>
      <c r="BH475" s="7"/>
      <c r="BI475" s="7"/>
      <c r="BJ475" s="7"/>
      <c r="BK475" s="7"/>
      <c r="BL475" s="7"/>
      <c r="BM475" s="7"/>
      <c r="BN475" s="7"/>
      <c r="BO475" s="7"/>
      <c r="BP475" s="7"/>
      <c r="BQ475" s="7"/>
      <c r="BR475" s="7"/>
      <c r="BS475" s="7"/>
      <c r="BT475" s="7"/>
      <c r="BU475" s="7"/>
      <c r="BV475" s="7"/>
      <c r="BW475" s="7"/>
      <c r="BX475" s="7"/>
      <c r="BY475" s="7"/>
    </row>
    <row r="476" spans="1:77" ht="24" customHeight="1" x14ac:dyDescent="0.2">
      <c r="A476" s="130"/>
      <c r="B476" s="78"/>
      <c r="C476" s="78"/>
      <c r="D476" s="78"/>
      <c r="E476" s="78"/>
      <c r="F476" s="138">
        <v>2409</v>
      </c>
      <c r="G476" s="956" t="s">
        <v>1370</v>
      </c>
      <c r="H476" s="957"/>
      <c r="I476" s="957"/>
      <c r="J476" s="957"/>
      <c r="K476" s="957"/>
      <c r="L476" s="957"/>
      <c r="M476" s="574"/>
      <c r="N476" s="590"/>
      <c r="O476" s="591"/>
      <c r="P476" s="590"/>
      <c r="Q476" s="597"/>
      <c r="R476" s="591"/>
      <c r="S476" s="593"/>
      <c r="T476" s="132"/>
      <c r="U476" s="132"/>
      <c r="V476" s="304">
        <f t="shared" ref="V476:AH476" si="167">SUM(V477:V480)</f>
        <v>0</v>
      </c>
      <c r="W476" s="304">
        <f t="shared" si="167"/>
        <v>0</v>
      </c>
      <c r="X476" s="304">
        <f t="shared" si="167"/>
        <v>0</v>
      </c>
      <c r="Y476" s="304">
        <f t="shared" si="167"/>
        <v>0</v>
      </c>
      <c r="Z476" s="304">
        <f t="shared" si="167"/>
        <v>0</v>
      </c>
      <c r="AA476" s="304">
        <f t="shared" si="167"/>
        <v>0</v>
      </c>
      <c r="AB476" s="304">
        <f t="shared" si="167"/>
        <v>0</v>
      </c>
      <c r="AC476" s="304">
        <f t="shared" si="167"/>
        <v>0</v>
      </c>
      <c r="AD476" s="304">
        <f t="shared" si="167"/>
        <v>0</v>
      </c>
      <c r="AE476" s="304">
        <f t="shared" si="167"/>
        <v>0</v>
      </c>
      <c r="AF476" s="304">
        <f t="shared" si="167"/>
        <v>0</v>
      </c>
      <c r="AG476" s="304">
        <f t="shared" si="167"/>
        <v>110210000</v>
      </c>
      <c r="AH476" s="304">
        <f t="shared" si="167"/>
        <v>0</v>
      </c>
      <c r="AI476" s="304"/>
      <c r="AJ476" s="304">
        <f>SUM(AJ477:AJ480)</f>
        <v>110210000</v>
      </c>
      <c r="AK476" s="304"/>
      <c r="AL476" s="197"/>
      <c r="AM476" s="7"/>
    </row>
    <row r="477" spans="1:77" s="37" customFormat="1" ht="132.75" customHeight="1" x14ac:dyDescent="0.2">
      <c r="A477" s="311"/>
      <c r="B477" s="70"/>
      <c r="C477" s="70"/>
      <c r="D477" s="70"/>
      <c r="E477" s="70"/>
      <c r="F477" s="327"/>
      <c r="G477" s="514"/>
      <c r="H477" s="80" t="s">
        <v>1371</v>
      </c>
      <c r="I477" s="232" t="s">
        <v>46</v>
      </c>
      <c r="J477" s="509" t="s">
        <v>1372</v>
      </c>
      <c r="K477" s="69">
        <v>2409009</v>
      </c>
      <c r="L477" s="509" t="s">
        <v>1373</v>
      </c>
      <c r="M477" s="232" t="s">
        <v>46</v>
      </c>
      <c r="N477" s="80" t="s">
        <v>1374</v>
      </c>
      <c r="O477" s="69">
        <v>240900900</v>
      </c>
      <c r="P477" s="80" t="s">
        <v>1375</v>
      </c>
      <c r="Q477" s="232" t="s">
        <v>51</v>
      </c>
      <c r="R477" s="232">
        <v>1</v>
      </c>
      <c r="S477" s="983" t="s">
        <v>1376</v>
      </c>
      <c r="T477" s="968" t="s">
        <v>1377</v>
      </c>
      <c r="U477" s="968" t="s">
        <v>1378</v>
      </c>
      <c r="V477" s="135"/>
      <c r="W477" s="135"/>
      <c r="X477" s="135"/>
      <c r="Y477" s="135"/>
      <c r="Z477" s="135"/>
      <c r="AA477" s="240"/>
      <c r="AB477" s="135"/>
      <c r="AC477" s="135"/>
      <c r="AD477" s="241"/>
      <c r="AE477" s="135"/>
      <c r="AF477" s="189"/>
      <c r="AG477" s="189">
        <v>27192000</v>
      </c>
      <c r="AH477" s="135"/>
      <c r="AI477" s="135"/>
      <c r="AJ477" s="313">
        <f>+V477+W477+X477+Y477+Z477+AA477+AB477+AC477+AD477+AE477+AF477+AG477+AH477</f>
        <v>27192000</v>
      </c>
      <c r="AK477" s="939" t="s">
        <v>1533</v>
      </c>
      <c r="AL477" s="939" t="s">
        <v>1534</v>
      </c>
      <c r="AM477" s="7"/>
    </row>
    <row r="478" spans="1:77" s="37" customFormat="1" ht="109.5" customHeight="1" x14ac:dyDescent="0.2">
      <c r="A478" s="311"/>
      <c r="B478" s="70"/>
      <c r="C478" s="70"/>
      <c r="D478" s="70"/>
      <c r="E478" s="70"/>
      <c r="F478" s="327"/>
      <c r="G478" s="514"/>
      <c r="H478" s="80" t="s">
        <v>1371</v>
      </c>
      <c r="I478" s="232" t="s">
        <v>46</v>
      </c>
      <c r="J478" s="509" t="s">
        <v>1379</v>
      </c>
      <c r="K478" s="69">
        <v>2409022</v>
      </c>
      <c r="L478" s="509" t="s">
        <v>1380</v>
      </c>
      <c r="M478" s="232" t="s">
        <v>46</v>
      </c>
      <c r="N478" s="80" t="s">
        <v>1381</v>
      </c>
      <c r="O478" s="69">
        <v>240902202</v>
      </c>
      <c r="P478" s="80" t="s">
        <v>1528</v>
      </c>
      <c r="Q478" s="232" t="s">
        <v>51</v>
      </c>
      <c r="R478" s="232">
        <v>1</v>
      </c>
      <c r="S478" s="983"/>
      <c r="T478" s="968"/>
      <c r="U478" s="968"/>
      <c r="V478" s="135"/>
      <c r="W478" s="135"/>
      <c r="X478" s="135"/>
      <c r="Y478" s="135"/>
      <c r="Z478" s="135"/>
      <c r="AA478" s="240"/>
      <c r="AB478" s="135"/>
      <c r="AC478" s="135"/>
      <c r="AD478" s="241"/>
      <c r="AE478" s="135"/>
      <c r="AF478" s="189"/>
      <c r="AG478" s="189">
        <v>8652000</v>
      </c>
      <c r="AH478" s="135"/>
      <c r="AI478" s="135"/>
      <c r="AJ478" s="313">
        <f>+V478+W478+X478+Y478+Z478+AA478+AB478+AC478+AD478+AE478+AF478+AG478+AH478</f>
        <v>8652000</v>
      </c>
      <c r="AK478" s="940"/>
      <c r="AL478" s="940"/>
      <c r="AM478" s="7"/>
    </row>
    <row r="479" spans="1:77" s="37" customFormat="1" ht="108.75" customHeight="1" x14ac:dyDescent="0.2">
      <c r="A479" s="311"/>
      <c r="B479" s="70"/>
      <c r="C479" s="70"/>
      <c r="D479" s="70"/>
      <c r="E479" s="70"/>
      <c r="F479" s="327"/>
      <c r="G479" s="514"/>
      <c r="H479" s="80" t="s">
        <v>1371</v>
      </c>
      <c r="I479" s="232" t="s">
        <v>46</v>
      </c>
      <c r="J479" s="509" t="s">
        <v>1529</v>
      </c>
      <c r="K479" s="69">
        <v>2409014</v>
      </c>
      <c r="L479" s="509" t="s">
        <v>248</v>
      </c>
      <c r="M479" s="232" t="s">
        <v>46</v>
      </c>
      <c r="N479" s="80" t="s">
        <v>1382</v>
      </c>
      <c r="O479" s="69">
        <v>240901400</v>
      </c>
      <c r="P479" s="80" t="s">
        <v>1000</v>
      </c>
      <c r="Q479" s="232" t="s">
        <v>51</v>
      </c>
      <c r="R479" s="232">
        <v>1</v>
      </c>
      <c r="S479" s="983"/>
      <c r="T479" s="968"/>
      <c r="U479" s="968"/>
      <c r="V479" s="135"/>
      <c r="W479" s="135"/>
      <c r="X479" s="135"/>
      <c r="Y479" s="135"/>
      <c r="Z479" s="135"/>
      <c r="AA479" s="240"/>
      <c r="AB479" s="135"/>
      <c r="AC479" s="135"/>
      <c r="AD479" s="241"/>
      <c r="AE479" s="135"/>
      <c r="AF479" s="189"/>
      <c r="AG479" s="189">
        <v>25956000</v>
      </c>
      <c r="AH479" s="135"/>
      <c r="AI479" s="135"/>
      <c r="AJ479" s="313">
        <f>+V479+W479+X479+Y479+Z479+AA479+AB479+AC479+AD479+AE479+AF479+AG479+AH479</f>
        <v>25956000</v>
      </c>
      <c r="AK479" s="940"/>
      <c r="AL479" s="940"/>
      <c r="AM479" s="7"/>
    </row>
    <row r="480" spans="1:77" s="37" customFormat="1" ht="132" customHeight="1" x14ac:dyDescent="0.2">
      <c r="A480" s="311"/>
      <c r="B480" s="70"/>
      <c r="C480" s="70"/>
      <c r="D480" s="70"/>
      <c r="E480" s="70"/>
      <c r="F480" s="327"/>
      <c r="G480" s="514"/>
      <c r="H480" s="80" t="s">
        <v>1371</v>
      </c>
      <c r="I480" s="232" t="s">
        <v>46</v>
      </c>
      <c r="J480" s="509" t="s">
        <v>1383</v>
      </c>
      <c r="K480" s="69">
        <v>2409039</v>
      </c>
      <c r="L480" s="509" t="s">
        <v>1384</v>
      </c>
      <c r="M480" s="232" t="s">
        <v>46</v>
      </c>
      <c r="N480" s="80" t="s">
        <v>1385</v>
      </c>
      <c r="O480" s="69">
        <v>240903905</v>
      </c>
      <c r="P480" s="80" t="s">
        <v>1386</v>
      </c>
      <c r="Q480" s="232" t="s">
        <v>51</v>
      </c>
      <c r="R480" s="232">
        <v>1</v>
      </c>
      <c r="S480" s="983"/>
      <c r="T480" s="968"/>
      <c r="U480" s="968"/>
      <c r="V480" s="135"/>
      <c r="W480" s="135"/>
      <c r="X480" s="135"/>
      <c r="Y480" s="135"/>
      <c r="Z480" s="135"/>
      <c r="AA480" s="240"/>
      <c r="AB480" s="135"/>
      <c r="AC480" s="135"/>
      <c r="AD480" s="241"/>
      <c r="AE480" s="135"/>
      <c r="AF480" s="189"/>
      <c r="AG480" s="189">
        <v>48410000</v>
      </c>
      <c r="AH480" s="135"/>
      <c r="AI480" s="135"/>
      <c r="AJ480" s="313">
        <f>+V480+W480+X480+Y480+Z480+AA480+AB480+AC480+AD480+AE480+AF480+AG480+AH480</f>
        <v>48410000</v>
      </c>
      <c r="AK480" s="941"/>
      <c r="AL480" s="941"/>
      <c r="AM480" s="7"/>
    </row>
    <row r="481" spans="1:77" s="555" customFormat="1" ht="30" customHeight="1" x14ac:dyDescent="0.25">
      <c r="A481" s="307" t="s">
        <v>1387</v>
      </c>
      <c r="B481" s="307"/>
      <c r="C481" s="307"/>
      <c r="D481" s="307"/>
      <c r="E481" s="605"/>
      <c r="F481" s="606"/>
      <c r="G481" s="607"/>
      <c r="H481" s="608"/>
      <c r="I481" s="608"/>
      <c r="J481" s="608"/>
      <c r="K481" s="606"/>
      <c r="L481" s="608"/>
      <c r="M481" s="608"/>
      <c r="N481" s="609"/>
      <c r="O481" s="610"/>
      <c r="P481" s="609"/>
      <c r="Q481" s="607"/>
      <c r="R481" s="610"/>
      <c r="S481" s="552"/>
      <c r="T481" s="308"/>
      <c r="U481" s="308"/>
      <c r="V481" s="553">
        <f t="shared" ref="V481:AJ481" si="168">+V473+V451+V439</f>
        <v>7679291203.0100002</v>
      </c>
      <c r="W481" s="553">
        <f t="shared" si="168"/>
        <v>0</v>
      </c>
      <c r="X481" s="553">
        <f t="shared" si="168"/>
        <v>0</v>
      </c>
      <c r="Y481" s="553">
        <f t="shared" si="168"/>
        <v>0</v>
      </c>
      <c r="Z481" s="553">
        <f t="shared" si="168"/>
        <v>0</v>
      </c>
      <c r="AA481" s="553">
        <f t="shared" si="168"/>
        <v>0</v>
      </c>
      <c r="AB481" s="553">
        <f t="shared" si="168"/>
        <v>0</v>
      </c>
      <c r="AC481" s="553">
        <f t="shared" si="168"/>
        <v>0</v>
      </c>
      <c r="AD481" s="553">
        <f t="shared" si="168"/>
        <v>0</v>
      </c>
      <c r="AE481" s="553">
        <f t="shared" si="168"/>
        <v>0</v>
      </c>
      <c r="AF481" s="553">
        <f t="shared" si="168"/>
        <v>1047130260.64</v>
      </c>
      <c r="AG481" s="553">
        <f t="shared" si="168"/>
        <v>5419626049.5699997</v>
      </c>
      <c r="AH481" s="553">
        <f t="shared" si="168"/>
        <v>1000000000</v>
      </c>
      <c r="AI481" s="553"/>
      <c r="AJ481" s="553">
        <f t="shared" si="168"/>
        <v>15146047513.219999</v>
      </c>
      <c r="AK481" s="553"/>
      <c r="AL481" s="554"/>
      <c r="AM481" s="7"/>
      <c r="AN481" s="7"/>
      <c r="AO481" s="7"/>
      <c r="AP481" s="7"/>
      <c r="AQ481" s="7"/>
      <c r="AR481" s="7"/>
      <c r="AS481" s="7"/>
      <c r="AT481" s="7"/>
      <c r="AU481" s="7"/>
      <c r="AV481" s="7"/>
      <c r="AW481" s="7"/>
      <c r="AX481" s="7"/>
      <c r="AY481" s="7"/>
      <c r="AZ481" s="7"/>
      <c r="BA481" s="7"/>
      <c r="BB481" s="7"/>
      <c r="BC481" s="7"/>
      <c r="BD481" s="7"/>
      <c r="BE481" s="7"/>
      <c r="BF481" s="7"/>
      <c r="BG481" s="7"/>
      <c r="BH481" s="7"/>
      <c r="BI481" s="7"/>
      <c r="BJ481" s="7"/>
      <c r="BK481" s="7"/>
      <c r="BL481" s="7"/>
      <c r="BM481" s="7"/>
      <c r="BN481" s="7"/>
      <c r="BO481" s="7"/>
      <c r="BP481" s="7"/>
      <c r="BQ481" s="7"/>
      <c r="BR481" s="7"/>
      <c r="BS481" s="7"/>
      <c r="BT481" s="7"/>
      <c r="BU481" s="7"/>
      <c r="BV481" s="7"/>
      <c r="BW481" s="7"/>
      <c r="BX481" s="7"/>
      <c r="BY481" s="7"/>
    </row>
    <row r="482" spans="1:77" s="436" customFormat="1" ht="16.5" customHeight="1" x14ac:dyDescent="0.25">
      <c r="A482" s="432"/>
      <c r="B482" s="432"/>
      <c r="C482" s="432"/>
      <c r="D482" s="432"/>
      <c r="E482" s="432"/>
      <c r="F482" s="432"/>
      <c r="G482" s="432"/>
      <c r="H482" s="433"/>
      <c r="I482" s="432"/>
      <c r="J482" s="432"/>
      <c r="K482" s="432"/>
      <c r="L482" s="432"/>
      <c r="M482" s="432"/>
      <c r="N482" s="432"/>
      <c r="O482" s="432"/>
      <c r="P482" s="432"/>
      <c r="Q482" s="434"/>
      <c r="R482" s="432"/>
      <c r="S482" s="434"/>
      <c r="T482" s="434"/>
      <c r="U482" s="434"/>
      <c r="V482" s="435"/>
      <c r="W482" s="435"/>
      <c r="X482" s="435"/>
      <c r="Y482" s="435"/>
      <c r="Z482" s="435"/>
      <c r="AA482" s="435"/>
      <c r="AB482" s="435"/>
      <c r="AC482" s="435"/>
      <c r="AD482" s="435"/>
      <c r="AE482" s="435"/>
      <c r="AF482" s="435"/>
      <c r="AG482" s="435"/>
      <c r="AH482" s="435"/>
      <c r="AI482" s="435"/>
      <c r="AJ482" s="435"/>
      <c r="AK482" s="435"/>
      <c r="AL482" s="435"/>
      <c r="AM482" s="7"/>
    </row>
    <row r="483" spans="1:77" s="561" customFormat="1" ht="30" customHeight="1" x14ac:dyDescent="0.25">
      <c r="A483" s="611" t="s">
        <v>1388</v>
      </c>
      <c r="B483" s="613"/>
      <c r="C483" s="614"/>
      <c r="D483" s="614"/>
      <c r="E483" s="614"/>
      <c r="F483" s="615"/>
      <c r="G483" s="616"/>
      <c r="H483" s="617"/>
      <c r="I483" s="617"/>
      <c r="J483" s="617"/>
      <c r="K483" s="615"/>
      <c r="L483" s="617"/>
      <c r="M483" s="617"/>
      <c r="N483" s="618"/>
      <c r="O483" s="619"/>
      <c r="P483" s="618"/>
      <c r="Q483" s="616"/>
      <c r="R483" s="619"/>
      <c r="S483" s="612"/>
      <c r="T483" s="328"/>
      <c r="U483" s="328"/>
      <c r="V483" s="556">
        <f t="shared" ref="V483:AJ483" si="169">+V437+V481</f>
        <v>20403735587.5</v>
      </c>
      <c r="W483" s="557">
        <f t="shared" si="169"/>
        <v>4387879528.3299999</v>
      </c>
      <c r="X483" s="557">
        <f t="shared" si="169"/>
        <v>56108067</v>
      </c>
      <c r="Y483" s="557">
        <f t="shared" si="169"/>
        <v>2373920278.6599998</v>
      </c>
      <c r="Z483" s="557">
        <f t="shared" si="169"/>
        <v>6474048726.8999996</v>
      </c>
      <c r="AA483" s="558">
        <f t="shared" si="169"/>
        <v>37641943531.420006</v>
      </c>
      <c r="AB483" s="559">
        <f t="shared" si="169"/>
        <v>143579499577.42001</v>
      </c>
      <c r="AC483" s="559">
        <f t="shared" si="169"/>
        <v>25145000000</v>
      </c>
      <c r="AD483" s="556">
        <f t="shared" si="169"/>
        <v>11590214233.049999</v>
      </c>
      <c r="AE483" s="557">
        <f t="shared" si="169"/>
        <v>2895159641.6800003</v>
      </c>
      <c r="AF483" s="557">
        <f t="shared" si="169"/>
        <v>33867976535.830002</v>
      </c>
      <c r="AG483" s="557">
        <f t="shared" si="169"/>
        <v>6687930360.5799999</v>
      </c>
      <c r="AH483" s="557">
        <f t="shared" si="169"/>
        <v>10805514266.9</v>
      </c>
      <c r="AI483" s="557"/>
      <c r="AJ483" s="557">
        <f t="shared" si="169"/>
        <v>306564536920.93005</v>
      </c>
      <c r="AK483" s="557"/>
      <c r="AL483" s="560"/>
      <c r="AM483" s="7"/>
      <c r="AN483" s="19"/>
      <c r="AO483" s="19"/>
      <c r="AP483" s="19"/>
      <c r="AQ483" s="19"/>
      <c r="AR483" s="19"/>
      <c r="AS483" s="19"/>
      <c r="AT483" s="19"/>
      <c r="AU483" s="19"/>
      <c r="AV483" s="19"/>
      <c r="AW483" s="19"/>
      <c r="AX483" s="19"/>
      <c r="AY483" s="19"/>
      <c r="AZ483" s="19"/>
      <c r="BA483" s="19"/>
      <c r="BB483" s="19"/>
      <c r="BC483" s="19"/>
      <c r="BD483" s="19"/>
      <c r="BE483" s="19"/>
      <c r="BF483" s="19"/>
      <c r="BG483" s="19"/>
      <c r="BH483" s="19"/>
      <c r="BI483" s="19"/>
      <c r="BJ483" s="19"/>
      <c r="BK483" s="19"/>
      <c r="BL483" s="19"/>
      <c r="BM483" s="19"/>
      <c r="BN483" s="19"/>
      <c r="BO483" s="19"/>
      <c r="BP483" s="19"/>
      <c r="BQ483" s="19"/>
      <c r="BR483" s="19"/>
      <c r="BS483" s="19"/>
      <c r="BT483" s="19"/>
      <c r="BU483" s="19"/>
      <c r="BV483" s="19"/>
      <c r="BW483" s="19"/>
      <c r="BX483" s="19"/>
      <c r="BY483" s="19"/>
    </row>
    <row r="486" spans="1:77" ht="22.5" customHeight="1" x14ac:dyDescent="0.25">
      <c r="AJ486" s="24"/>
    </row>
    <row r="487" spans="1:77" ht="36" customHeight="1" x14ac:dyDescent="0.25">
      <c r="AJ487" s="24"/>
    </row>
  </sheetData>
  <sheetProtection algorithmName="SHA-512" hashValue="GWChqZLi0zylpqCAV/Imv/loaXa0tjCLHvwGH+R/y1u009lufD8ZtswhC7vaq8OTiLopEN+WjZn5MMlKDmSeag==" saltValue="+X+CP4bCQ0ntCvtlJnI2nA==" spinCount="100000" sheet="1" objects="1" scenarios="1"/>
  <mergeCells count="239">
    <mergeCell ref="A1:AJ1"/>
    <mergeCell ref="S151:S152"/>
    <mergeCell ref="S311:S312"/>
    <mergeCell ref="S263:S265"/>
    <mergeCell ref="S194:S196"/>
    <mergeCell ref="S176:S177"/>
    <mergeCell ref="S390:S391"/>
    <mergeCell ref="S191:S192"/>
    <mergeCell ref="S184:S185"/>
    <mergeCell ref="S153:S154"/>
    <mergeCell ref="S204:S205"/>
    <mergeCell ref="S337:S344"/>
    <mergeCell ref="S304:S305"/>
    <mergeCell ref="S381:S382"/>
    <mergeCell ref="S374:S375"/>
    <mergeCell ref="S292:S293"/>
    <mergeCell ref="S161:S164"/>
    <mergeCell ref="S173:S175"/>
    <mergeCell ref="S170:S172"/>
    <mergeCell ref="S155:S157"/>
    <mergeCell ref="T292:T293"/>
    <mergeCell ref="U292:U293"/>
    <mergeCell ref="S362:S368"/>
    <mergeCell ref="S376:S378"/>
    <mergeCell ref="S477:S480"/>
    <mergeCell ref="T477:T480"/>
    <mergeCell ref="S247:S248"/>
    <mergeCell ref="S249:S258"/>
    <mergeCell ref="S237:S246"/>
    <mergeCell ref="S269:S270"/>
    <mergeCell ref="S465:S471"/>
    <mergeCell ref="T296:T297"/>
    <mergeCell ref="S282:S283"/>
    <mergeCell ref="T282:T283"/>
    <mergeCell ref="S308:S309"/>
    <mergeCell ref="T308:T309"/>
    <mergeCell ref="T423:T425"/>
    <mergeCell ref="S266:S268"/>
    <mergeCell ref="S289:S290"/>
    <mergeCell ref="T289:T290"/>
    <mergeCell ref="T409:T413"/>
    <mergeCell ref="S347:S349"/>
    <mergeCell ref="S443:S446"/>
    <mergeCell ref="T360:T361"/>
    <mergeCell ref="T351:T354"/>
    <mergeCell ref="T355:T358"/>
    <mergeCell ref="S351:S354"/>
    <mergeCell ref="S355:S358"/>
    <mergeCell ref="S371:S373"/>
    <mergeCell ref="S431:S436"/>
    <mergeCell ref="T431:T436"/>
    <mergeCell ref="S379:S380"/>
    <mergeCell ref="S369:S370"/>
    <mergeCell ref="T415:T419"/>
    <mergeCell ref="T405:T408"/>
    <mergeCell ref="S415:S419"/>
    <mergeCell ref="S405:S408"/>
    <mergeCell ref="T371:T373"/>
    <mergeCell ref="U390:U391"/>
    <mergeCell ref="U392:U394"/>
    <mergeCell ref="S409:S413"/>
    <mergeCell ref="T390:T391"/>
    <mergeCell ref="U304:U305"/>
    <mergeCell ref="S296:S297"/>
    <mergeCell ref="U337:U344"/>
    <mergeCell ref="U351:U354"/>
    <mergeCell ref="U355:U358"/>
    <mergeCell ref="U360:U361"/>
    <mergeCell ref="U362:U368"/>
    <mergeCell ref="U345:U346"/>
    <mergeCell ref="U347:U349"/>
    <mergeCell ref="U308:U309"/>
    <mergeCell ref="T304:T305"/>
    <mergeCell ref="S360:S361"/>
    <mergeCell ref="T345:T346"/>
    <mergeCell ref="T347:T349"/>
    <mergeCell ref="T362:T368"/>
    <mergeCell ref="S345:S346"/>
    <mergeCell ref="S395:S399"/>
    <mergeCell ref="S392:S394"/>
    <mergeCell ref="U296:U297"/>
    <mergeCell ref="U282:U283"/>
    <mergeCell ref="U443:U446"/>
    <mergeCell ref="U431:U436"/>
    <mergeCell ref="T395:T399"/>
    <mergeCell ref="T392:T394"/>
    <mergeCell ref="T379:T380"/>
    <mergeCell ref="T381:T382"/>
    <mergeCell ref="T374:T375"/>
    <mergeCell ref="T369:T370"/>
    <mergeCell ref="U415:U419"/>
    <mergeCell ref="U423:U425"/>
    <mergeCell ref="U405:U408"/>
    <mergeCell ref="T376:T378"/>
    <mergeCell ref="U395:U399"/>
    <mergeCell ref="U369:U370"/>
    <mergeCell ref="U371:U373"/>
    <mergeCell ref="U374:U375"/>
    <mergeCell ref="U376:U378"/>
    <mergeCell ref="U379:U380"/>
    <mergeCell ref="U381:U382"/>
    <mergeCell ref="U289:U290"/>
    <mergeCell ref="T311:T312"/>
    <mergeCell ref="U311:U312"/>
    <mergeCell ref="U409:U413"/>
    <mergeCell ref="S178:S179"/>
    <mergeCell ref="T140:T141"/>
    <mergeCell ref="U140:U141"/>
    <mergeCell ref="T135:T139"/>
    <mergeCell ref="U135:U139"/>
    <mergeCell ref="T144:T145"/>
    <mergeCell ref="U477:U480"/>
    <mergeCell ref="S199:S200"/>
    <mergeCell ref="T199:T200"/>
    <mergeCell ref="S216:S218"/>
    <mergeCell ref="T216:T218"/>
    <mergeCell ref="S220:S222"/>
    <mergeCell ref="T220:T222"/>
    <mergeCell ref="T204:T205"/>
    <mergeCell ref="U199:U200"/>
    <mergeCell ref="U207:U210"/>
    <mergeCell ref="S207:S210"/>
    <mergeCell ref="T207:T210"/>
    <mergeCell ref="U204:U205"/>
    <mergeCell ref="S423:S425"/>
    <mergeCell ref="S259:S262"/>
    <mergeCell ref="T259:T262"/>
    <mergeCell ref="U216:U218"/>
    <mergeCell ref="U220:U222"/>
    <mergeCell ref="T29:T34"/>
    <mergeCell ref="U29:U34"/>
    <mergeCell ref="U144:U145"/>
    <mergeCell ref="S29:S34"/>
    <mergeCell ref="T102:T106"/>
    <mergeCell ref="T119:T121"/>
    <mergeCell ref="U102:U106"/>
    <mergeCell ref="U119:U121"/>
    <mergeCell ref="T126:T129"/>
    <mergeCell ref="U126:U129"/>
    <mergeCell ref="T75:T80"/>
    <mergeCell ref="S75:S80"/>
    <mergeCell ref="U75:U80"/>
    <mergeCell ref="T64:T65"/>
    <mergeCell ref="S119:S121"/>
    <mergeCell ref="S126:S129"/>
    <mergeCell ref="U64:U65"/>
    <mergeCell ref="S64:S65"/>
    <mergeCell ref="S102:S106"/>
    <mergeCell ref="S144:S145"/>
    <mergeCell ref="S135:S139"/>
    <mergeCell ref="S140:S141"/>
    <mergeCell ref="U249:U258"/>
    <mergeCell ref="T263:T265"/>
    <mergeCell ref="T269:T270"/>
    <mergeCell ref="U259:U262"/>
    <mergeCell ref="T249:T258"/>
    <mergeCell ref="T266:T268"/>
    <mergeCell ref="U263:U265"/>
    <mergeCell ref="U266:U268"/>
    <mergeCell ref="U269:U270"/>
    <mergeCell ref="U178:U179"/>
    <mergeCell ref="U173:U175"/>
    <mergeCell ref="U170:U172"/>
    <mergeCell ref="T173:T175"/>
    <mergeCell ref="T170:T172"/>
    <mergeCell ref="U247:U248"/>
    <mergeCell ref="U237:U246"/>
    <mergeCell ref="T237:T246"/>
    <mergeCell ref="T247:T248"/>
    <mergeCell ref="U194:U196"/>
    <mergeCell ref="T184:T185"/>
    <mergeCell ref="U184:U185"/>
    <mergeCell ref="G476:L476"/>
    <mergeCell ref="K423:K425"/>
    <mergeCell ref="H423:H425"/>
    <mergeCell ref="A437:G437"/>
    <mergeCell ref="K405:K406"/>
    <mergeCell ref="I405:I406"/>
    <mergeCell ref="I423:I425"/>
    <mergeCell ref="U465:U471"/>
    <mergeCell ref="T465:T471"/>
    <mergeCell ref="T443:T446"/>
    <mergeCell ref="I5:L5"/>
    <mergeCell ref="B5:C5"/>
    <mergeCell ref="D5:E5"/>
    <mergeCell ref="F5:G5"/>
    <mergeCell ref="J405:J406"/>
    <mergeCell ref="J423:J425"/>
    <mergeCell ref="L405:L406"/>
    <mergeCell ref="L423:L425"/>
    <mergeCell ref="H405:H406"/>
    <mergeCell ref="S6:S7"/>
    <mergeCell ref="AJ5:AJ6"/>
    <mergeCell ref="T6:T7"/>
    <mergeCell ref="AK465:AK471"/>
    <mergeCell ref="AK477:AK480"/>
    <mergeCell ref="AL477:AL480"/>
    <mergeCell ref="AL465:AL471"/>
    <mergeCell ref="M5:P5"/>
    <mergeCell ref="S5:U5"/>
    <mergeCell ref="T191:T192"/>
    <mergeCell ref="T194:T196"/>
    <mergeCell ref="T337:T344"/>
    <mergeCell ref="T151:T152"/>
    <mergeCell ref="U151:U152"/>
    <mergeCell ref="T153:T154"/>
    <mergeCell ref="U153:U154"/>
    <mergeCell ref="U191:U192"/>
    <mergeCell ref="T161:T164"/>
    <mergeCell ref="U161:U164"/>
    <mergeCell ref="T155:T157"/>
    <mergeCell ref="T176:T177"/>
    <mergeCell ref="T178:T179"/>
    <mergeCell ref="U155:U157"/>
    <mergeCell ref="U176:U177"/>
    <mergeCell ref="U6:U7"/>
    <mergeCell ref="AK5:AK7"/>
    <mergeCell ref="AL5:AL7"/>
    <mergeCell ref="V5:AI5"/>
    <mergeCell ref="C2:AJ2"/>
    <mergeCell ref="C3:AJ3"/>
    <mergeCell ref="A5:A7"/>
    <mergeCell ref="B6:B7"/>
    <mergeCell ref="C6:C7"/>
    <mergeCell ref="D6:D7"/>
    <mergeCell ref="E6:E7"/>
    <mergeCell ref="F6:F7"/>
    <mergeCell ref="G6:G7"/>
    <mergeCell ref="H5:H7"/>
    <mergeCell ref="I6:I7"/>
    <mergeCell ref="J6:J7"/>
    <mergeCell ref="K6:K7"/>
    <mergeCell ref="L6:L7"/>
    <mergeCell ref="M6:M7"/>
    <mergeCell ref="N6:N7"/>
    <mergeCell ref="O6:O7"/>
    <mergeCell ref="P6:P7"/>
    <mergeCell ref="Q5:Q7"/>
    <mergeCell ref="R6:R7"/>
  </mergeCells>
  <phoneticPr fontId="9" type="noConversion"/>
  <conditionalFormatting sqref="O337">
    <cfRule type="duplicateValues" dxfId="61" priority="74"/>
  </conditionalFormatting>
  <conditionalFormatting sqref="O345">
    <cfRule type="duplicateValues" dxfId="60" priority="72"/>
  </conditionalFormatting>
  <conditionalFormatting sqref="O345">
    <cfRule type="duplicateValues" dxfId="59" priority="73"/>
  </conditionalFormatting>
  <conditionalFormatting sqref="O352">
    <cfRule type="duplicateValues" dxfId="58" priority="70"/>
  </conditionalFormatting>
  <conditionalFormatting sqref="O352">
    <cfRule type="duplicateValues" dxfId="57" priority="71"/>
  </conditionalFormatting>
  <conditionalFormatting sqref="O141">
    <cfRule type="duplicateValues" dxfId="56" priority="68"/>
  </conditionalFormatting>
  <conditionalFormatting sqref="O171">
    <cfRule type="duplicateValues" dxfId="55" priority="67"/>
  </conditionalFormatting>
  <conditionalFormatting sqref="O172">
    <cfRule type="duplicateValues" dxfId="54" priority="66"/>
  </conditionalFormatting>
  <conditionalFormatting sqref="O316">
    <cfRule type="duplicateValues" dxfId="53" priority="64"/>
  </conditionalFormatting>
  <conditionalFormatting sqref="O316">
    <cfRule type="duplicateValues" dxfId="52" priority="65"/>
  </conditionalFormatting>
  <conditionalFormatting sqref="O174">
    <cfRule type="duplicateValues" dxfId="51" priority="63"/>
  </conditionalFormatting>
  <conditionalFormatting sqref="O175">
    <cfRule type="duplicateValues" dxfId="50" priority="59"/>
  </conditionalFormatting>
  <conditionalFormatting sqref="O175">
    <cfRule type="duplicateValues" dxfId="49" priority="60"/>
  </conditionalFormatting>
  <conditionalFormatting sqref="O175">
    <cfRule type="duplicateValues" dxfId="48" priority="61"/>
  </conditionalFormatting>
  <conditionalFormatting sqref="O179">
    <cfRule type="duplicateValues" dxfId="47" priority="57"/>
  </conditionalFormatting>
  <conditionalFormatting sqref="O179">
    <cfRule type="duplicateValues" dxfId="46" priority="58"/>
  </conditionalFormatting>
  <conditionalFormatting sqref="O180">
    <cfRule type="duplicateValues" dxfId="45" priority="55"/>
  </conditionalFormatting>
  <conditionalFormatting sqref="O180">
    <cfRule type="duplicateValues" dxfId="44" priority="56"/>
  </conditionalFormatting>
  <conditionalFormatting sqref="O182">
    <cfRule type="duplicateValues" dxfId="43" priority="52"/>
  </conditionalFormatting>
  <conditionalFormatting sqref="O182">
    <cfRule type="duplicateValues" dxfId="42" priority="53"/>
  </conditionalFormatting>
  <conditionalFormatting sqref="O191">
    <cfRule type="duplicateValues" dxfId="41" priority="50"/>
  </conditionalFormatting>
  <conditionalFormatting sqref="O191">
    <cfRule type="duplicateValues" dxfId="40" priority="51"/>
  </conditionalFormatting>
  <conditionalFormatting sqref="O192">
    <cfRule type="duplicateValues" dxfId="39" priority="48"/>
  </conditionalFormatting>
  <conditionalFormatting sqref="O192">
    <cfRule type="duplicateValues" dxfId="38" priority="49"/>
  </conditionalFormatting>
  <conditionalFormatting sqref="O194">
    <cfRule type="duplicateValues" dxfId="37" priority="46"/>
  </conditionalFormatting>
  <conditionalFormatting sqref="O194">
    <cfRule type="duplicateValues" dxfId="36" priority="47"/>
  </conditionalFormatting>
  <conditionalFormatting sqref="O195">
    <cfRule type="duplicateValues" dxfId="35" priority="44"/>
  </conditionalFormatting>
  <conditionalFormatting sqref="O195">
    <cfRule type="duplicateValues" dxfId="34" priority="45"/>
  </conditionalFormatting>
  <conditionalFormatting sqref="O353">
    <cfRule type="duplicateValues" dxfId="33" priority="42"/>
  </conditionalFormatting>
  <conditionalFormatting sqref="O353">
    <cfRule type="duplicateValues" dxfId="32" priority="43"/>
  </conditionalFormatting>
  <conditionalFormatting sqref="O173">
    <cfRule type="duplicateValues" dxfId="31" priority="75"/>
  </conditionalFormatting>
  <conditionalFormatting sqref="M141">
    <cfRule type="duplicateValues" dxfId="30" priority="31"/>
  </conditionalFormatting>
  <conditionalFormatting sqref="M171">
    <cfRule type="duplicateValues" dxfId="29" priority="30"/>
  </conditionalFormatting>
  <conditionalFormatting sqref="M172">
    <cfRule type="duplicateValues" dxfId="28" priority="29"/>
  </conditionalFormatting>
  <conditionalFormatting sqref="M173">
    <cfRule type="duplicateValues" dxfId="27" priority="28"/>
  </conditionalFormatting>
  <conditionalFormatting sqref="M174">
    <cfRule type="duplicateValues" dxfId="26" priority="27"/>
  </conditionalFormatting>
  <conditionalFormatting sqref="M175">
    <cfRule type="duplicateValues" dxfId="25" priority="24"/>
  </conditionalFormatting>
  <conditionalFormatting sqref="M175">
    <cfRule type="duplicateValues" dxfId="24" priority="25"/>
  </conditionalFormatting>
  <conditionalFormatting sqref="M175">
    <cfRule type="duplicateValues" dxfId="23" priority="26"/>
  </conditionalFormatting>
  <conditionalFormatting sqref="M179">
    <cfRule type="duplicateValues" dxfId="22" priority="22"/>
  </conditionalFormatting>
  <conditionalFormatting sqref="M179">
    <cfRule type="duplicateValues" dxfId="21" priority="23"/>
  </conditionalFormatting>
  <conditionalFormatting sqref="M180">
    <cfRule type="duplicateValues" dxfId="20" priority="20"/>
  </conditionalFormatting>
  <conditionalFormatting sqref="M180">
    <cfRule type="duplicateValues" dxfId="19" priority="21"/>
  </conditionalFormatting>
  <conditionalFormatting sqref="M182">
    <cfRule type="duplicateValues" dxfId="18" priority="18"/>
  </conditionalFormatting>
  <conditionalFormatting sqref="M182">
    <cfRule type="duplicateValues" dxfId="17" priority="19"/>
  </conditionalFormatting>
  <conditionalFormatting sqref="M191">
    <cfRule type="duplicateValues" dxfId="16" priority="16"/>
  </conditionalFormatting>
  <conditionalFormatting sqref="M191">
    <cfRule type="duplicateValues" dxfId="15" priority="17"/>
  </conditionalFormatting>
  <conditionalFormatting sqref="M192">
    <cfRule type="duplicateValues" dxfId="14" priority="14"/>
  </conditionalFormatting>
  <conditionalFormatting sqref="M192">
    <cfRule type="duplicateValues" dxfId="13" priority="15"/>
  </conditionalFormatting>
  <conditionalFormatting sqref="M194">
    <cfRule type="duplicateValues" dxfId="12" priority="12"/>
  </conditionalFormatting>
  <conditionalFormatting sqref="M194">
    <cfRule type="duplicateValues" dxfId="11" priority="13"/>
  </conditionalFormatting>
  <conditionalFormatting sqref="M195">
    <cfRule type="duplicateValues" dxfId="10" priority="10"/>
  </conditionalFormatting>
  <conditionalFormatting sqref="M195">
    <cfRule type="duplicateValues" dxfId="9" priority="11"/>
  </conditionalFormatting>
  <conditionalFormatting sqref="M316">
    <cfRule type="duplicateValues" dxfId="8" priority="8"/>
  </conditionalFormatting>
  <conditionalFormatting sqref="M316">
    <cfRule type="duplicateValues" dxfId="7" priority="9"/>
  </conditionalFormatting>
  <conditionalFormatting sqref="M337">
    <cfRule type="duplicateValues" dxfId="6" priority="7"/>
  </conditionalFormatting>
  <conditionalFormatting sqref="M345">
    <cfRule type="duplicateValues" dxfId="5" priority="5"/>
  </conditionalFormatting>
  <conditionalFormatting sqref="M345">
    <cfRule type="duplicateValues" dxfId="4" priority="6"/>
  </conditionalFormatting>
  <conditionalFormatting sqref="M352">
    <cfRule type="duplicateValues" dxfId="3" priority="3"/>
  </conditionalFormatting>
  <conditionalFormatting sqref="M352">
    <cfRule type="duplicateValues" dxfId="2" priority="4"/>
  </conditionalFormatting>
  <conditionalFormatting sqref="M353">
    <cfRule type="duplicateValues" dxfId="1" priority="1"/>
  </conditionalFormatting>
  <conditionalFormatting sqref="M353">
    <cfRule type="duplicateValues" dxfId="0" priority="2"/>
  </conditionalFormatting>
  <pageMargins left="0.7" right="0.7" top="0.75" bottom="0.75" header="0.3" footer="0.3"/>
  <pageSetup orientation="portrait" horizontalDpi="360" verticalDpi="360" r:id="rId1"/>
  <ignoredErrors>
    <ignoredError sqref="O69 O57 K57 K80 K84 O140:O142 O144:O145 O151:O154 O155:O156 O161:O163 O164 O170:O180 O182 O184:O185 O187 O189 O191:O192 O195:O196 O199:O200 O214 O216:O218 O220:O222 K329:K331 O330:O331 O84 O158"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188"/>
  <sheetViews>
    <sheetView showGridLines="0" zoomScale="60" zoomScaleNormal="60" workbookViewId="0">
      <selection sqref="A1:E3"/>
    </sheetView>
  </sheetViews>
  <sheetFormatPr baseColWidth="10" defaultColWidth="11.42578125" defaultRowHeight="15" x14ac:dyDescent="0.2"/>
  <cols>
    <col min="1" max="1" width="14.28515625" style="12" customWidth="1"/>
    <col min="2" max="2" width="13.85546875" style="12" customWidth="1"/>
    <col min="3" max="3" width="18.140625" style="12" customWidth="1"/>
    <col min="4" max="4" width="69.5703125" style="13" customWidth="1"/>
    <col min="5" max="5" width="34.42578125" style="13" customWidth="1"/>
    <col min="6" max="7" width="11.42578125" style="3"/>
    <col min="8" max="16384" width="11.42578125" style="1"/>
  </cols>
  <sheetData>
    <row r="1" spans="1:7" ht="26.25" customHeight="1" x14ac:dyDescent="0.2">
      <c r="A1" s="995" t="s">
        <v>1567</v>
      </c>
      <c r="B1" s="995"/>
      <c r="C1" s="995"/>
      <c r="D1" s="995"/>
      <c r="E1" s="995"/>
      <c r="F1" s="776"/>
    </row>
    <row r="2" spans="1:7" ht="26.25" customHeight="1" x14ac:dyDescent="0.2">
      <c r="A2" s="995"/>
      <c r="B2" s="995"/>
      <c r="C2" s="995"/>
      <c r="D2" s="995"/>
      <c r="E2" s="995"/>
      <c r="F2" s="776"/>
    </row>
    <row r="3" spans="1:7" ht="26.25" customHeight="1" x14ac:dyDescent="0.2">
      <c r="A3" s="995"/>
      <c r="B3" s="995"/>
      <c r="C3" s="995"/>
      <c r="D3" s="995"/>
      <c r="E3" s="995"/>
      <c r="F3" s="776"/>
    </row>
    <row r="4" spans="1:7" ht="24.75" customHeight="1" x14ac:dyDescent="0.2">
      <c r="A4" s="27"/>
      <c r="B4" s="28"/>
      <c r="C4" s="28"/>
      <c r="D4" s="28"/>
      <c r="E4" s="28"/>
    </row>
    <row r="5" spans="1:7" s="6" customFormat="1" ht="56.25" customHeight="1" x14ac:dyDescent="0.25">
      <c r="A5" s="577" t="s">
        <v>6</v>
      </c>
      <c r="B5" s="577" t="s">
        <v>7</v>
      </c>
      <c r="C5" s="993" t="s">
        <v>8</v>
      </c>
      <c r="D5" s="994"/>
      <c r="E5" s="891" t="s">
        <v>1389</v>
      </c>
      <c r="F5" s="5"/>
      <c r="G5" s="5"/>
    </row>
    <row r="6" spans="1:7" ht="24" customHeight="1" x14ac:dyDescent="0.2">
      <c r="A6" s="414"/>
      <c r="B6" s="414"/>
      <c r="C6" s="414"/>
      <c r="D6" s="415"/>
      <c r="E6" s="36" t="s">
        <v>1535</v>
      </c>
    </row>
    <row r="7" spans="1:7" s="8" customFormat="1" ht="24" customHeight="1" x14ac:dyDescent="0.25">
      <c r="A7" s="34" t="s">
        <v>79</v>
      </c>
      <c r="B7" s="35"/>
      <c r="C7" s="35"/>
      <c r="D7" s="36"/>
      <c r="E7" s="751">
        <f>E8</f>
        <v>176000000</v>
      </c>
      <c r="F7" s="7"/>
      <c r="G7" s="7"/>
    </row>
    <row r="8" spans="1:7" s="8" customFormat="1" ht="24" customHeight="1" x14ac:dyDescent="0.25">
      <c r="A8" s="448">
        <f>'SGTO POAI -JUNIO-2021'!B10</f>
        <v>4</v>
      </c>
      <c r="B8" s="61" t="str">
        <f>'SGTO POAI -JUNIO-2021'!C10</f>
        <v xml:space="preserve">LIDERAZGO, GOBERNABILIDAD Y TRANSPARENCIA </v>
      </c>
      <c r="C8" s="61"/>
      <c r="D8" s="61"/>
      <c r="E8" s="536">
        <f>E9</f>
        <v>176000000</v>
      </c>
      <c r="F8" s="7"/>
      <c r="G8" s="7"/>
    </row>
    <row r="9" spans="1:7" ht="24" customHeight="1" x14ac:dyDescent="0.2">
      <c r="A9" s="762"/>
      <c r="B9" s="768">
        <f>'SGTO POAI -JUNIO-2021'!D11</f>
        <v>45</v>
      </c>
      <c r="C9" s="62" t="str">
        <f>'SGTO POAI -JUNIO-2021'!E11</f>
        <v>Gobierno territorial</v>
      </c>
      <c r="D9" s="472"/>
      <c r="E9" s="535">
        <f>SUM(E10:E11)</f>
        <v>176000000</v>
      </c>
    </row>
    <row r="10" spans="1:7" ht="70.5" customHeight="1" x14ac:dyDescent="0.2">
      <c r="A10" s="786"/>
      <c r="B10" s="787"/>
      <c r="C10" s="788">
        <f>'SGTO POAI -JUNIO-2021'!F12</f>
        <v>4599</v>
      </c>
      <c r="D10" s="783" t="str">
        <f>'SGTO POAI -JUNIO-2021'!G12</f>
        <v>Fortalecimiento a la gestión y dirección de la administración pública territorial "Quindío con una administración al servicio de la ciudadanía "</v>
      </c>
      <c r="E10" s="789">
        <f>'SGTO POAI -JUNIO-2021'!AF12</f>
        <v>136000000</v>
      </c>
    </row>
    <row r="11" spans="1:7" ht="53.25" customHeight="1" x14ac:dyDescent="0.2">
      <c r="A11" s="790"/>
      <c r="B11" s="791"/>
      <c r="C11" s="792">
        <f>'SGTO POAI -JUNIO-2021'!F16</f>
        <v>4502</v>
      </c>
      <c r="D11" s="793" t="str">
        <f>'SGTO POAI -JUNIO-2021'!G16</f>
        <v>Fortalecimiento del buen gobierno para el respeto y garantía de los derechos humanos. "Quindío integrado y participativo"</v>
      </c>
      <c r="E11" s="794">
        <f>'SGTO POAI -JUNIO-2021'!AF16</f>
        <v>40000000</v>
      </c>
    </row>
    <row r="12" spans="1:7" s="49" customFormat="1" ht="15.75" x14ac:dyDescent="0.2">
      <c r="A12" s="761"/>
      <c r="B12" s="761"/>
      <c r="C12" s="761"/>
      <c r="D12" s="770"/>
      <c r="E12" s="770"/>
      <c r="F12" s="44"/>
      <c r="G12" s="44"/>
    </row>
    <row r="13" spans="1:7" s="8" customFormat="1" ht="24" customHeight="1" x14ac:dyDescent="0.25">
      <c r="A13" s="38" t="s">
        <v>79</v>
      </c>
      <c r="B13" s="39"/>
      <c r="C13" s="39"/>
      <c r="D13" s="40"/>
      <c r="E13" s="752">
        <f>E14</f>
        <v>986333529</v>
      </c>
      <c r="F13" s="7"/>
      <c r="G13" s="7"/>
    </row>
    <row r="14" spans="1:7" ht="24" customHeight="1" x14ac:dyDescent="0.2">
      <c r="A14" s="448">
        <f>'SGTO POAI -JUNIO-2021'!B20</f>
        <v>4</v>
      </c>
      <c r="B14" s="61" t="str">
        <f>'SGTO POAI -JUNIO-2021'!D20</f>
        <v xml:space="preserve">LIDERAZGO, GOBERNABILIDAD Y TRANSPARENCIA </v>
      </c>
      <c r="C14" s="61"/>
      <c r="D14" s="61"/>
      <c r="E14" s="289">
        <f>E15</f>
        <v>986333529</v>
      </c>
    </row>
    <row r="15" spans="1:7" ht="24" customHeight="1" x14ac:dyDescent="0.2">
      <c r="A15" s="762"/>
      <c r="B15" s="768">
        <f>'SGTO POAI -JUNIO-2021'!D21</f>
        <v>45</v>
      </c>
      <c r="C15" s="62" t="str">
        <f>'SGTO POAI -JUNIO-2021'!E21</f>
        <v>Gobierno territorial</v>
      </c>
      <c r="D15" s="472"/>
      <c r="E15" s="750">
        <f>SUM(E16:E17)</f>
        <v>986333529</v>
      </c>
    </row>
    <row r="16" spans="1:7" s="37" customFormat="1" ht="56.25" customHeight="1" x14ac:dyDescent="0.2">
      <c r="A16" s="795"/>
      <c r="B16" s="796"/>
      <c r="C16" s="788">
        <f>'SGTO POAI -JUNIO-2021'!F22</f>
        <v>4502</v>
      </c>
      <c r="D16" s="783" t="str">
        <f>'SGTO POAI -JUNIO-2021'!G22</f>
        <v>Fortalecimiento del buen gobierno para el respeto y garantía de los derechos humanos. "Quindío integrado y participativo"</v>
      </c>
      <c r="E16" s="789">
        <f>'SGTO POAI -JUNIO-2021'!AF22</f>
        <v>178333529</v>
      </c>
    </row>
    <row r="17" spans="1:7" s="37" customFormat="1" ht="56.25" customHeight="1" x14ac:dyDescent="0.2">
      <c r="A17" s="772"/>
      <c r="B17" s="797"/>
      <c r="C17" s="788">
        <f>'SGTO POAI -JUNIO-2021'!F25</f>
        <v>4599</v>
      </c>
      <c r="D17" s="783" t="str">
        <f>'SGTO POAI -JUNIO-2021'!G25</f>
        <v>Fortalecimiento a la gestión y dirección de la administración pública territorial "Quindío con una administración al servicio de la ciudadanía "</v>
      </c>
      <c r="E17" s="789">
        <f>'SGTO POAI -JUNIO-2021'!AF25</f>
        <v>808000000</v>
      </c>
    </row>
    <row r="18" spans="1:7" ht="18" customHeight="1" x14ac:dyDescent="0.2">
      <c r="A18" s="475"/>
      <c r="B18" s="475"/>
      <c r="C18" s="475"/>
      <c r="D18" s="476"/>
      <c r="E18" s="476"/>
    </row>
    <row r="19" spans="1:7" ht="24" customHeight="1" x14ac:dyDescent="0.2">
      <c r="A19" s="38" t="s">
        <v>1391</v>
      </c>
      <c r="B19" s="39"/>
      <c r="C19" s="39"/>
      <c r="D19" s="40"/>
      <c r="E19" s="752">
        <f>E20</f>
        <v>2847625342.8400002</v>
      </c>
    </row>
    <row r="20" spans="1:7" ht="24" customHeight="1" x14ac:dyDescent="0.2">
      <c r="A20" s="448">
        <f>'SGTO POAI -JUNIO-2021'!B38</f>
        <v>4</v>
      </c>
      <c r="B20" s="61" t="str">
        <f>'SGTO POAI -JUNIO-2021'!D38</f>
        <v xml:space="preserve">LIDERAZGO, GOBERNABILIDAD Y TRANSPARENCIA </v>
      </c>
      <c r="C20" s="61"/>
      <c r="D20" s="61"/>
      <c r="E20" s="536">
        <f>E21</f>
        <v>2847625342.8400002</v>
      </c>
    </row>
    <row r="21" spans="1:7" ht="24" customHeight="1" x14ac:dyDescent="0.2">
      <c r="A21" s="762"/>
      <c r="B21" s="491">
        <f>'SGTO POAI -JUNIO-2021'!D39</f>
        <v>45</v>
      </c>
      <c r="C21" s="62" t="str">
        <f>'SGTO POAI -JUNIO-2021'!E39</f>
        <v>Gobierno territorial</v>
      </c>
      <c r="D21" s="472"/>
      <c r="E21" s="535">
        <f>E22</f>
        <v>2847625342.8400002</v>
      </c>
    </row>
    <row r="22" spans="1:7" ht="70.5" customHeight="1" x14ac:dyDescent="0.2">
      <c r="A22" s="791"/>
      <c r="B22" s="798"/>
      <c r="C22" s="316">
        <f>'SGTO POAI -JUNIO-2021'!F40</f>
        <v>4599</v>
      </c>
      <c r="D22" s="783" t="str">
        <f>'SGTO POAI -JUNIO-2021'!G40</f>
        <v>Fortalecimiento a la gestión y dirección de la administración pública territorial "Quindío con una administración al servicio de la ciudadanía "</v>
      </c>
      <c r="E22" s="789">
        <f>'SGTO POAI -JUNIO-2021'!AJ40</f>
        <v>2847625342.8400002</v>
      </c>
    </row>
    <row r="23" spans="1:7" s="10" customFormat="1" x14ac:dyDescent="0.2">
      <c r="A23" s="475"/>
      <c r="B23" s="475"/>
      <c r="C23" s="475"/>
      <c r="D23" s="476"/>
      <c r="E23" s="753"/>
      <c r="F23" s="17"/>
      <c r="G23" s="17"/>
    </row>
    <row r="24" spans="1:7" ht="24" customHeight="1" x14ac:dyDescent="0.2">
      <c r="A24" s="34" t="s">
        <v>147</v>
      </c>
      <c r="B24" s="35"/>
      <c r="C24" s="35"/>
      <c r="D24" s="36"/>
      <c r="E24" s="751">
        <f>E25+E36+E44</f>
        <v>15986154634.140001</v>
      </c>
    </row>
    <row r="25" spans="1:7" ht="24" customHeight="1" x14ac:dyDescent="0.2">
      <c r="A25" s="448">
        <f>'SGTO POAI -JUNIO-2021'!B45</f>
        <v>1</v>
      </c>
      <c r="B25" s="61" t="str">
        <f>'SGTO POAI -JUNIO-2021'!D45</f>
        <v xml:space="preserve">INCLUSIÓN SOCIAL Y EQUIDAD </v>
      </c>
      <c r="C25" s="61"/>
      <c r="D25" s="61"/>
      <c r="E25" s="536">
        <f>E26+E28+E30+E32+E34</f>
        <v>5180537273.3600006</v>
      </c>
    </row>
    <row r="26" spans="1:7" ht="24" customHeight="1" x14ac:dyDescent="0.2">
      <c r="A26" s="762"/>
      <c r="B26" s="491">
        <f>'SGTO POAI -JUNIO-2021'!D46</f>
        <v>12</v>
      </c>
      <c r="C26" s="62" t="str">
        <f>'SGTO POAI -JUNIO-2021'!E46</f>
        <v>Justicia y del derecho</v>
      </c>
      <c r="D26" s="472"/>
      <c r="E26" s="535">
        <f>E27</f>
        <v>24750000</v>
      </c>
    </row>
    <row r="27" spans="1:7" ht="61.5" customHeight="1" x14ac:dyDescent="0.2">
      <c r="A27" s="799"/>
      <c r="B27" s="798"/>
      <c r="C27" s="69">
        <f>'SGTO POAI -JUNIO-2021'!F47</f>
        <v>1202</v>
      </c>
      <c r="D27" s="783" t="str">
        <f>'SGTO POAI -JUNIO-2021'!G47</f>
        <v>Promoción al acceso a la justicia. "Tú y yo con justicia"</v>
      </c>
      <c r="E27" s="789">
        <f>'SGTO POAI -JUNIO-2021'!AJ47</f>
        <v>24750000</v>
      </c>
    </row>
    <row r="28" spans="1:7" ht="24" customHeight="1" x14ac:dyDescent="0.2">
      <c r="A28" s="763"/>
      <c r="B28" s="491">
        <f>'SGTO POAI -JUNIO-2021'!D49</f>
        <v>19</v>
      </c>
      <c r="C28" s="62" t="str">
        <f>'SGTO POAI -JUNIO-2021'!E49</f>
        <v>Salud y protección social</v>
      </c>
      <c r="D28" s="472"/>
      <c r="E28" s="535">
        <f>E29</f>
        <v>96746979</v>
      </c>
    </row>
    <row r="29" spans="1:7" ht="55.5" customHeight="1" x14ac:dyDescent="0.2">
      <c r="A29" s="799"/>
      <c r="B29" s="798"/>
      <c r="C29" s="69">
        <f>'SGTO POAI -JUNIO-2021'!F50</f>
        <v>1906</v>
      </c>
      <c r="D29" s="783" t="str">
        <f>'SGTO POAI -JUNIO-2021'!G50</f>
        <v>Aseguramiento y Prestación integral de servicios de salud "Tú y yo con servicios de salud"</v>
      </c>
      <c r="E29" s="789">
        <f>'SGTO POAI -JUNIO-2021'!AJ50</f>
        <v>96746979</v>
      </c>
    </row>
    <row r="30" spans="1:7" ht="24" customHeight="1" x14ac:dyDescent="0.2">
      <c r="A30" s="763"/>
      <c r="B30" s="491">
        <f>'SGTO POAI -JUNIO-2021'!D52</f>
        <v>22</v>
      </c>
      <c r="C30" s="477" t="str">
        <f>'SGTO POAI -JUNIO-2021'!E52</f>
        <v>Educación</v>
      </c>
      <c r="D30" s="478"/>
      <c r="E30" s="535">
        <f>E31</f>
        <v>2083257220</v>
      </c>
    </row>
    <row r="31" spans="1:7" ht="80.25" customHeight="1" x14ac:dyDescent="0.2">
      <c r="A31" s="799"/>
      <c r="B31" s="798"/>
      <c r="C31" s="69">
        <f>'SGTO POAI -JUNIO-2021'!F53</f>
        <v>2201</v>
      </c>
      <c r="D31" s="783" t="str">
        <f>'SGTO POAI -JUNIO-2021'!G53</f>
        <v>Calidad, cobertura y fortalecimiento de la educación inicial, prescolar, básica y media." Tú y yo con educación y  calidad"</v>
      </c>
      <c r="E31" s="789">
        <f>'SGTO POAI -JUNIO-2021'!AJ53</f>
        <v>2083257220</v>
      </c>
    </row>
    <row r="32" spans="1:7" ht="24" customHeight="1" x14ac:dyDescent="0.2">
      <c r="A32" s="763"/>
      <c r="B32" s="491">
        <f>'SGTO POAI -JUNIO-2021'!D55</f>
        <v>33</v>
      </c>
      <c r="C32" s="477" t="str">
        <f>'SGTO POAI -JUNIO-2021'!E55</f>
        <v>Cultura</v>
      </c>
      <c r="D32" s="478"/>
      <c r="E32" s="535">
        <f>E33</f>
        <v>90000000</v>
      </c>
    </row>
    <row r="33" spans="1:7" ht="63" customHeight="1" x14ac:dyDescent="0.2">
      <c r="A33" s="799"/>
      <c r="B33" s="798"/>
      <c r="C33" s="69">
        <f>'SGTO POAI -JUNIO-2021'!F56</f>
        <v>3301</v>
      </c>
      <c r="D33" s="783" t="str">
        <f>'SGTO POAI -JUNIO-2021'!G56</f>
        <v>Promoción y acceso efectivo a procesos culturales y artísticos. "Tú y yo somos cultura Quindiana"</v>
      </c>
      <c r="E33" s="789">
        <f>'SGTO POAI -JUNIO-2021'!AJ56</f>
        <v>90000000</v>
      </c>
    </row>
    <row r="34" spans="1:7" ht="24" customHeight="1" x14ac:dyDescent="0.2">
      <c r="A34" s="763"/>
      <c r="B34" s="491">
        <f>'SGTO POAI -JUNIO-2021'!D58</f>
        <v>43</v>
      </c>
      <c r="C34" s="62" t="str">
        <f>'SGTO POAI -JUNIO-2021'!E58</f>
        <v>Deporte y recreación</v>
      </c>
      <c r="D34" s="62"/>
      <c r="E34" s="535">
        <f>E35</f>
        <v>2885783074.3600001</v>
      </c>
    </row>
    <row r="35" spans="1:7" ht="65.25" customHeight="1" x14ac:dyDescent="0.2">
      <c r="A35" s="791"/>
      <c r="B35" s="798"/>
      <c r="C35" s="69">
        <f>'SGTO POAI -JUNIO-2021'!F59</f>
        <v>4301</v>
      </c>
      <c r="D35" s="783" t="str">
        <f>'SGTO POAI -JUNIO-2021'!G59</f>
        <v>Fomento a la recreación, la actividad física y el deporte para desarrollar entornos de convivencia y paz "Tú y yo en la recreación y en deporte"</v>
      </c>
      <c r="E35" s="789">
        <f>'SGTO POAI -JUNIO-2021'!AJ59</f>
        <v>2885783074.3600001</v>
      </c>
      <c r="F35" s="1"/>
      <c r="G35" s="1"/>
    </row>
    <row r="36" spans="1:7" ht="24" customHeight="1" x14ac:dyDescent="0.2">
      <c r="A36" s="760">
        <f>'SGTO POAI -JUNIO-2021'!B61</f>
        <v>3</v>
      </c>
      <c r="B36" s="61" t="str">
        <f>'SGTO POAI -JUNIO-2021'!D61</f>
        <v xml:space="preserve">TERRITORIO, AMBIENTE Y DESARROLLO SOSTENIBLE </v>
      </c>
      <c r="C36" s="61"/>
      <c r="D36" s="61"/>
      <c r="E36" s="536">
        <f>E37+E39+E41</f>
        <v>10666956712.780001</v>
      </c>
      <c r="F36" s="1"/>
      <c r="G36" s="1"/>
    </row>
    <row r="37" spans="1:7" ht="24" customHeight="1" x14ac:dyDescent="0.2">
      <c r="A37" s="312"/>
      <c r="B37" s="479">
        <f>'SGTO POAI -JUNIO-2021'!D62</f>
        <v>24</v>
      </c>
      <c r="C37" s="480" t="str">
        <f>'SGTO POAI -JUNIO-2021'!E62</f>
        <v>Transporte</v>
      </c>
      <c r="D37" s="478"/>
      <c r="E37" s="535">
        <f>E38</f>
        <v>4783689004</v>
      </c>
    </row>
    <row r="38" spans="1:7" ht="59.25" customHeight="1" x14ac:dyDescent="0.2">
      <c r="A38" s="781"/>
      <c r="B38" s="781"/>
      <c r="C38" s="69">
        <f>'SGTO POAI -JUNIO-2021'!F63</f>
        <v>2402</v>
      </c>
      <c r="D38" s="783" t="str">
        <f>'SGTO POAI -JUNIO-2021'!G63</f>
        <v>Infraestructura red vial regional. "Tú y yo con movilidad vial"</v>
      </c>
      <c r="E38" s="789">
        <f>'SGTO POAI -JUNIO-2021'!AJ63</f>
        <v>4783689004</v>
      </c>
      <c r="F38" s="1"/>
      <c r="G38" s="1"/>
    </row>
    <row r="39" spans="1:7" ht="24" customHeight="1" x14ac:dyDescent="0.2">
      <c r="A39" s="312"/>
      <c r="B39" s="64">
        <f>'SGTO POAI -JUNIO-2021'!D67</f>
        <v>32</v>
      </c>
      <c r="C39" s="62" t="str">
        <f>'SGTO POAI -JUNIO-2021'!E67</f>
        <v>Ambiente y desarrollo sostenible</v>
      </c>
      <c r="D39" s="62"/>
      <c r="E39" s="535">
        <f>E40</f>
        <v>2263108067</v>
      </c>
    </row>
    <row r="40" spans="1:7" ht="54.75" customHeight="1" x14ac:dyDescent="0.2">
      <c r="A40" s="781"/>
      <c r="B40" s="781"/>
      <c r="C40" s="69">
        <f>'SGTO POAI -JUNIO-2021'!F68</f>
        <v>3205</v>
      </c>
      <c r="D40" s="783" t="str">
        <f>'SGTO POAI -JUNIO-2021'!G68</f>
        <v>Ordenamiento Ambiental Territorial. "Tú y yo planificamos con sentido ambiental"</v>
      </c>
      <c r="E40" s="789">
        <f>'SGTO POAI -JUNIO-2021'!AJ68</f>
        <v>2263108067</v>
      </c>
      <c r="F40" s="1"/>
      <c r="G40" s="1"/>
    </row>
    <row r="41" spans="1:7" ht="24" customHeight="1" x14ac:dyDescent="0.2">
      <c r="A41" s="312"/>
      <c r="B41" s="64">
        <f>'SGTO POAI -JUNIO-2021'!D71</f>
        <v>40</v>
      </c>
      <c r="C41" s="62" t="str">
        <f>'SGTO POAI -JUNIO-2021'!E71</f>
        <v>Vivienda, Ciudad y Territorio</v>
      </c>
      <c r="D41" s="478"/>
      <c r="E41" s="535">
        <f>SUM(E42:E43)</f>
        <v>3620159641.7800002</v>
      </c>
    </row>
    <row r="42" spans="1:7" ht="48.75" customHeight="1" x14ac:dyDescent="0.2">
      <c r="A42" s="781"/>
      <c r="B42" s="781"/>
      <c r="C42" s="69">
        <f>'SGTO POAI -JUNIO-2021'!F72</f>
        <v>4001</v>
      </c>
      <c r="D42" s="783" t="str">
        <f>'SGTO POAI -JUNIO-2021'!G72</f>
        <v>Acceso a soluciones de vivienda. "Tú y yo con vivienda digna"</v>
      </c>
      <c r="E42" s="789">
        <f>'SGTO POAI -JUNIO-2021'!AJ72</f>
        <v>120000000.09999999</v>
      </c>
      <c r="F42" s="1"/>
      <c r="G42" s="1"/>
    </row>
    <row r="43" spans="1:7" ht="59.25" customHeight="1" x14ac:dyDescent="0.2">
      <c r="A43" s="781"/>
      <c r="B43" s="781"/>
      <c r="C43" s="69">
        <f>'SGTO POAI -JUNIO-2021'!F74</f>
        <v>4003</v>
      </c>
      <c r="D43" s="783" t="str">
        <f>'SGTO POAI -JUNIO-2021'!G74</f>
        <v>Acceso de la población a los servicios de agua potable y saneamiento básico. "Tú y yo con calidad del agua"</v>
      </c>
      <c r="E43" s="789">
        <f>'SGTO POAI -JUNIO-2021'!AJ74</f>
        <v>3500159641.6800003</v>
      </c>
      <c r="F43" s="1"/>
      <c r="G43" s="1"/>
    </row>
    <row r="44" spans="1:7" ht="24" customHeight="1" x14ac:dyDescent="0.2">
      <c r="A44" s="116">
        <f>'SGTO POAI -JUNIO-2021'!B81</f>
        <v>4</v>
      </c>
      <c r="B44" s="61" t="str">
        <f>'SGTO POAI -JUNIO-2021'!D81</f>
        <v xml:space="preserve">LIDERAZGO, GOBERNABILIDAD Y TRANSPARENCIA </v>
      </c>
      <c r="C44" s="61"/>
      <c r="D44" s="61"/>
      <c r="E44" s="536">
        <f>E45</f>
        <v>138660648</v>
      </c>
      <c r="F44" s="1"/>
      <c r="G44" s="1"/>
    </row>
    <row r="45" spans="1:7" ht="24" customHeight="1" x14ac:dyDescent="0.2">
      <c r="A45" s="312"/>
      <c r="B45" s="64">
        <f>'SGTO POAI -JUNIO-2021'!D82</f>
        <v>45</v>
      </c>
      <c r="C45" s="62" t="str">
        <f>'SGTO POAI -JUNIO-2021'!E82</f>
        <v>Gobierno territorial</v>
      </c>
      <c r="D45" s="472"/>
      <c r="E45" s="535">
        <f>SUM(E46:E47)</f>
        <v>138660648</v>
      </c>
    </row>
    <row r="46" spans="1:7" ht="66" customHeight="1" x14ac:dyDescent="0.2">
      <c r="A46" s="781"/>
      <c r="B46" s="781"/>
      <c r="C46" s="69">
        <f>'SGTO POAI -JUNIO-2021'!F83</f>
        <v>4599</v>
      </c>
      <c r="D46" s="783" t="str">
        <f>'SGTO POAI -JUNIO-2021'!G83</f>
        <v>Fortalecimiento a la gestión y dirección de la administración pública territorial "Quindío con una administración al servicio de la ciudadanía "</v>
      </c>
      <c r="E46" s="789">
        <f>'SGTO POAI -JUNIO-2021'!AJ83</f>
        <v>100660648</v>
      </c>
      <c r="F46" s="1"/>
      <c r="G46" s="1"/>
    </row>
    <row r="47" spans="1:7" ht="53.25" customHeight="1" x14ac:dyDescent="0.2">
      <c r="A47" s="781"/>
      <c r="B47" s="781"/>
      <c r="C47" s="69">
        <f>'SGTO POAI -JUNIO-2021'!F85</f>
        <v>4502</v>
      </c>
      <c r="D47" s="783" t="str">
        <f>'SGTO POAI -JUNIO-2021'!G85</f>
        <v>Fortalecimiento del buen gobierno para el respeto y garantía de los derechos humanos. "Quindío integrado y participativo"</v>
      </c>
      <c r="E47" s="789">
        <f>'SGTO POAI -JUNIO-2021'!AJ85</f>
        <v>38000000</v>
      </c>
    </row>
    <row r="48" spans="1:7" s="10" customFormat="1" x14ac:dyDescent="0.2">
      <c r="A48" s="475"/>
      <c r="B48" s="475"/>
      <c r="C48" s="475"/>
      <c r="D48" s="476"/>
      <c r="E48" s="753"/>
      <c r="F48" s="17"/>
      <c r="G48" s="17"/>
    </row>
    <row r="49" spans="1:7" ht="24" customHeight="1" x14ac:dyDescent="0.2">
      <c r="A49" s="767" t="s">
        <v>276</v>
      </c>
      <c r="B49" s="35"/>
      <c r="C49" s="35"/>
      <c r="D49" s="36"/>
      <c r="E49" s="751">
        <f>E50+E62+E67</f>
        <v>6632641520.3299999</v>
      </c>
    </row>
    <row r="50" spans="1:7" ht="24" customHeight="1" x14ac:dyDescent="0.2">
      <c r="A50" s="764">
        <f>'SGTO POAI -JUNIO-2021'!B89</f>
        <v>1</v>
      </c>
      <c r="B50" s="61" t="str">
        <f>'SGTO POAI -JUNIO-2021'!D89</f>
        <v xml:space="preserve">INCLUSIÓN SOCIAL Y EQUIDAD </v>
      </c>
      <c r="C50" s="61"/>
      <c r="D50" s="61"/>
      <c r="E50" s="536">
        <f>E51+E55+E57+E60</f>
        <v>5408930171.3299999</v>
      </c>
    </row>
    <row r="51" spans="1:7" ht="24" customHeight="1" x14ac:dyDescent="0.2">
      <c r="A51" s="765"/>
      <c r="B51" s="768">
        <f>'SGTO POAI -JUNIO-2021'!D90</f>
        <v>12</v>
      </c>
      <c r="C51" s="62" t="str">
        <f>'SGTO POAI -JUNIO-2021'!E90</f>
        <v>Justicia y del derecho</v>
      </c>
      <c r="D51" s="62"/>
      <c r="E51" s="535">
        <f>SUM(E52:E54)</f>
        <v>254028401</v>
      </c>
    </row>
    <row r="52" spans="1:7" ht="34.5" customHeight="1" x14ac:dyDescent="0.2">
      <c r="A52" s="800"/>
      <c r="B52" s="787"/>
      <c r="C52" s="400">
        <f>'SGTO POAI -JUNIO-2021'!F91</f>
        <v>1202</v>
      </c>
      <c r="D52" s="783" t="str">
        <f>'SGTO POAI -JUNIO-2021'!G91</f>
        <v>Promoción al acceso a la justicia. "Tú y yo con justicia"</v>
      </c>
      <c r="E52" s="789">
        <f>'SGTO POAI -JUNIO-2021'!AJ91</f>
        <v>149000000</v>
      </c>
    </row>
    <row r="53" spans="1:7" ht="36.75" customHeight="1" x14ac:dyDescent="0.2">
      <c r="A53" s="800"/>
      <c r="B53" s="799"/>
      <c r="C53" s="400">
        <f>'SGTO POAI -JUNIO-2021'!F93</f>
        <v>1203</v>
      </c>
      <c r="D53" s="783" t="str">
        <f>'SGTO POAI -JUNIO-2021'!G93</f>
        <v>Promoción de los métodos de resolución de conflictos. "Tú y yo resolvemos los conflictos"</v>
      </c>
      <c r="E53" s="789">
        <f>'SGTO POAI -JUNIO-2021'!AJ93</f>
        <v>69028401</v>
      </c>
    </row>
    <row r="54" spans="1:7" ht="60" customHeight="1" x14ac:dyDescent="0.2">
      <c r="A54" s="800"/>
      <c r="B54" s="791"/>
      <c r="C54" s="400">
        <f>'SGTO POAI -JUNIO-2021'!F95</f>
        <v>1206</v>
      </c>
      <c r="D54" s="783" t="str">
        <f>'SGTO POAI -JUNIO-2021'!G95</f>
        <v>Sistema penitenciario y carcelario en el marco de los derechos humanos. "Quindío respeta derechos penitenciarios"</v>
      </c>
      <c r="E54" s="789">
        <f>'SGTO POAI -JUNIO-2021'!AJ95</f>
        <v>36000000</v>
      </c>
    </row>
    <row r="55" spans="1:7" ht="24" customHeight="1" x14ac:dyDescent="0.2">
      <c r="A55" s="766"/>
      <c r="B55" s="769">
        <f>'SGTO POAI -JUNIO-2021'!D97</f>
        <v>22</v>
      </c>
      <c r="C55" s="477" t="str">
        <f>'SGTO POAI -JUNIO-2021'!E97</f>
        <v>Educación</v>
      </c>
      <c r="D55" s="478"/>
      <c r="E55" s="535">
        <f>E56</f>
        <v>124287500</v>
      </c>
    </row>
    <row r="56" spans="1:7" ht="62.25" customHeight="1" x14ac:dyDescent="0.2">
      <c r="A56" s="801"/>
      <c r="B56" s="798"/>
      <c r="C56" s="69">
        <f>'SGTO POAI -JUNIO-2021'!F98</f>
        <v>2201</v>
      </c>
      <c r="D56" s="783" t="str">
        <f>'SGTO POAI -JUNIO-2021'!G98</f>
        <v>Calidad, cobertura y fortalecimiento de la educación inicial, prescolar, básica y media." Tú y yo con educación y de calidad"</v>
      </c>
      <c r="E56" s="789">
        <f>'SGTO POAI -JUNIO-2021'!AJ98</f>
        <v>124287500</v>
      </c>
    </row>
    <row r="57" spans="1:7" ht="24" customHeight="1" x14ac:dyDescent="0.2">
      <c r="A57" s="802"/>
      <c r="B57" s="803">
        <f>'SGTO POAI -JUNIO-2021'!D100</f>
        <v>41</v>
      </c>
      <c r="C57" s="804" t="str">
        <f>'SGTO POAI -JUNIO-2021'!E100</f>
        <v xml:space="preserve">Inclusión social y Reconciliación </v>
      </c>
      <c r="D57" s="805"/>
      <c r="E57" s="806">
        <f>SUM(E58:E59)</f>
        <v>581734742</v>
      </c>
    </row>
    <row r="58" spans="1:7" ht="44.25" customHeight="1" x14ac:dyDescent="0.2">
      <c r="A58" s="800"/>
      <c r="B58" s="787"/>
      <c r="C58" s="400">
        <f>'SGTO POAI -JUNIO-2021'!F101</f>
        <v>4101</v>
      </c>
      <c r="D58" s="783" t="str">
        <f>'SGTO POAI -JUNIO-2021'!G101</f>
        <v>Atención, asistencia y reparación integral a las víctimas. "Tú y yo con reparación integral"</v>
      </c>
      <c r="E58" s="789">
        <f>'SGTO POAI -JUNIO-2021'!AJ101</f>
        <v>547707113</v>
      </c>
    </row>
    <row r="59" spans="1:7" ht="57" customHeight="1" x14ac:dyDescent="0.2">
      <c r="A59" s="800"/>
      <c r="B59" s="791"/>
      <c r="C59" s="400">
        <f>'SGTO POAI -JUNIO-2021'!F107</f>
        <v>4103</v>
      </c>
      <c r="D59" s="783" t="str">
        <f>'SGTO POAI -JUNIO-2021'!G107</f>
        <v>Inclusión social y productiva para la población en situación de vulnerabilidad. "Tú y yo, población vulnerable incluida"</v>
      </c>
      <c r="E59" s="789">
        <f>'SGTO POAI -JUNIO-2021'!AJ107</f>
        <v>34027629</v>
      </c>
      <c r="F59" s="1"/>
      <c r="G59" s="1"/>
    </row>
    <row r="60" spans="1:7" ht="24" customHeight="1" x14ac:dyDescent="0.2">
      <c r="A60" s="766"/>
      <c r="B60" s="769">
        <f>'SGTO POAI -JUNIO-2021'!D109</f>
        <v>45</v>
      </c>
      <c r="C60" s="62" t="str">
        <f>'SGTO POAI -JUNIO-2021'!E109</f>
        <v>Gobierno territorial</v>
      </c>
      <c r="D60" s="472"/>
      <c r="E60" s="535">
        <f>E61</f>
        <v>4448879528.3299999</v>
      </c>
    </row>
    <row r="61" spans="1:7" ht="53.25" customHeight="1" x14ac:dyDescent="0.2">
      <c r="A61" s="807"/>
      <c r="B61" s="798"/>
      <c r="C61" s="69">
        <f>'SGTO POAI -JUNIO-2021'!F110</f>
        <v>4501</v>
      </c>
      <c r="D61" s="783" t="str">
        <f>'SGTO POAI -JUNIO-2021'!G110</f>
        <v>Fortalecimiento de la convivencia y la seguridad ciudadana. "Tú y yo seguros"</v>
      </c>
      <c r="E61" s="789">
        <f>'SGTO POAI -JUNIO-2021'!AJ110</f>
        <v>4448879528.3299999</v>
      </c>
      <c r="F61" s="1"/>
      <c r="G61" s="1"/>
    </row>
    <row r="62" spans="1:7" ht="24" customHeight="1" x14ac:dyDescent="0.2">
      <c r="A62" s="771">
        <f>'SGTO POAI -JUNIO-2021'!B113</f>
        <v>3</v>
      </c>
      <c r="B62" s="61" t="str">
        <f>'SGTO POAI -JUNIO-2021'!D113</f>
        <v xml:space="preserve">TERRITORIO, AMBIENTE Y DESARROLLO SOSTENIBLE </v>
      </c>
      <c r="C62" s="61"/>
      <c r="D62" s="61"/>
      <c r="E62" s="536">
        <f>E63+E65</f>
        <v>791217948</v>
      </c>
      <c r="F62" s="1"/>
      <c r="G62" s="1"/>
    </row>
    <row r="63" spans="1:7" ht="24" customHeight="1" x14ac:dyDescent="0.2">
      <c r="A63" s="762"/>
      <c r="B63" s="491">
        <f>'SGTO POAI -JUNIO-2021'!D114</f>
        <v>32</v>
      </c>
      <c r="C63" s="62" t="str">
        <f>'SGTO POAI -JUNIO-2021'!E114</f>
        <v>Ambiente y desarrollo sostenible</v>
      </c>
      <c r="D63" s="62"/>
      <c r="E63" s="535">
        <f>E64</f>
        <v>243850000</v>
      </c>
    </row>
    <row r="64" spans="1:7" s="37" customFormat="1" ht="46.5" customHeight="1" x14ac:dyDescent="0.2">
      <c r="A64" s="795"/>
      <c r="B64" s="400"/>
      <c r="C64" s="69">
        <f>'SGTO POAI -JUNIO-2021'!F115</f>
        <v>3205</v>
      </c>
      <c r="D64" s="783" t="str">
        <f>'SGTO POAI -JUNIO-2021'!G115</f>
        <v>Ordenamiento Ambiental Territorial. "Tú y yo planificamos con sentido ambiental"</v>
      </c>
      <c r="E64" s="789">
        <f>'SGTO POAI -JUNIO-2021'!AJ115</f>
        <v>243850000</v>
      </c>
    </row>
    <row r="65" spans="1:7" ht="24" customHeight="1" x14ac:dyDescent="0.2">
      <c r="A65" s="763"/>
      <c r="B65" s="491">
        <f>'SGTO POAI -JUNIO-2021'!D117</f>
        <v>45</v>
      </c>
      <c r="C65" s="62" t="str">
        <f>'SGTO POAI -JUNIO-2021'!E117</f>
        <v>Gobierno territorial</v>
      </c>
      <c r="D65" s="472"/>
      <c r="E65" s="535">
        <f>E66</f>
        <v>547367948</v>
      </c>
    </row>
    <row r="66" spans="1:7" s="37" customFormat="1" ht="44.25" customHeight="1" x14ac:dyDescent="0.2">
      <c r="A66" s="772"/>
      <c r="B66" s="400"/>
      <c r="C66" s="69">
        <f>'SGTO POAI -JUNIO-2021'!F118</f>
        <v>4503</v>
      </c>
      <c r="D66" s="783" t="str">
        <f>'SGTO POAI -JUNIO-2021'!G118</f>
        <v>Gestión del riesgo de desastres y emergencias. "Tú y yo preparados en gestión del riesgo"</v>
      </c>
      <c r="E66" s="789">
        <f>'SGTO POAI -JUNIO-2021'!AJ118</f>
        <v>547367948</v>
      </c>
    </row>
    <row r="67" spans="1:7" ht="24" customHeight="1" x14ac:dyDescent="0.2">
      <c r="A67" s="771">
        <f>'SGTO POAI -JUNIO-2021'!B122</f>
        <v>4</v>
      </c>
      <c r="B67" s="61" t="str">
        <f>'SGTO POAI -JUNIO-2021'!D122</f>
        <v xml:space="preserve">LIDERAZGO, GOBERNABILIDAD Y TRANSPARENCIA </v>
      </c>
      <c r="C67" s="61"/>
      <c r="D67" s="481"/>
      <c r="E67" s="536">
        <f>E68</f>
        <v>432493401</v>
      </c>
      <c r="F67" s="1"/>
      <c r="G67" s="1"/>
    </row>
    <row r="68" spans="1:7" ht="24" customHeight="1" x14ac:dyDescent="0.2">
      <c r="A68" s="762"/>
      <c r="B68" s="491">
        <f>'SGTO POAI -JUNIO-2021'!D123</f>
        <v>45</v>
      </c>
      <c r="C68" s="62" t="str">
        <f>'SGTO POAI -JUNIO-2021'!E123</f>
        <v>Gobierno territorial</v>
      </c>
      <c r="D68" s="482"/>
      <c r="E68" s="535">
        <f>E69</f>
        <v>432493401</v>
      </c>
    </row>
    <row r="69" spans="1:7" s="37" customFormat="1" ht="54.75" customHeight="1" x14ac:dyDescent="0.2">
      <c r="A69" s="772"/>
      <c r="B69" s="400"/>
      <c r="C69" s="69">
        <f>'SGTO POAI -JUNIO-2021'!F124</f>
        <v>4502</v>
      </c>
      <c r="D69" s="783" t="str">
        <f>'SGTO POAI -JUNIO-2021'!G124</f>
        <v>Fortalecimiento del buen gobierno para el respeto y garantía de los derechos humanos. "Quindío integrado y participativo"</v>
      </c>
      <c r="E69" s="730">
        <f>'SGTO POAI -JUNIO-2021'!AJ124</f>
        <v>432493401</v>
      </c>
    </row>
    <row r="70" spans="1:7" s="10" customFormat="1" x14ac:dyDescent="0.2">
      <c r="A70" s="475"/>
      <c r="B70" s="475"/>
      <c r="C70" s="475"/>
      <c r="D70" s="476"/>
      <c r="E70" s="753"/>
      <c r="F70" s="17"/>
      <c r="G70" s="17"/>
    </row>
    <row r="71" spans="1:7" ht="24" customHeight="1" x14ac:dyDescent="0.2">
      <c r="A71" s="34" t="s">
        <v>375</v>
      </c>
      <c r="B71" s="35"/>
      <c r="C71" s="35"/>
      <c r="D71" s="36"/>
      <c r="E71" s="751">
        <f>E72</f>
        <v>4118391658.3200002</v>
      </c>
      <c r="F71" s="1"/>
      <c r="G71" s="1"/>
    </row>
    <row r="72" spans="1:7" ht="24" customHeight="1" x14ac:dyDescent="0.2">
      <c r="A72" s="448">
        <f>'SGTO POAI -JUNIO-2021'!B132</f>
        <v>1</v>
      </c>
      <c r="B72" s="61" t="str">
        <f>'SGTO POAI -JUNIO-2021'!D132</f>
        <v xml:space="preserve">INCLUSIÓN SOCIAL Y EQUIDAD </v>
      </c>
      <c r="C72" s="61"/>
      <c r="D72" s="61"/>
      <c r="E72" s="536">
        <f>E73</f>
        <v>4118391658.3200002</v>
      </c>
      <c r="F72" s="1"/>
      <c r="G72" s="1"/>
    </row>
    <row r="73" spans="1:7" ht="24" customHeight="1" x14ac:dyDescent="0.2">
      <c r="A73" s="762"/>
      <c r="B73" s="768">
        <f>'SGTO POAI -JUNIO-2021'!D133</f>
        <v>33</v>
      </c>
      <c r="C73" s="477" t="str">
        <f>'SGTO POAI -JUNIO-2021'!E133</f>
        <v>Cultura</v>
      </c>
      <c r="D73" s="478"/>
      <c r="E73" s="535">
        <f>SUM(E74:E75)</f>
        <v>4118391658.3200002</v>
      </c>
    </row>
    <row r="74" spans="1:7" s="37" customFormat="1" ht="46.5" customHeight="1" x14ac:dyDescent="0.2">
      <c r="A74" s="808"/>
      <c r="B74" s="809"/>
      <c r="C74" s="400">
        <f>'SGTO POAI -JUNIO-2021'!F134</f>
        <v>3301</v>
      </c>
      <c r="D74" s="783" t="str">
        <f>'SGTO POAI -JUNIO-2021'!G134</f>
        <v>Promoción y acceso efectivo a procesos culturales y artísticos. "Tú y yo somos cultura Quindiana"</v>
      </c>
      <c r="E74" s="789">
        <f>'SGTO POAI -JUNIO-2021'!AJ134</f>
        <v>3722319083.02</v>
      </c>
    </row>
    <row r="75" spans="1:7" s="37" customFormat="1" ht="51" customHeight="1" x14ac:dyDescent="0.2">
      <c r="A75" s="810"/>
      <c r="B75" s="772"/>
      <c r="C75" s="400">
        <f>'SGTO POAI -JUNIO-2021'!F143</f>
        <v>3302</v>
      </c>
      <c r="D75" s="783" t="str">
        <f>'SGTO POAI -JUNIO-2021'!G143</f>
        <v>Gestión, protección y salvaguardia del patrimonio cultural colombiano. "Tú y yo protectores del patrimonio cultural"</v>
      </c>
      <c r="E75" s="730">
        <f>'SGTO POAI -JUNIO-2021'!AJ143</f>
        <v>396072575.30000001</v>
      </c>
    </row>
    <row r="76" spans="1:7" s="10" customFormat="1" x14ac:dyDescent="0.2">
      <c r="A76" s="475"/>
      <c r="B76" s="475"/>
      <c r="C76" s="475"/>
      <c r="D76" s="476"/>
      <c r="E76" s="753"/>
      <c r="F76" s="17"/>
      <c r="G76" s="17"/>
    </row>
    <row r="77" spans="1:7" ht="24" customHeight="1" x14ac:dyDescent="0.2">
      <c r="A77" s="34" t="s">
        <v>416</v>
      </c>
      <c r="B77" s="35"/>
      <c r="C77" s="35"/>
      <c r="D77" s="36"/>
      <c r="E77" s="751">
        <f>E78</f>
        <v>3266587709.6100001</v>
      </c>
      <c r="F77" s="1"/>
      <c r="G77" s="1"/>
    </row>
    <row r="78" spans="1:7" ht="24" customHeight="1" x14ac:dyDescent="0.2">
      <c r="A78" s="773">
        <f>'SGTO POAI -JUNIO-2021'!B148</f>
        <v>2</v>
      </c>
      <c r="B78" s="61" t="str">
        <f>'SGTO POAI -JUNIO-2021'!D148</f>
        <v>PRODUCTIVIDAD Y COMPETITIVIDAD</v>
      </c>
      <c r="C78" s="61"/>
      <c r="D78" s="61"/>
      <c r="E78" s="536">
        <f>E79+E81</f>
        <v>3266587709.6100001</v>
      </c>
      <c r="F78" s="1"/>
      <c r="G78" s="1"/>
    </row>
    <row r="79" spans="1:7" ht="24" customHeight="1" x14ac:dyDescent="0.2">
      <c r="A79" s="762"/>
      <c r="B79" s="491">
        <f>'SGTO POAI -JUNIO-2021'!D149</f>
        <v>35</v>
      </c>
      <c r="C79" s="62" t="str">
        <f>'SGTO POAI -JUNIO-2021'!E149</f>
        <v>Comercio, Industria y Turismo</v>
      </c>
      <c r="D79" s="472"/>
      <c r="E79" s="535">
        <f>E80</f>
        <v>3029087709.6100001</v>
      </c>
    </row>
    <row r="80" spans="1:7" s="37" customFormat="1" ht="53.25" customHeight="1" x14ac:dyDescent="0.2">
      <c r="A80" s="795"/>
      <c r="B80" s="400"/>
      <c r="C80" s="316">
        <f>'SGTO POAI -JUNIO-2021'!F150</f>
        <v>3502</v>
      </c>
      <c r="D80" s="783" t="str">
        <f>'SGTO POAI -JUNIO-2021'!G150</f>
        <v xml:space="preserve">Productividad y competitividad de las empresas colombianas. "Tú y yo con empresas competitivas" </v>
      </c>
      <c r="E80" s="789">
        <f>'SGTO POAI -JUNIO-2021'!AJ150</f>
        <v>3029087709.6100001</v>
      </c>
    </row>
    <row r="81" spans="1:7" ht="24" customHeight="1" x14ac:dyDescent="0.2">
      <c r="A81" s="763"/>
      <c r="B81" s="491">
        <f>'SGTO POAI -JUNIO-2021'!D159</f>
        <v>36</v>
      </c>
      <c r="C81" s="477" t="str">
        <f>'SGTO POAI -JUNIO-2021'!E159</f>
        <v>Trabajo</v>
      </c>
      <c r="D81" s="478"/>
      <c r="E81" s="535">
        <f>E82</f>
        <v>237500000</v>
      </c>
    </row>
    <row r="82" spans="1:7" s="37" customFormat="1" ht="53.25" customHeight="1" x14ac:dyDescent="0.2">
      <c r="A82" s="772"/>
      <c r="B82" s="400"/>
      <c r="C82" s="316">
        <f>'SGTO POAI -JUNIO-2021'!F160</f>
        <v>3602</v>
      </c>
      <c r="D82" s="783" t="str">
        <f>'SGTO POAI -JUNIO-2021'!G160</f>
        <v>Generación y formalización del empleo. "Tú y yo con empleo de calidad"</v>
      </c>
      <c r="E82" s="789">
        <f>'SGTO POAI -JUNIO-2021'!AJ160</f>
        <v>237500000</v>
      </c>
    </row>
    <row r="83" spans="1:7" s="10" customFormat="1" x14ac:dyDescent="0.2">
      <c r="A83" s="475"/>
      <c r="B83" s="475"/>
      <c r="C83" s="475"/>
      <c r="D83" s="476"/>
      <c r="E83" s="753"/>
      <c r="F83" s="17"/>
      <c r="G83" s="17"/>
    </row>
    <row r="84" spans="1:7" ht="24" customHeight="1" x14ac:dyDescent="0.2">
      <c r="A84" s="34" t="s">
        <v>468</v>
      </c>
      <c r="B84" s="35"/>
      <c r="C84" s="35"/>
      <c r="D84" s="36"/>
      <c r="E84" s="751">
        <f>E85+E96</f>
        <v>3854290501.6300001</v>
      </c>
    </row>
    <row r="85" spans="1:7" ht="24" customHeight="1" x14ac:dyDescent="0.2">
      <c r="A85" s="448">
        <f>'SGTO POAI -JUNIO-2021'!B167</f>
        <v>2</v>
      </c>
      <c r="B85" s="61" t="str">
        <f>'SGTO POAI -JUNIO-2021'!D167</f>
        <v>PRODUCTIVIDAD Y COMPETITIVIDAD</v>
      </c>
      <c r="C85" s="61"/>
      <c r="D85" s="61"/>
      <c r="E85" s="536">
        <f>E86+E94</f>
        <v>2216659112.6300001</v>
      </c>
      <c r="F85" s="21"/>
    </row>
    <row r="86" spans="1:7" ht="24" customHeight="1" x14ac:dyDescent="0.2">
      <c r="A86" s="762"/>
      <c r="B86" s="768">
        <v>17</v>
      </c>
      <c r="C86" s="62" t="str">
        <f>'SGTO POAI -JUNIO-2021'!E168</f>
        <v>Agricultura y desarrollo rural</v>
      </c>
      <c r="D86" s="472"/>
      <c r="E86" s="535">
        <f>SUM(E87:E93)</f>
        <v>2180659112.6300001</v>
      </c>
    </row>
    <row r="87" spans="1:7" ht="57.75" customHeight="1" x14ac:dyDescent="0.2">
      <c r="A87" s="799"/>
      <c r="B87" s="811"/>
      <c r="C87" s="400">
        <f>'SGTO POAI -JUNIO-2021'!F169</f>
        <v>1702</v>
      </c>
      <c r="D87" s="783" t="str">
        <f>'SGTO POAI -JUNIO-2021'!G169</f>
        <v>Inclusión productiva de pequeños productores rurales. "Tú y yo con oportunidades para el pequeño campesino"</v>
      </c>
      <c r="E87" s="789">
        <f>'SGTO POAI -JUNIO-2021'!AJ169</f>
        <v>1574659112.6300001</v>
      </c>
      <c r="F87" s="21"/>
    </row>
    <row r="88" spans="1:7" ht="54" customHeight="1" x14ac:dyDescent="0.2">
      <c r="A88" s="799"/>
      <c r="B88" s="801"/>
      <c r="C88" s="400">
        <f>'SGTO POAI -JUNIO-2021'!F181</f>
        <v>1703</v>
      </c>
      <c r="D88" s="783" t="str">
        <f>'SGTO POAI -JUNIO-2021'!G181</f>
        <v>Servicios financieros y gestión del riesgo para las actividades agropecuarias y rurales. "Tú y yo con un campo protegido"</v>
      </c>
      <c r="E88" s="789">
        <f>'SGTO POAI -JUNIO-2021'!AJ181</f>
        <v>325000000</v>
      </c>
      <c r="F88" s="21"/>
      <c r="G88" s="1"/>
    </row>
    <row r="89" spans="1:7" ht="62.25" customHeight="1" x14ac:dyDescent="0.2">
      <c r="A89" s="799"/>
      <c r="B89" s="801"/>
      <c r="C89" s="400">
        <f>'SGTO POAI -JUNIO-2021'!F183</f>
        <v>1704</v>
      </c>
      <c r="D89" s="783" t="str">
        <f>'SGTO POAI -JUNIO-2021'!G183</f>
        <v>Ordenamiento social y uso productivo del territorio rural. "Tú y yo con un campo planificado"</v>
      </c>
      <c r="E89" s="789">
        <f>'SGTO POAI -JUNIO-2021'!AJ183</f>
        <v>70000000</v>
      </c>
      <c r="F89" s="21"/>
      <c r="G89" s="1"/>
    </row>
    <row r="90" spans="1:7" ht="42" customHeight="1" x14ac:dyDescent="0.2">
      <c r="A90" s="799"/>
      <c r="B90" s="801"/>
      <c r="C90" s="400">
        <f>'SGTO POAI -JUNIO-2021'!F186</f>
        <v>1706</v>
      </c>
      <c r="D90" s="783" t="str">
        <f>'SGTO POAI -JUNIO-2021'!G186</f>
        <v>Aprovechamiento de mercados externos. "Tú y yo a los mercados internacionales"</v>
      </c>
      <c r="E90" s="789">
        <f>'SGTO POAI -JUNIO-2021'!AJ186</f>
        <v>20000000</v>
      </c>
      <c r="F90" s="21"/>
      <c r="G90" s="1"/>
    </row>
    <row r="91" spans="1:7" ht="57" customHeight="1" x14ac:dyDescent="0.2">
      <c r="A91" s="799"/>
      <c r="B91" s="801"/>
      <c r="C91" s="400">
        <f>'SGTO POAI -JUNIO-2021'!F188</f>
        <v>1707</v>
      </c>
      <c r="D91" s="783" t="str">
        <f>'SGTO POAI -JUNIO-2021'!G188</f>
        <v>Sanidad agropecuaria e inocuidad agroalimentaria. "Tú y yo con un agro saludable"</v>
      </c>
      <c r="E91" s="789">
        <f>'SGTO POAI -JUNIO-2021'!AJ188</f>
        <v>43000000</v>
      </c>
      <c r="F91" s="21"/>
      <c r="G91" s="1"/>
    </row>
    <row r="92" spans="1:7" ht="60.75" customHeight="1" x14ac:dyDescent="0.2">
      <c r="A92" s="799"/>
      <c r="B92" s="801"/>
      <c r="C92" s="400">
        <f>'SGTO POAI -JUNIO-2021'!F190</f>
        <v>1708</v>
      </c>
      <c r="D92" s="783" t="str">
        <f>'SGTO POAI -JUNIO-2021'!G190</f>
        <v>Ciencia, tecnología e innovación agropecuaria. "Tú y yo con un agro interconectado"</v>
      </c>
      <c r="E92" s="789">
        <f>'SGTO POAI -JUNIO-2021'!AJ190</f>
        <v>40000000</v>
      </c>
      <c r="F92" s="21"/>
    </row>
    <row r="93" spans="1:7" ht="42" customHeight="1" x14ac:dyDescent="0.2">
      <c r="A93" s="799"/>
      <c r="B93" s="807"/>
      <c r="C93" s="400">
        <f>'SGTO POAI -JUNIO-2021'!F193</f>
        <v>1709</v>
      </c>
      <c r="D93" s="783" t="str">
        <f>'SGTO POAI -JUNIO-2021'!G193</f>
        <v>Infraestructura productiva y comercialización. "Tú y yo con agro competitivo"</v>
      </c>
      <c r="E93" s="789">
        <f>'SGTO POAI -JUNIO-2021'!AJ193</f>
        <v>108000000</v>
      </c>
      <c r="F93" s="21"/>
    </row>
    <row r="94" spans="1:7" ht="24" customHeight="1" x14ac:dyDescent="0.2">
      <c r="A94" s="763"/>
      <c r="B94" s="769">
        <f>'SGTO POAI -JUNIO-2021'!D197</f>
        <v>35</v>
      </c>
      <c r="C94" s="62" t="str">
        <f>'SGTO POAI -JUNIO-2021'!E197</f>
        <v>Comercio, Industria y Turismo</v>
      </c>
      <c r="D94" s="472"/>
      <c r="E94" s="535">
        <f>E95</f>
        <v>36000000</v>
      </c>
    </row>
    <row r="95" spans="1:7" ht="73.5" customHeight="1" x14ac:dyDescent="0.2">
      <c r="A95" s="791"/>
      <c r="B95" s="798"/>
      <c r="C95" s="69">
        <f>'SGTO POAI -JUNIO-2021'!F198</f>
        <v>3502</v>
      </c>
      <c r="D95" s="783" t="str">
        <f>'SGTO POAI -JUNIO-2021'!G198</f>
        <v xml:space="preserve">Productividad y competitividad de las empresas colombianas. "Tú y yo con empresas competitivas" </v>
      </c>
      <c r="E95" s="789">
        <f>'SGTO POAI -JUNIO-2021'!AJ198</f>
        <v>36000000</v>
      </c>
      <c r="F95" s="21"/>
    </row>
    <row r="96" spans="1:7" ht="24" customHeight="1" x14ac:dyDescent="0.2">
      <c r="A96" s="771">
        <f>'SGTO POAI -JUNIO-2021'!B201</f>
        <v>3</v>
      </c>
      <c r="B96" s="61" t="str">
        <f>'SGTO POAI -JUNIO-2021'!D201</f>
        <v xml:space="preserve">TERRITORIO, AMBIENTE Y DESARROLLO SOSTENIBLE </v>
      </c>
      <c r="C96" s="61"/>
      <c r="D96" s="61"/>
      <c r="E96" s="536">
        <f>E97</f>
        <v>1637631389</v>
      </c>
      <c r="F96" s="21"/>
    </row>
    <row r="97" spans="1:7" ht="24" customHeight="1" x14ac:dyDescent="0.2">
      <c r="A97" s="762"/>
      <c r="B97" s="768">
        <f>'SGTO POAI -JUNIO-2021'!D202</f>
        <v>32</v>
      </c>
      <c r="C97" s="62" t="str">
        <f>'SGTO POAI -JUNIO-2021'!E202</f>
        <v>Ambiente y desarrollo sostenible</v>
      </c>
      <c r="D97" s="472"/>
      <c r="E97" s="535">
        <f>SUM(E98:E102)</f>
        <v>1637631389</v>
      </c>
    </row>
    <row r="98" spans="1:7" s="37" customFormat="1" ht="52.5" customHeight="1" x14ac:dyDescent="0.2">
      <c r="A98" s="808"/>
      <c r="B98" s="809"/>
      <c r="C98" s="400" t="str">
        <f>'SGTO POAI -JUNIO-2021'!F203</f>
        <v>3201</v>
      </c>
      <c r="D98" s="783" t="str">
        <f>'SGTO POAI -JUNIO-2021'!G203</f>
        <v>Fortalecimiento del desempeño ambiental de los sectores productivos. "Tú y yo guardianes de la biodiversidad.</v>
      </c>
      <c r="E98" s="789">
        <f>'SGTO POAI -JUNIO-2021'!AJ203</f>
        <v>82000000</v>
      </c>
      <c r="F98" s="22"/>
    </row>
    <row r="99" spans="1:7" s="37" customFormat="1" ht="52.5" customHeight="1" x14ac:dyDescent="0.2">
      <c r="A99" s="808"/>
      <c r="B99" s="795"/>
      <c r="C99" s="400">
        <f>'SGTO POAI -JUNIO-2021'!F206</f>
        <v>3202</v>
      </c>
      <c r="D99" s="783" t="str">
        <f>'SGTO POAI -JUNIO-2021'!G206</f>
        <v>Conservación de la biodiversidad y sus servicios ecosistémicos. "Tú y yo en territorios biodiversos"</v>
      </c>
      <c r="E99" s="789">
        <f>'SGTO POAI -JUNIO-2021'!AJ206</f>
        <v>1235631389</v>
      </c>
      <c r="F99" s="22"/>
    </row>
    <row r="100" spans="1:7" s="37" customFormat="1" ht="52.5" customHeight="1" x14ac:dyDescent="0.2">
      <c r="A100" s="808"/>
      <c r="B100" s="795"/>
      <c r="C100" s="400" t="str">
        <f>'SGTO POAI -JUNIO-2021'!F213</f>
        <v>3204</v>
      </c>
      <c r="D100" s="783" t="str">
        <f>'SGTO POAI -JUNIO-2021'!G213</f>
        <v>Gestión de la información y en conocimiento ambiental. "Tú y yo conscientes con la naturaleza"</v>
      </c>
      <c r="E100" s="789">
        <f>'SGTO POAI -JUNIO-2021'!AJ213</f>
        <v>120000000</v>
      </c>
      <c r="F100" s="22"/>
    </row>
    <row r="101" spans="1:7" s="37" customFormat="1" ht="52.5" customHeight="1" x14ac:dyDescent="0.2">
      <c r="A101" s="808"/>
      <c r="B101" s="795"/>
      <c r="C101" s="400">
        <f>'SGTO POAI -JUNIO-2021'!F215</f>
        <v>3205</v>
      </c>
      <c r="D101" s="783" t="str">
        <f>'SGTO POAI -JUNIO-2021'!G215</f>
        <v>Ordenamiento Ambiental Territorial. "Tú y yo planificamos con sentido ambiental"</v>
      </c>
      <c r="E101" s="789">
        <f>'SGTO POAI -JUNIO-2021'!AJ215</f>
        <v>82000000</v>
      </c>
      <c r="F101" s="22"/>
    </row>
    <row r="102" spans="1:7" s="37" customFormat="1" ht="52.5" customHeight="1" x14ac:dyDescent="0.2">
      <c r="A102" s="810"/>
      <c r="B102" s="772"/>
      <c r="C102" s="400" t="str">
        <f>'SGTO POAI -JUNIO-2021'!F219</f>
        <v>3206</v>
      </c>
      <c r="D102" s="783" t="str">
        <f>'SGTO POAI -JUNIO-2021'!G219</f>
        <v>Gestión del cambio climático para un desarrollo bajo en carbono y resiliente al clima. "Tú y yo preparados para el cambio climático"</v>
      </c>
      <c r="E102" s="789">
        <f>'SGTO POAI -JUNIO-2021'!AJ219</f>
        <v>118000000</v>
      </c>
      <c r="F102" s="22"/>
    </row>
    <row r="103" spans="1:7" s="10" customFormat="1" x14ac:dyDescent="0.2">
      <c r="A103" s="475"/>
      <c r="B103" s="475"/>
      <c r="C103" s="475"/>
      <c r="D103" s="476"/>
      <c r="E103" s="753"/>
      <c r="F103" s="17"/>
      <c r="G103" s="17"/>
    </row>
    <row r="104" spans="1:7" ht="24" customHeight="1" x14ac:dyDescent="0.2">
      <c r="A104" s="34" t="s">
        <v>653</v>
      </c>
      <c r="B104" s="35"/>
      <c r="C104" s="35"/>
      <c r="D104" s="36"/>
      <c r="E104" s="751">
        <f>E105</f>
        <v>1177000000</v>
      </c>
    </row>
    <row r="105" spans="1:7" ht="24" customHeight="1" x14ac:dyDescent="0.2">
      <c r="A105" s="448">
        <f>'SGTO POAI -JUNIO-2021'!B225</f>
        <v>4</v>
      </c>
      <c r="B105" s="61" t="str">
        <f>'SGTO POAI -JUNIO-2021'!D225</f>
        <v xml:space="preserve">LIDERAZGO, GOBERNABILIDAD Y TRANSPARENCIA </v>
      </c>
      <c r="C105" s="61"/>
      <c r="D105" s="61"/>
      <c r="E105" s="536">
        <f>E106</f>
        <v>1177000000</v>
      </c>
    </row>
    <row r="106" spans="1:7" ht="24" customHeight="1" x14ac:dyDescent="0.2">
      <c r="A106" s="762"/>
      <c r="B106" s="768">
        <f>'SGTO POAI -JUNIO-2021'!D226</f>
        <v>45</v>
      </c>
      <c r="C106" s="62" t="str">
        <f>'SGTO POAI -JUNIO-2021'!E226</f>
        <v>Gobierno territorial</v>
      </c>
      <c r="D106" s="472"/>
      <c r="E106" s="535">
        <f>SUM(E107:E108)</f>
        <v>1177000000</v>
      </c>
    </row>
    <row r="107" spans="1:7" s="812" customFormat="1" ht="74.25" customHeight="1" x14ac:dyDescent="0.25">
      <c r="A107" s="808"/>
      <c r="B107" s="809"/>
      <c r="C107" s="400">
        <f>'SGTO POAI -JUNIO-2021'!F227</f>
        <v>4599</v>
      </c>
      <c r="D107" s="783" t="str">
        <f>'SGTO POAI -JUNIO-2021'!G227</f>
        <v>Fortalecimiento a la gestión y dirección de la administración pública territorial "Quindío con una administración al servicio de la ciudadanía"</v>
      </c>
      <c r="E107" s="789">
        <f>'SGTO POAI -JUNIO-2021'!AJ227</f>
        <v>1032000000</v>
      </c>
    </row>
    <row r="108" spans="1:7" s="37" customFormat="1" ht="54.75" customHeight="1" x14ac:dyDescent="0.2">
      <c r="A108" s="810"/>
      <c r="B108" s="772"/>
      <c r="C108" s="400">
        <f>'SGTO POAI -JUNIO-2021'!F230</f>
        <v>4502</v>
      </c>
      <c r="D108" s="783" t="str">
        <f>'SGTO POAI -JUNIO-2021'!G230</f>
        <v>Fortalecimiento del buen gobierno para el respeto y garantía de los derechos humanos. "Quindío integrado y participativo"</v>
      </c>
      <c r="E108" s="730">
        <f>'SGTO POAI -JUNIO-2021'!AJ230</f>
        <v>145000000</v>
      </c>
    </row>
    <row r="109" spans="1:7" s="10" customFormat="1" x14ac:dyDescent="0.2">
      <c r="A109" s="475"/>
      <c r="B109" s="475"/>
      <c r="C109" s="475"/>
      <c r="D109" s="476"/>
      <c r="E109" s="753"/>
      <c r="F109" s="17"/>
      <c r="G109" s="17"/>
    </row>
    <row r="110" spans="1:7" ht="24" customHeight="1" x14ac:dyDescent="0.2">
      <c r="A110" s="34" t="s">
        <v>672</v>
      </c>
      <c r="B110" s="35"/>
      <c r="C110" s="35"/>
      <c r="D110" s="36"/>
      <c r="E110" s="751">
        <f>E111+E115</f>
        <v>190698739865.30008</v>
      </c>
      <c r="F110" s="1"/>
      <c r="G110" s="1"/>
    </row>
    <row r="111" spans="1:7" ht="24" customHeight="1" x14ac:dyDescent="0.2">
      <c r="A111" s="448">
        <f>'SGTO POAI -JUNIO-2021'!B234</f>
        <v>1</v>
      </c>
      <c r="B111" s="61" t="str">
        <f>'SGTO POAI -JUNIO-2021'!D234</f>
        <v xml:space="preserve">INCLUSIÓN SOCIAL Y EQUIDAD </v>
      </c>
      <c r="C111" s="61"/>
      <c r="D111" s="61"/>
      <c r="E111" s="536">
        <f>E112</f>
        <v>190691239865.30008</v>
      </c>
      <c r="F111" s="1"/>
      <c r="G111" s="1"/>
    </row>
    <row r="112" spans="1:7" ht="24" customHeight="1" x14ac:dyDescent="0.2">
      <c r="A112" s="762"/>
      <c r="B112" s="768">
        <f>'SGTO POAI -JUNIO-2021'!D235</f>
        <v>22</v>
      </c>
      <c r="C112" s="64" t="str">
        <f>'SGTO POAI -JUNIO-2021'!E235</f>
        <v>Educación</v>
      </c>
      <c r="D112" s="472"/>
      <c r="E112" s="535">
        <f>SUM(E113:E114)</f>
        <v>190691239865.30008</v>
      </c>
    </row>
    <row r="113" spans="1:7" s="37" customFormat="1" ht="55.5" customHeight="1" x14ac:dyDescent="0.2">
      <c r="A113" s="795"/>
      <c r="B113" s="796"/>
      <c r="C113" s="788">
        <f>'SGTO POAI -JUNIO-2021'!F236</f>
        <v>2201</v>
      </c>
      <c r="D113" s="783" t="str">
        <f>'SGTO POAI -JUNIO-2021'!G236</f>
        <v>Calidad, cobertura y fortalecimiento de la educación inicial, prescolar, básica y media." Tú y yo con educación y de calidad"</v>
      </c>
      <c r="E113" s="730">
        <f>'SGTO POAI -JUNIO-2021'!AJ236</f>
        <v>190591239865.30008</v>
      </c>
    </row>
    <row r="114" spans="1:7" s="37" customFormat="1" ht="55.5" customHeight="1" x14ac:dyDescent="0.2">
      <c r="A114" s="772"/>
      <c r="B114" s="797"/>
      <c r="C114" s="400">
        <f>'SGTO POAI -JUNIO-2021'!F271</f>
        <v>2202</v>
      </c>
      <c r="D114" s="783" t="str">
        <f>'SGTO POAI -JUNIO-2021'!G271</f>
        <v>Calidad y fomento de la Educación "Tú y yo preparados para la educación superior"</v>
      </c>
      <c r="E114" s="789">
        <f>'SGTO POAI -JUNIO-2021'!AJ271</f>
        <v>100000000</v>
      </c>
    </row>
    <row r="115" spans="1:7" ht="24" customHeight="1" x14ac:dyDescent="0.2">
      <c r="A115" s="771">
        <f>'SGTO POAI -JUNIO-2021'!B273</f>
        <v>2</v>
      </c>
      <c r="B115" s="774" t="str">
        <f>'SGTO POAI -JUNIO-2021'!D273</f>
        <v>PRODUCTIVIDAD Y COMPETITIVIDAD</v>
      </c>
      <c r="C115" s="61"/>
      <c r="D115" s="61"/>
      <c r="E115" s="536">
        <f>E116</f>
        <v>7500000</v>
      </c>
      <c r="F115" s="21"/>
    </row>
    <row r="116" spans="1:7" ht="24" customHeight="1" x14ac:dyDescent="0.2">
      <c r="A116" s="762"/>
      <c r="B116" s="491">
        <f>'SGTO POAI -JUNIO-2021'!D274</f>
        <v>39</v>
      </c>
      <c r="C116" s="62" t="str">
        <f>'SGTO POAI -JUNIO-2021'!E274</f>
        <v>Ciencia, Tecnología e Innovación</v>
      </c>
      <c r="D116" s="62"/>
      <c r="E116" s="535">
        <f>E117</f>
        <v>7500000</v>
      </c>
    </row>
    <row r="117" spans="1:7" s="37" customFormat="1" ht="39.75" customHeight="1" x14ac:dyDescent="0.2">
      <c r="A117" s="772"/>
      <c r="B117" s="400"/>
      <c r="C117" s="69">
        <f>'SGTO POAI -JUNIO-2021'!F275</f>
        <v>3904</v>
      </c>
      <c r="D117" s="783" t="str">
        <f>'SGTO POAI -JUNIO-2021'!G275</f>
        <v>Generación de una cultura qué valora y gestiona en conocimiento y la innovación.</v>
      </c>
      <c r="E117" s="789">
        <f>'SGTO POAI -JUNIO-2021'!AJ275</f>
        <v>7500000</v>
      </c>
    </row>
    <row r="118" spans="1:7" s="10" customFormat="1" x14ac:dyDescent="0.2">
      <c r="A118" s="475"/>
      <c r="B118" s="475"/>
      <c r="C118" s="475"/>
      <c r="D118" s="476"/>
      <c r="E118" s="753"/>
      <c r="F118" s="17"/>
      <c r="G118" s="17"/>
    </row>
    <row r="119" spans="1:7" s="10" customFormat="1" ht="24" customHeight="1" x14ac:dyDescent="0.2">
      <c r="A119" s="34" t="s">
        <v>791</v>
      </c>
      <c r="B119" s="35"/>
      <c r="C119" s="35"/>
      <c r="D119" s="36"/>
      <c r="E119" s="751">
        <f>E120+E129+E134</f>
        <v>6018861113.0100002</v>
      </c>
      <c r="F119" s="17"/>
      <c r="G119" s="17"/>
    </row>
    <row r="120" spans="1:7" s="10" customFormat="1" ht="24" customHeight="1" x14ac:dyDescent="0.2">
      <c r="A120" s="448">
        <f>'SGTO POAI -JUNIO-2021'!B279</f>
        <v>1</v>
      </c>
      <c r="B120" s="61" t="str">
        <f>'SGTO POAI -JUNIO-2021'!D279</f>
        <v xml:space="preserve">INCLUSIÓN SOCIAL Y EQUIDAD </v>
      </c>
      <c r="C120" s="61"/>
      <c r="D120" s="61"/>
      <c r="E120" s="536">
        <f>E121+E123+E125</f>
        <v>5497771610.0100002</v>
      </c>
      <c r="F120" s="17"/>
      <c r="G120" s="17"/>
    </row>
    <row r="121" spans="1:7" ht="24" customHeight="1" x14ac:dyDescent="0.2">
      <c r="A121" s="762"/>
      <c r="B121" s="491">
        <f>'SGTO POAI -JUNIO-2021'!D280</f>
        <v>19</v>
      </c>
      <c r="C121" s="62" t="str">
        <f>'SGTO POAI -JUNIO-2021'!E280</f>
        <v>Salud y protección social</v>
      </c>
      <c r="D121" s="472"/>
      <c r="E121" s="535">
        <f>E122</f>
        <v>175000000</v>
      </c>
    </row>
    <row r="122" spans="1:7" s="41" customFormat="1" ht="51" customHeight="1" x14ac:dyDescent="0.2">
      <c r="A122" s="795"/>
      <c r="B122" s="400"/>
      <c r="C122" s="69">
        <f>'SGTO POAI -JUNIO-2021'!F281</f>
        <v>1905</v>
      </c>
      <c r="D122" s="80" t="str">
        <f>'SGTO POAI -JUNIO-2021'!G281</f>
        <v>Salud Pública, "Tú y yo con salud de calidad"</v>
      </c>
      <c r="E122" s="789">
        <f>'SGTO POAI -JUNIO-2021'!AJ281</f>
        <v>175000000</v>
      </c>
    </row>
    <row r="123" spans="1:7" ht="24" customHeight="1" x14ac:dyDescent="0.2">
      <c r="A123" s="763"/>
      <c r="B123" s="491">
        <f>'SGTO POAI -JUNIO-2021'!D284</f>
        <v>33</v>
      </c>
      <c r="C123" s="477" t="str">
        <f>'SGTO POAI -JUNIO-2021'!E284</f>
        <v>Cultura</v>
      </c>
      <c r="D123" s="478"/>
      <c r="E123" s="535">
        <f>E124</f>
        <v>14250000</v>
      </c>
    </row>
    <row r="124" spans="1:7" s="41" customFormat="1" ht="51.75" customHeight="1" x14ac:dyDescent="0.2">
      <c r="A124" s="795"/>
      <c r="B124" s="400"/>
      <c r="C124" s="69">
        <f>'SGTO POAI -JUNIO-2021'!F285</f>
        <v>3301</v>
      </c>
      <c r="D124" s="783" t="str">
        <f>'SGTO POAI -JUNIO-2021'!G285</f>
        <v>Promoción y acceso efectivo a procesos culturales y artísticos. "Tú y yo somos cultura Quindiana"</v>
      </c>
      <c r="E124" s="789">
        <f>'SGTO POAI -JUNIO-2021'!AJ285</f>
        <v>14250000</v>
      </c>
    </row>
    <row r="125" spans="1:7" ht="24" customHeight="1" x14ac:dyDescent="0.2">
      <c r="A125" s="763"/>
      <c r="B125" s="768">
        <f>'SGTO POAI -JUNIO-2021'!D287</f>
        <v>41</v>
      </c>
      <c r="C125" s="62" t="str">
        <f>'SGTO POAI -JUNIO-2021'!E287</f>
        <v>Inclusión social y Reconciliación</v>
      </c>
      <c r="D125" s="472"/>
      <c r="E125" s="535">
        <f>SUM(E126:E128)</f>
        <v>5308521610.0100002</v>
      </c>
    </row>
    <row r="126" spans="1:7" s="41" customFormat="1" ht="53.25" customHeight="1" x14ac:dyDescent="0.2">
      <c r="A126" s="808"/>
      <c r="B126" s="809"/>
      <c r="C126" s="400">
        <f>'SGTO POAI -JUNIO-2021'!F288</f>
        <v>4102</v>
      </c>
      <c r="D126" s="783" t="str">
        <f>'SGTO POAI -JUNIO-2021'!G288</f>
        <v>Desarrollo Integral de Niños, Niñas, Adolescentes y sus Familias. "Tú y yo niños, niñas y adolescentes con desarrollo integral"</v>
      </c>
      <c r="E126" s="789">
        <f>'SGTO POAI -JUNIO-2021'!AJ288</f>
        <v>847562889</v>
      </c>
    </row>
    <row r="127" spans="1:7" s="41" customFormat="1" ht="48.75" customHeight="1" x14ac:dyDescent="0.2">
      <c r="A127" s="808"/>
      <c r="B127" s="795"/>
      <c r="C127" s="400">
        <f>'SGTO POAI -JUNIO-2021'!F299</f>
        <v>4103</v>
      </c>
      <c r="D127" s="783" t="str">
        <f>'SGTO POAI -JUNIO-2021'!G299</f>
        <v>Inclusión social y productiva para la población en situación de vulnerabilidad. "Tú y yo, población vulnerable incluida"</v>
      </c>
      <c r="E127" s="789">
        <f>'SGTO POAI -JUNIO-2021'!AJ299</f>
        <v>233793714</v>
      </c>
    </row>
    <row r="128" spans="1:7" s="41" customFormat="1" ht="51.75" customHeight="1" x14ac:dyDescent="0.2">
      <c r="A128" s="810"/>
      <c r="B128" s="772"/>
      <c r="C128" s="400">
        <f>'SGTO POAI -JUNIO-2021'!F307</f>
        <v>4104</v>
      </c>
      <c r="D128" s="783" t="str">
        <f>'SGTO POAI -JUNIO-2021'!G307</f>
        <v>Atención integral de población en situación permanente de desprotección social y/o familiar "Tú y yo con atención integral"</v>
      </c>
      <c r="E128" s="789">
        <f>'SGTO POAI -JUNIO-2021'!AJ307</f>
        <v>4227165007.0100002</v>
      </c>
    </row>
    <row r="129" spans="1:7" s="10" customFormat="1" ht="24" customHeight="1" x14ac:dyDescent="0.2">
      <c r="A129" s="771">
        <f>'SGTO POAI -JUNIO-2021'!B313</f>
        <v>2</v>
      </c>
      <c r="B129" s="774" t="str">
        <f>'SGTO POAI -JUNIO-2021'!D313</f>
        <v>PRODUCTIVIDAD Y COMPETITIVIDAD</v>
      </c>
      <c r="C129" s="61"/>
      <c r="D129" s="61"/>
      <c r="E129" s="536">
        <f>E130+E132</f>
        <v>56195000</v>
      </c>
      <c r="F129" s="17"/>
      <c r="G129" s="17"/>
    </row>
    <row r="130" spans="1:7" ht="24" customHeight="1" x14ac:dyDescent="0.2">
      <c r="A130" s="762"/>
      <c r="B130" s="491">
        <f>'SGTO POAI -JUNIO-2021'!D314</f>
        <v>17</v>
      </c>
      <c r="C130" s="62" t="str">
        <f>'SGTO POAI -JUNIO-2021'!E314</f>
        <v>Agricultura y desarrollo rural</v>
      </c>
      <c r="D130" s="472"/>
      <c r="E130" s="535">
        <f>E131</f>
        <v>18000000</v>
      </c>
    </row>
    <row r="131" spans="1:7" s="41" customFormat="1" ht="51.75" customHeight="1" x14ac:dyDescent="0.2">
      <c r="A131" s="795"/>
      <c r="B131" s="400"/>
      <c r="C131" s="69">
        <f>'SGTO POAI -JUNIO-2021'!F315</f>
        <v>1702</v>
      </c>
      <c r="D131" s="783" t="str">
        <f>'SGTO POAI -JUNIO-2021'!G315</f>
        <v>Inclusión productiva de pequeños productores rurales. "Tú y yo con oportunidades para el pequeño campesino"</v>
      </c>
      <c r="E131" s="789">
        <f>'SGTO POAI -JUNIO-2021'!AJ315</f>
        <v>18000000</v>
      </c>
    </row>
    <row r="132" spans="1:7" ht="25.5" customHeight="1" x14ac:dyDescent="0.2">
      <c r="A132" s="763"/>
      <c r="B132" s="491">
        <f>'SGTO POAI -JUNIO-2021'!D317</f>
        <v>36</v>
      </c>
      <c r="C132" s="477" t="str">
        <f>'SGTO POAI -JUNIO-2021'!E317</f>
        <v>Trabajo</v>
      </c>
      <c r="D132" s="478"/>
      <c r="E132" s="535">
        <f>E133</f>
        <v>38195000</v>
      </c>
    </row>
    <row r="133" spans="1:7" s="41" customFormat="1" ht="51" customHeight="1" x14ac:dyDescent="0.2">
      <c r="A133" s="772"/>
      <c r="B133" s="400"/>
      <c r="C133" s="69">
        <f>'SGTO POAI -JUNIO-2021'!F318</f>
        <v>3604</v>
      </c>
      <c r="D133" s="783" t="str">
        <f>'SGTO POAI -JUNIO-2021'!G318</f>
        <v>Derechos fundamentales del trabajo y fortalecimiento del diálogo social. "Tú y yo con una niñez protegida"</v>
      </c>
      <c r="E133" s="789">
        <f>'SGTO POAI -JUNIO-2021'!AJ318</f>
        <v>38195000</v>
      </c>
    </row>
    <row r="134" spans="1:7" s="10" customFormat="1" ht="24" customHeight="1" x14ac:dyDescent="0.2">
      <c r="A134" s="771">
        <f>'SGTO POAI -JUNIO-2021'!B320</f>
        <v>4</v>
      </c>
      <c r="B134" s="61" t="str">
        <f>'SGTO POAI -JUNIO-2021'!D320</f>
        <v xml:space="preserve">LIDERAZGO, GOBERNABILIDAD Y TRANSPARENCIA </v>
      </c>
      <c r="C134" s="61"/>
      <c r="D134" s="61"/>
      <c r="E134" s="536">
        <f>E135</f>
        <v>464894503</v>
      </c>
      <c r="F134" s="17"/>
      <c r="G134" s="17"/>
    </row>
    <row r="135" spans="1:7" ht="24" customHeight="1" x14ac:dyDescent="0.2">
      <c r="A135" s="762"/>
      <c r="B135" s="768">
        <f>'SGTO POAI -JUNIO-2021'!D321</f>
        <v>45</v>
      </c>
      <c r="C135" s="485" t="str">
        <f>'SGTO POAI -JUNIO-2021'!E321</f>
        <v>Gobierno Territorial</v>
      </c>
      <c r="D135" s="486"/>
      <c r="E135" s="754">
        <f>SUM(E136:E137)</f>
        <v>464894503</v>
      </c>
    </row>
    <row r="136" spans="1:7" ht="50.25" customHeight="1" x14ac:dyDescent="0.2">
      <c r="A136" s="795"/>
      <c r="B136" s="813"/>
      <c r="C136" s="814">
        <f>'SGTO POAI -JUNIO-2021'!F322</f>
        <v>4502</v>
      </c>
      <c r="D136" s="815" t="str">
        <f>'SGTO POAI -JUNIO-2021'!G322</f>
        <v>Fortalecimiento del buen gobierno para el respeto y garantía de los derechos humanos. "Quindío integrado y participativo"</v>
      </c>
      <c r="E136" s="816">
        <f>'SGTO POAI -JUNIO-2021'!AJ322</f>
        <v>251000000</v>
      </c>
    </row>
    <row r="137" spans="1:7" ht="76.5" customHeight="1" x14ac:dyDescent="0.2">
      <c r="A137" s="772"/>
      <c r="B137" s="813"/>
      <c r="C137" s="814">
        <f>'SGTO POAI -JUNIO-2021'!F328</f>
        <v>4599</v>
      </c>
      <c r="D137" s="817" t="str">
        <f>'SGTO POAI -JUNIO-2021'!G328</f>
        <v>Fortalecimiento a la gestión y dirección de la administración pública territorial "Quindío con una administración al servicio de la ciudadanía"</v>
      </c>
      <c r="E137" s="816">
        <f>'SGTO POAI -JUNIO-2021'!AJ328</f>
        <v>213894503</v>
      </c>
    </row>
    <row r="138" spans="1:7" s="10" customFormat="1" x14ac:dyDescent="0.2">
      <c r="A138" s="475"/>
      <c r="B138" s="475"/>
      <c r="C138" s="475"/>
      <c r="D138" s="476"/>
      <c r="E138" s="753"/>
      <c r="F138" s="17"/>
      <c r="G138" s="17"/>
    </row>
    <row r="139" spans="1:7" ht="24" customHeight="1" x14ac:dyDescent="0.2">
      <c r="A139" s="34" t="s">
        <v>1012</v>
      </c>
      <c r="B139" s="35"/>
      <c r="C139" s="35"/>
      <c r="D139" s="36"/>
      <c r="E139" s="751">
        <f>E140</f>
        <v>54459863533.529999</v>
      </c>
    </row>
    <row r="140" spans="1:7" ht="24" customHeight="1" x14ac:dyDescent="0.2">
      <c r="A140" s="448">
        <f>'SGTO POAI -JUNIO-2021'!B334</f>
        <v>1</v>
      </c>
      <c r="B140" s="61" t="str">
        <f>'SGTO POAI -JUNIO-2021'!D334</f>
        <v xml:space="preserve">INCLUSIÓN SOCIAL Y EQUIDAD </v>
      </c>
      <c r="C140" s="63"/>
      <c r="D140" s="61"/>
      <c r="E140" s="536">
        <f>E141</f>
        <v>54459863533.529999</v>
      </c>
    </row>
    <row r="141" spans="1:7" ht="24" customHeight="1" x14ac:dyDescent="0.2">
      <c r="A141" s="762"/>
      <c r="B141" s="768">
        <f>'SGTO POAI -JUNIO-2021'!D335</f>
        <v>19</v>
      </c>
      <c r="C141" s="62" t="str">
        <f>'SGTO POAI -JUNIO-2021'!E335</f>
        <v>Salud y protección social</v>
      </c>
      <c r="D141" s="472"/>
      <c r="E141" s="535">
        <f>SUM(E142:E144)</f>
        <v>54459863533.529999</v>
      </c>
    </row>
    <row r="142" spans="1:7" s="37" customFormat="1" ht="35.25" customHeight="1" x14ac:dyDescent="0.2">
      <c r="A142" s="795"/>
      <c r="B142" s="796"/>
      <c r="C142" s="400">
        <f>'SGTO POAI -JUNIO-2021'!F336</f>
        <v>1903</v>
      </c>
      <c r="D142" s="783" t="str">
        <f>'SGTO POAI -JUNIO-2021'!G336</f>
        <v xml:space="preserve">Inspección, vigilancia y control. "Tú y yo con salud certificada" </v>
      </c>
      <c r="E142" s="789">
        <f>'SGTO POAI -JUNIO-2021'!AJ336</f>
        <v>3182666735.21</v>
      </c>
    </row>
    <row r="143" spans="1:7" s="37" customFormat="1" ht="31.5" customHeight="1" x14ac:dyDescent="0.2">
      <c r="A143" s="795"/>
      <c r="B143" s="802"/>
      <c r="C143" s="400">
        <f>'SGTO POAI -JUNIO-2021'!F359</f>
        <v>1905</v>
      </c>
      <c r="D143" s="783" t="str">
        <f>'SGTO POAI -JUNIO-2021'!G359</f>
        <v>Salud Pública, "Tú y yo con salud de calidad"</v>
      </c>
      <c r="E143" s="789">
        <f>'SGTO POAI -JUNIO-2021'!AJ359</f>
        <v>5284498045.4899998</v>
      </c>
    </row>
    <row r="144" spans="1:7" s="37" customFormat="1" ht="57.75" customHeight="1" x14ac:dyDescent="0.2">
      <c r="A144" s="772"/>
      <c r="B144" s="797"/>
      <c r="C144" s="400">
        <f>'SGTO POAI -JUNIO-2021'!F389</f>
        <v>1906</v>
      </c>
      <c r="D144" s="783" t="str">
        <f>'SGTO POAI -JUNIO-2021'!G389</f>
        <v>Aseguramiento y Prestación integral de servicios de salud "Tú y yo con servicios de salud"</v>
      </c>
      <c r="E144" s="789">
        <f>'SGTO POAI -JUNIO-2021'!AJ389</f>
        <v>45992698752.830002</v>
      </c>
    </row>
    <row r="145" spans="1:7" s="10" customFormat="1" x14ac:dyDescent="0.2">
      <c r="A145" s="475"/>
      <c r="B145" s="475"/>
      <c r="C145" s="475"/>
      <c r="D145" s="476"/>
      <c r="E145" s="753"/>
      <c r="F145" s="17"/>
      <c r="G145" s="17"/>
    </row>
    <row r="146" spans="1:7" s="8" customFormat="1" ht="24" customHeight="1" x14ac:dyDescent="0.25">
      <c r="A146" s="34" t="s">
        <v>1230</v>
      </c>
      <c r="B146" s="35"/>
      <c r="C146" s="35"/>
      <c r="D146" s="36"/>
      <c r="E146" s="751">
        <f>E147+E151+E155</f>
        <v>1196000000</v>
      </c>
      <c r="F146" s="7"/>
      <c r="G146" s="7"/>
    </row>
    <row r="147" spans="1:7" s="8" customFormat="1" ht="24" customHeight="1" x14ac:dyDescent="0.25">
      <c r="A147" s="448">
        <f>'SGTO POAI -JUNIO-2021'!B402</f>
        <v>1</v>
      </c>
      <c r="B147" s="61" t="str">
        <f>'SGTO POAI -JUNIO-2021'!D402</f>
        <v xml:space="preserve">INCLUSIÓN SOCIAL Y EQUIDAD </v>
      </c>
      <c r="C147" s="61"/>
      <c r="D147" s="61"/>
      <c r="E147" s="536">
        <f>E148</f>
        <v>820000000</v>
      </c>
      <c r="F147" s="7"/>
      <c r="G147" s="7"/>
    </row>
    <row r="148" spans="1:7" ht="24" customHeight="1" x14ac:dyDescent="0.2">
      <c r="A148" s="762"/>
      <c r="B148" s="768">
        <f>'SGTO POAI -JUNIO-2021'!D403</f>
        <v>23</v>
      </c>
      <c r="C148" s="62" t="str">
        <f>'SGTO POAI -JUNIO-2021'!E403</f>
        <v>Tecnologías de la información y las comunicaciones</v>
      </c>
      <c r="D148" s="472"/>
      <c r="E148" s="535">
        <f>SUM(E149:E150)</f>
        <v>820000000</v>
      </c>
    </row>
    <row r="149" spans="1:7" s="812" customFormat="1" ht="75.75" customHeight="1" x14ac:dyDescent="0.25">
      <c r="A149" s="795"/>
      <c r="B149" s="796"/>
      <c r="C149" s="788">
        <f>'SGTO POAI -JUNIO-2021'!F404</f>
        <v>2301</v>
      </c>
      <c r="D149" s="783" t="str">
        <f>'SGTO POAI -JUNIO-2021'!G404</f>
        <v>Facilitar en acceso y uso de las Tecnologías de la Información y las Comunicaciones (TIC)  en todo el territorio nacional.  "Tú y yo somos ciudadanos TIC"</v>
      </c>
      <c r="E149" s="789">
        <f>'SGTO POAI -JUNIO-2021'!AJ404</f>
        <v>674000000</v>
      </c>
    </row>
    <row r="150" spans="1:7" s="812" customFormat="1" ht="76.5" customHeight="1" x14ac:dyDescent="0.25">
      <c r="A150" s="772"/>
      <c r="B150" s="797"/>
      <c r="C150" s="788">
        <f>'SGTO POAI -JUNIO-2021'!F414</f>
        <v>2302</v>
      </c>
      <c r="D150" s="783" t="str">
        <f>'SGTO POAI -JUNIO-2021'!G414</f>
        <v>Fomento del desarrollo de aplicaciones, software y contenidos para impulsar la apropiación de las Tecnologías de la Información y las Comunicaciones (TIC) "Quindío paraíso empresarial TIC-Quindío TIC"</v>
      </c>
      <c r="E150" s="789">
        <f>'SGTO POAI -JUNIO-2021'!AJ414</f>
        <v>146000000</v>
      </c>
    </row>
    <row r="151" spans="1:7" s="8" customFormat="1" ht="24" customHeight="1" x14ac:dyDescent="0.25">
      <c r="A151" s="771">
        <f>'SGTO POAI -JUNIO-2021'!B420</f>
        <v>2</v>
      </c>
      <c r="B151" s="774" t="str">
        <f>'SGTO POAI -JUNIO-2021'!D420</f>
        <v>PRODUCTIVIDAD Y COMPETITIVIDAD</v>
      </c>
      <c r="C151" s="61"/>
      <c r="D151" s="61"/>
      <c r="E151" s="536">
        <f>E152</f>
        <v>78000000</v>
      </c>
      <c r="F151" s="7"/>
      <c r="G151" s="7"/>
    </row>
    <row r="152" spans="1:7" ht="24" customHeight="1" x14ac:dyDescent="0.2">
      <c r="A152" s="762"/>
      <c r="B152" s="768">
        <f>'SGTO POAI -JUNIO-2021'!D421</f>
        <v>39</v>
      </c>
      <c r="C152" s="485" t="str">
        <f>'SGTO POAI -JUNIO-2021'!E421</f>
        <v>Ciencia, Tecnología e Innovación</v>
      </c>
      <c r="D152" s="472"/>
      <c r="E152" s="535">
        <f>SUM(E153:E154)</f>
        <v>78000000</v>
      </c>
    </row>
    <row r="153" spans="1:7" s="812" customFormat="1" ht="44.25" customHeight="1" x14ac:dyDescent="0.25">
      <c r="A153" s="795"/>
      <c r="B153" s="422"/>
      <c r="C153" s="818" t="str">
        <f>'SGTO POAI -JUNIO-2021'!F422</f>
        <v>3903</v>
      </c>
      <c r="D153" s="819" t="str">
        <f>'SGTO POAI -JUNIO-2021'!G422</f>
        <v xml:space="preserve">Desarrollo tecnológico e innovación para el crecimiento empresarial </v>
      </c>
      <c r="E153" s="789">
        <f>'SGTO POAI -JUNIO-2021'!AJ422</f>
        <v>60000000</v>
      </c>
    </row>
    <row r="154" spans="1:7" s="812" customFormat="1" ht="44.25" customHeight="1" x14ac:dyDescent="0.25">
      <c r="A154" s="772"/>
      <c r="B154" s="422"/>
      <c r="C154" s="818">
        <f>'SGTO POAI -JUNIO-2021'!F426</f>
        <v>3904</v>
      </c>
      <c r="D154" s="819" t="str">
        <f>'SGTO POAI -JUNIO-2021'!G426</f>
        <v>Generación de una cultura qué valora y gestiona en conocimiento y la innovación.</v>
      </c>
      <c r="E154" s="789">
        <f>'SGTO POAI -JUNIO-2021'!AJ426</f>
        <v>18000000</v>
      </c>
    </row>
    <row r="155" spans="1:7" s="8" customFormat="1" ht="24" customHeight="1" x14ac:dyDescent="0.25">
      <c r="A155" s="771">
        <f>'SGTO POAI -JUNIO-2021'!B428</f>
        <v>4</v>
      </c>
      <c r="B155" s="774" t="str">
        <f>'SGTO POAI -JUNIO-2021'!D428</f>
        <v xml:space="preserve">LIDERAZGO, GOBERNABILIDAD Y TRANSPARENCIA </v>
      </c>
      <c r="C155" s="774"/>
      <c r="D155" s="61"/>
      <c r="E155" s="536">
        <f>E156</f>
        <v>298000000</v>
      </c>
      <c r="F155" s="7"/>
      <c r="G155" s="7"/>
    </row>
    <row r="156" spans="1:7" ht="24" customHeight="1" x14ac:dyDescent="0.2">
      <c r="A156" s="762"/>
      <c r="B156" s="491">
        <f>'SGTO POAI -JUNIO-2021'!D429</f>
        <v>23</v>
      </c>
      <c r="C156" s="62" t="str">
        <f>'SGTO POAI -JUNIO-2021'!E429</f>
        <v>Tecnologías de la información y las comunicaciones</v>
      </c>
      <c r="D156" s="62"/>
      <c r="E156" s="535">
        <f>E157</f>
        <v>298000000</v>
      </c>
    </row>
    <row r="157" spans="1:7" s="812" customFormat="1" ht="99.75" customHeight="1" x14ac:dyDescent="0.25">
      <c r="A157" s="772"/>
      <c r="B157" s="400"/>
      <c r="C157" s="316">
        <f>'SGTO POAI -JUNIO-2021'!F430</f>
        <v>2302</v>
      </c>
      <c r="D157" s="783" t="str">
        <f>'SGTO POAI -JUNIO-2021'!G430</f>
        <v>Fomento del desarrollo de aplicaciones, software y contenidos para impulsar la apropiación de las Tecnologías de la Información y las Comunicaciones (TIC) "Quindío paraíso empresarial TIC-Quindío TIC"</v>
      </c>
      <c r="E157" s="789">
        <f>'SGTO POAI -JUNIO-2021'!AJ430</f>
        <v>298000000</v>
      </c>
    </row>
    <row r="158" spans="1:7" s="10" customFormat="1" ht="18.75" customHeight="1" x14ac:dyDescent="0.2">
      <c r="A158" s="475"/>
      <c r="B158" s="475"/>
      <c r="C158" s="475"/>
      <c r="D158" s="476"/>
      <c r="E158" s="753"/>
      <c r="F158" s="17"/>
      <c r="G158" s="17"/>
    </row>
    <row r="159" spans="1:7" s="25" customFormat="1" ht="30" customHeight="1" x14ac:dyDescent="0.25">
      <c r="A159" s="487" t="s">
        <v>1307</v>
      </c>
      <c r="B159" s="488"/>
      <c r="C159" s="487"/>
      <c r="D159" s="489"/>
      <c r="E159" s="755">
        <f>E7+E13+E19+E24+E49+E71+E77+E84+E104+E110+E119+E139+E146</f>
        <v>291418489407.71008</v>
      </c>
      <c r="F159" s="24"/>
      <c r="G159" s="24"/>
    </row>
    <row r="160" spans="1:7" s="10" customFormat="1" ht="29.25" customHeight="1" x14ac:dyDescent="0.2">
      <c r="A160" s="475"/>
      <c r="B160" s="475"/>
      <c r="C160" s="475"/>
      <c r="D160" s="476"/>
      <c r="E160" s="753"/>
      <c r="F160" s="17"/>
      <c r="G160" s="17"/>
    </row>
    <row r="161" spans="1:7" ht="24" customHeight="1" x14ac:dyDescent="0.2">
      <c r="A161" s="34" t="s">
        <v>1308</v>
      </c>
      <c r="B161" s="35"/>
      <c r="C161" s="35"/>
      <c r="D161" s="36"/>
      <c r="E161" s="751">
        <f>E162</f>
        <v>13010854314.189999</v>
      </c>
    </row>
    <row r="162" spans="1:7" ht="24" customHeight="1" x14ac:dyDescent="0.2">
      <c r="A162" s="448">
        <f>'SGTO POAI -JUNIO-2021'!B440</f>
        <v>1</v>
      </c>
      <c r="B162" s="61" t="str">
        <f>'SGTO POAI -JUNIO-2021'!D440</f>
        <v xml:space="preserve">INCLUSIÓN SOCIAL Y EQUIDAD </v>
      </c>
      <c r="C162" s="61"/>
      <c r="D162" s="61"/>
      <c r="E162" s="536">
        <f>E163</f>
        <v>13010854314.189999</v>
      </c>
    </row>
    <row r="163" spans="1:7" ht="24" customHeight="1" x14ac:dyDescent="0.2">
      <c r="A163" s="762"/>
      <c r="B163" s="768">
        <f>'SGTO POAI -JUNIO-2021'!D441</f>
        <v>43</v>
      </c>
      <c r="C163" s="62" t="str">
        <f>'SGTO POAI -JUNIO-2021'!E441</f>
        <v>Deporte y recreación</v>
      </c>
      <c r="D163" s="472"/>
      <c r="E163" s="535">
        <f>SUM(E164:E165)</f>
        <v>13010854314.189999</v>
      </c>
    </row>
    <row r="164" spans="1:7" s="37" customFormat="1" ht="76.5" customHeight="1" x14ac:dyDescent="0.2">
      <c r="A164" s="808"/>
      <c r="B164" s="809"/>
      <c r="C164" s="400">
        <f>'SGTO POAI -JUNIO-2021'!F442</f>
        <v>4301</v>
      </c>
      <c r="D164" s="820" t="str">
        <f>'SGTO POAI -JUNIO-2021'!G442</f>
        <v>Fomento a la recreación, la actividad física y el deporte para desarrollar entornos de convivencia y paz "Tú y yo en la recreación y en deporte"</v>
      </c>
      <c r="E164" s="789">
        <f>'SGTO POAI -JUNIO-2021'!AJ442</f>
        <v>5232666192.1399994</v>
      </c>
    </row>
    <row r="165" spans="1:7" s="37" customFormat="1" ht="37.5" customHeight="1" x14ac:dyDescent="0.2">
      <c r="A165" s="810"/>
      <c r="B165" s="772"/>
      <c r="C165" s="400">
        <f>'SGTO POAI -JUNIO-2021'!F447</f>
        <v>4302</v>
      </c>
      <c r="D165" s="820" t="str">
        <f>'SGTO POAI -JUNIO-2021'!G447</f>
        <v>Formación y preparación de deportistas. "Tú y yo campeones"</v>
      </c>
      <c r="E165" s="789">
        <f>'SGTO POAI -JUNIO-2021'!AJ447</f>
        <v>7778188122.0500002</v>
      </c>
    </row>
    <row r="166" spans="1:7" s="10" customFormat="1" ht="18.75" customHeight="1" x14ac:dyDescent="0.2">
      <c r="A166" s="475"/>
      <c r="B166" s="475"/>
      <c r="C166" s="475"/>
      <c r="D166" s="476"/>
      <c r="E166" s="753"/>
      <c r="F166" s="17"/>
      <c r="G166" s="17"/>
    </row>
    <row r="167" spans="1:7" s="10" customFormat="1" ht="24" customHeight="1" x14ac:dyDescent="0.2">
      <c r="A167" s="34" t="s">
        <v>1334</v>
      </c>
      <c r="B167" s="35"/>
      <c r="C167" s="35"/>
      <c r="D167" s="36"/>
      <c r="E167" s="751">
        <f>E168+E173</f>
        <v>2024983199.03</v>
      </c>
      <c r="F167" s="17"/>
      <c r="G167" s="17"/>
    </row>
    <row r="168" spans="1:7" s="10" customFormat="1" ht="24" customHeight="1" x14ac:dyDescent="0.2">
      <c r="A168" s="448">
        <f>'SGTO POAI -JUNIO-2021'!B452</f>
        <v>1</v>
      </c>
      <c r="B168" s="61" t="str">
        <f>'SGTO POAI -JUNIO-2021'!D452</f>
        <v xml:space="preserve">INCLUSIÓN SOCIAL Y EQUIDAD </v>
      </c>
      <c r="C168" s="61"/>
      <c r="D168" s="61"/>
      <c r="E168" s="536">
        <f>E169+E171</f>
        <v>616604845.79999995</v>
      </c>
      <c r="F168" s="17"/>
      <c r="G168" s="17"/>
    </row>
    <row r="169" spans="1:7" ht="24" customHeight="1" x14ac:dyDescent="0.2">
      <c r="A169" s="762"/>
      <c r="B169" s="775">
        <f>'SGTO POAI -JUNIO-2021'!D453</f>
        <v>43</v>
      </c>
      <c r="C169" s="367" t="str">
        <f>'SGTO POAI -JUNIO-2021'!E453</f>
        <v>Deporte y recreación</v>
      </c>
      <c r="D169" s="472"/>
      <c r="E169" s="535">
        <f>E170</f>
        <v>308302422.89999998</v>
      </c>
    </row>
    <row r="170" spans="1:7" s="41" customFormat="1" ht="76.5" customHeight="1" x14ac:dyDescent="0.2">
      <c r="A170" s="821"/>
      <c r="B170" s="788"/>
      <c r="C170" s="69">
        <f>'SGTO POAI -JUNIO-2021'!F454</f>
        <v>4301</v>
      </c>
      <c r="D170" s="783" t="str">
        <f>'SGTO POAI -JUNIO-2021'!G454</f>
        <v>Fomento a la recreación, la actividad física y el deporte para desarrollar entornos de convivencia y paz "Tú y yo en la recreación y en deporte"</v>
      </c>
      <c r="E170" s="789">
        <f>'SGTO POAI -JUNIO-2021'!AJ454</f>
        <v>308302422.89999998</v>
      </c>
    </row>
    <row r="171" spans="1:7" ht="24" customHeight="1" x14ac:dyDescent="0.2">
      <c r="A171" s="763"/>
      <c r="B171" s="775">
        <f>'SGTO POAI -JUNIO-2021'!D456</f>
        <v>22</v>
      </c>
      <c r="C171" s="491" t="str">
        <f>'SGTO POAI -JUNIO-2021'!E456</f>
        <v>Educación</v>
      </c>
      <c r="D171" s="472"/>
      <c r="E171" s="535">
        <f>E172</f>
        <v>308302422.89999998</v>
      </c>
    </row>
    <row r="172" spans="1:7" s="41" customFormat="1" ht="53.25" customHeight="1" x14ac:dyDescent="0.2">
      <c r="A172" s="822"/>
      <c r="B172" s="788"/>
      <c r="C172" s="69">
        <f>'SGTO POAI -JUNIO-2021'!F457</f>
        <v>2201</v>
      </c>
      <c r="D172" s="783" t="str">
        <f>'SGTO POAI -JUNIO-2021'!G457</f>
        <v>Calidad, cobertura y fortalecimiento de la educación inicial, prescolar, básica y media." Tú y yo con educación y de calidad"</v>
      </c>
      <c r="E172" s="789">
        <f>'SGTO POAI -JUNIO-2021'!AJ457</f>
        <v>308302422.89999998</v>
      </c>
    </row>
    <row r="173" spans="1:7" s="10" customFormat="1" ht="24" customHeight="1" x14ac:dyDescent="0.2">
      <c r="A173" s="771">
        <f>'SGTO POAI -JUNIO-2021'!B459</f>
        <v>3</v>
      </c>
      <c r="B173" s="61" t="str">
        <f>'SGTO POAI -JUNIO-2021'!D459</f>
        <v xml:space="preserve">TERRITORIO, AMBIENTE Y DESARROLLO SOSTENIBLE </v>
      </c>
      <c r="C173" s="61"/>
      <c r="D173" s="61"/>
      <c r="E173" s="536">
        <f>E174+E176</f>
        <v>1408378353.23</v>
      </c>
      <c r="F173" s="17"/>
      <c r="G173" s="17"/>
    </row>
    <row r="174" spans="1:7" ht="24" customHeight="1" x14ac:dyDescent="0.2">
      <c r="A174" s="762"/>
      <c r="B174" s="775">
        <f>'SGTO POAI -JUNIO-2021'!D460</f>
        <v>24</v>
      </c>
      <c r="C174" s="491" t="str">
        <f>'SGTO POAI -JUNIO-2021'!E460</f>
        <v>Transporte</v>
      </c>
      <c r="D174" s="478"/>
      <c r="E174" s="535">
        <f>E175</f>
        <v>199461691.20000002</v>
      </c>
    </row>
    <row r="175" spans="1:7" s="10" customFormat="1" ht="42" customHeight="1" x14ac:dyDescent="0.2">
      <c r="A175" s="823"/>
      <c r="B175" s="824"/>
      <c r="C175" s="69">
        <f>'SGTO POAI -JUNIO-2021'!F461</f>
        <v>2402</v>
      </c>
      <c r="D175" s="782" t="str">
        <f>'SGTO POAI -JUNIO-2021'!G461</f>
        <v>Infraestructura red vial regional. "Tú y yo con movilidad vial"</v>
      </c>
      <c r="E175" s="825">
        <f>'SGTO POAI -JUNIO-2021'!AJ461</f>
        <v>199461691.20000002</v>
      </c>
      <c r="F175" s="17"/>
      <c r="G175" s="17"/>
    </row>
    <row r="176" spans="1:7" ht="24" customHeight="1" x14ac:dyDescent="0.2">
      <c r="A176" s="763"/>
      <c r="B176" s="775">
        <f>'SGTO POAI -JUNIO-2021'!D463</f>
        <v>40</v>
      </c>
      <c r="C176" s="367" t="str">
        <f>'SGTO POAI -JUNIO-2021'!E463</f>
        <v>Vivienda, Ciudad y Territorio</v>
      </c>
      <c r="D176" s="478"/>
      <c r="E176" s="535">
        <f>E177</f>
        <v>1208916662.03</v>
      </c>
    </row>
    <row r="177" spans="1:7" s="10" customFormat="1" ht="44.25" customHeight="1" x14ac:dyDescent="0.2">
      <c r="A177" s="826"/>
      <c r="B177" s="824"/>
      <c r="C177" s="69">
        <f>'SGTO POAI -JUNIO-2021'!F464</f>
        <v>4001</v>
      </c>
      <c r="D177" s="827" t="str">
        <f>'SGTO POAI -JUNIO-2021'!G464</f>
        <v>Acceso a soluciones de vivienda. "Tú y yo con vivienda digna"</v>
      </c>
      <c r="E177" s="825">
        <f>'SGTO POAI -JUNIO-2021'!AJ464</f>
        <v>1208916662.03</v>
      </c>
      <c r="F177" s="17"/>
      <c r="G177" s="17"/>
    </row>
    <row r="178" spans="1:7" s="10" customFormat="1" ht="18.75" customHeight="1" x14ac:dyDescent="0.2">
      <c r="A178" s="475"/>
      <c r="B178" s="475"/>
      <c r="C178" s="475"/>
      <c r="D178" s="476"/>
      <c r="E178" s="753"/>
      <c r="F178" s="17"/>
      <c r="G178" s="17"/>
    </row>
    <row r="179" spans="1:7" ht="24" customHeight="1" x14ac:dyDescent="0.2">
      <c r="A179" s="34" t="s">
        <v>1369</v>
      </c>
      <c r="B179" s="35"/>
      <c r="C179" s="35"/>
      <c r="D179" s="36"/>
      <c r="E179" s="751">
        <f>E180</f>
        <v>110210000</v>
      </c>
    </row>
    <row r="180" spans="1:7" ht="24" customHeight="1" x14ac:dyDescent="0.2">
      <c r="A180" s="448">
        <f>'SGTO POAI -JUNIO-2021'!B474</f>
        <v>3</v>
      </c>
      <c r="B180" s="61" t="str">
        <f>'SGTO POAI -JUNIO-2021'!C474</f>
        <v xml:space="preserve">TERRITORIO, AMBIENTE Y DESARROLLO SOSTENIBLE </v>
      </c>
      <c r="C180" s="61"/>
      <c r="D180" s="61"/>
      <c r="E180" s="536">
        <f>E181</f>
        <v>110210000</v>
      </c>
    </row>
    <row r="181" spans="1:7" ht="24" customHeight="1" x14ac:dyDescent="0.2">
      <c r="A181" s="762"/>
      <c r="B181" s="491">
        <f>'SGTO POAI -JUNIO-2021'!D475</f>
        <v>24</v>
      </c>
      <c r="C181" s="492" t="str">
        <f>'SGTO POAI -JUNIO-2021'!E475</f>
        <v>Transporte</v>
      </c>
      <c r="D181" s="478"/>
      <c r="E181" s="535">
        <f>E182</f>
        <v>110210000</v>
      </c>
    </row>
    <row r="182" spans="1:7" s="37" customFormat="1" ht="54" customHeight="1" x14ac:dyDescent="0.2">
      <c r="A182" s="772"/>
      <c r="B182" s="400"/>
      <c r="C182" s="69">
        <f>'SGTO POAI -JUNIO-2021'!F476</f>
        <v>2409</v>
      </c>
      <c r="D182" s="783" t="str">
        <f>'SGTO POAI -JUNIO-2021'!G476</f>
        <v>Seguridad de Transporte. "Tú y yo seguros en la vía"</v>
      </c>
      <c r="E182" s="789">
        <f>'SGTO POAI -JUNIO-2021'!AJ473</f>
        <v>110210000</v>
      </c>
    </row>
    <row r="183" spans="1:7" s="43" customFormat="1" ht="23.25" customHeight="1" x14ac:dyDescent="0.2">
      <c r="A183" s="12"/>
      <c r="B183" s="12"/>
      <c r="C183" s="12"/>
      <c r="D183" s="13"/>
      <c r="E183" s="756"/>
      <c r="F183" s="17"/>
      <c r="G183" s="17"/>
    </row>
    <row r="184" spans="1:7" s="32" customFormat="1" ht="30" customHeight="1" x14ac:dyDescent="0.25">
      <c r="A184" s="487" t="s">
        <v>1387</v>
      </c>
      <c r="B184" s="487"/>
      <c r="C184" s="487"/>
      <c r="D184" s="487"/>
      <c r="E184" s="757">
        <f>E179+E167+E161</f>
        <v>15146047513.219999</v>
      </c>
    </row>
    <row r="185" spans="1:7" s="32" customFormat="1" ht="16.5" thickBot="1" x14ac:dyDescent="0.3">
      <c r="A185" s="30"/>
      <c r="B185" s="30"/>
      <c r="C185" s="30"/>
      <c r="D185" s="31"/>
      <c r="E185" s="758"/>
    </row>
    <row r="186" spans="1:7" s="32" customFormat="1" ht="30" customHeight="1" thickBot="1" x14ac:dyDescent="0.3">
      <c r="A186" s="347" t="s">
        <v>1388</v>
      </c>
      <c r="B186" s="348"/>
      <c r="C186" s="348"/>
      <c r="D186" s="349"/>
      <c r="E186" s="759">
        <f>E159+E184</f>
        <v>306564536920.93005</v>
      </c>
    </row>
    <row r="188" spans="1:7" ht="28.5" customHeight="1" x14ac:dyDescent="0.2"/>
  </sheetData>
  <sheetProtection algorithmName="SHA-512" hashValue="wnmm5HGL1PRLhZVvIvPIkkGQSpsOP8yQYtE+7snoecJ/LPUBCGhSXcQo45NMQdacwN2PGimiUc/x9GBEQiLP6Q==" saltValue="IsFCrAa/x/4x1UpxBfYQdg==" spinCount="100000" sheet="1" objects="1" scenarios="1"/>
  <mergeCells count="2">
    <mergeCell ref="C5:D5"/>
    <mergeCell ref="A1:E3"/>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U215"/>
  <sheetViews>
    <sheetView showGridLines="0" zoomScale="60" zoomScaleNormal="60" workbookViewId="0"/>
  </sheetViews>
  <sheetFormatPr baseColWidth="10" defaultColWidth="11.42578125" defaultRowHeight="15" x14ac:dyDescent="0.2"/>
  <cols>
    <col min="1" max="1" width="15.85546875" style="1" customWidth="1"/>
    <col min="2" max="2" width="18.5703125" style="12" customWidth="1"/>
    <col min="3" max="3" width="13.85546875" style="12" customWidth="1"/>
    <col min="4" max="4" width="15" style="12" customWidth="1"/>
    <col min="5" max="5" width="70.7109375" style="13" customWidth="1"/>
    <col min="6" max="6" width="35.85546875" style="13" customWidth="1"/>
    <col min="7" max="7" width="35.140625" style="19" customWidth="1"/>
    <col min="8" max="8" width="33.5703125" style="3" customWidth="1"/>
    <col min="9" max="9" width="36.28515625" style="3" customWidth="1"/>
    <col min="10" max="10" width="32.140625" style="3" customWidth="1"/>
    <col min="11" max="11" width="33.140625" style="3" customWidth="1"/>
    <col min="12" max="12" width="31.5703125" style="44" customWidth="1"/>
    <col min="13" max="13" width="35.5703125" style="1" customWidth="1"/>
    <col min="14" max="14" width="32.5703125" style="1" customWidth="1"/>
    <col min="15" max="15" width="30.7109375" style="1" customWidth="1"/>
    <col min="16" max="18" width="29.5703125" style="1" customWidth="1"/>
    <col min="19" max="21" width="31.7109375" style="1" customWidth="1"/>
    <col min="22" max="24" width="32.28515625" style="1" customWidth="1"/>
    <col min="25" max="27" width="30.140625" style="1" customWidth="1"/>
    <col min="28" max="30" width="33.7109375" style="1" customWidth="1"/>
    <col min="31" max="16384" width="11.42578125" style="1"/>
  </cols>
  <sheetData>
    <row r="1" spans="1:14" ht="42" customHeight="1" x14ac:dyDescent="0.2">
      <c r="A1" s="919"/>
      <c r="B1" s="1000" t="s">
        <v>1559</v>
      </c>
      <c r="C1" s="1000"/>
      <c r="D1" s="1000"/>
      <c r="E1" s="1000"/>
      <c r="F1" s="1000"/>
      <c r="G1" s="920"/>
      <c r="H1" s="920"/>
      <c r="I1" s="920"/>
      <c r="J1" s="920"/>
      <c r="K1" s="920"/>
      <c r="L1" s="920"/>
      <c r="M1" s="920"/>
      <c r="N1" s="920"/>
    </row>
    <row r="2" spans="1:14" ht="27.75" customHeight="1" x14ac:dyDescent="0.2">
      <c r="A2" s="920"/>
      <c r="B2" s="1000"/>
      <c r="C2" s="1000"/>
      <c r="D2" s="1000"/>
      <c r="E2" s="1000"/>
      <c r="F2" s="1000"/>
      <c r="G2" s="920"/>
      <c r="H2" s="920"/>
      <c r="I2" s="920"/>
      <c r="J2" s="920"/>
      <c r="K2" s="920"/>
      <c r="L2" s="920"/>
      <c r="M2" s="920"/>
      <c r="N2" s="920"/>
    </row>
    <row r="3" spans="1:14" ht="27.75" customHeight="1" x14ac:dyDescent="0.2">
      <c r="A3" s="920"/>
      <c r="B3" s="920"/>
      <c r="C3" s="920"/>
      <c r="D3" s="920"/>
      <c r="E3" s="920"/>
      <c r="F3" s="920"/>
      <c r="G3" s="920"/>
      <c r="H3" s="920"/>
      <c r="I3" s="920"/>
      <c r="J3" s="920"/>
      <c r="K3" s="920"/>
      <c r="L3" s="920"/>
      <c r="M3" s="920"/>
      <c r="N3" s="920"/>
    </row>
    <row r="4" spans="1:14" ht="24.75" customHeight="1" x14ac:dyDescent="0.2">
      <c r="B4" s="27"/>
      <c r="C4" s="28"/>
      <c r="D4" s="28"/>
      <c r="E4" s="28"/>
      <c r="F4" s="28"/>
    </row>
    <row r="5" spans="1:14" s="6" customFormat="1" ht="24" customHeight="1" x14ac:dyDescent="0.25">
      <c r="A5" s="996" t="s">
        <v>5</v>
      </c>
      <c r="B5" s="930" t="s">
        <v>6</v>
      </c>
      <c r="C5" s="930" t="s">
        <v>7</v>
      </c>
      <c r="D5" s="930" t="s">
        <v>1392</v>
      </c>
      <c r="E5" s="921" t="s">
        <v>8</v>
      </c>
      <c r="F5" s="891" t="s">
        <v>1393</v>
      </c>
      <c r="G5" s="5"/>
      <c r="H5" s="5"/>
      <c r="I5" s="5"/>
      <c r="J5" s="45"/>
    </row>
    <row r="6" spans="1:14" s="6" customFormat="1" ht="24" customHeight="1" x14ac:dyDescent="0.25">
      <c r="A6" s="997"/>
      <c r="B6" s="930"/>
      <c r="C6" s="930"/>
      <c r="D6" s="930"/>
      <c r="E6" s="921"/>
      <c r="F6" s="891" t="s">
        <v>1538</v>
      </c>
      <c r="G6" s="5"/>
      <c r="H6" s="5"/>
      <c r="I6" s="5"/>
      <c r="J6" s="45"/>
    </row>
    <row r="7" spans="1:14" s="8" customFormat="1" ht="24" customHeight="1" x14ac:dyDescent="0.25">
      <c r="A7" s="33" t="s">
        <v>41</v>
      </c>
      <c r="B7" s="39"/>
      <c r="C7" s="39"/>
      <c r="D7" s="39"/>
      <c r="E7" s="40"/>
      <c r="F7" s="40">
        <f>F8</f>
        <v>176000000</v>
      </c>
      <c r="G7" s="7"/>
      <c r="H7" s="7"/>
      <c r="I7" s="7"/>
      <c r="J7" s="46"/>
    </row>
    <row r="8" spans="1:14" s="8" customFormat="1" ht="24" customHeight="1" x14ac:dyDescent="0.25">
      <c r="A8" s="115"/>
      <c r="B8" s="116">
        <f>'SGTO POAI -JUNIO-2021'!B10</f>
        <v>4</v>
      </c>
      <c r="C8" s="61">
        <f>'SGTO POAI -JUNIO-2021'!D10</f>
        <v>0</v>
      </c>
      <c r="D8" s="61"/>
      <c r="E8" s="61"/>
      <c r="F8" s="471">
        <f>F9</f>
        <v>176000000</v>
      </c>
      <c r="G8" s="7"/>
      <c r="H8" s="7"/>
      <c r="I8" s="7"/>
      <c r="J8" s="46"/>
    </row>
    <row r="9" spans="1:14" s="8" customFormat="1" ht="24" customHeight="1" x14ac:dyDescent="0.25">
      <c r="A9" s="115"/>
      <c r="B9" s="74"/>
      <c r="C9" s="64">
        <f>'SGTO POAI -JUNIO-2021'!D11</f>
        <v>45</v>
      </c>
      <c r="D9" s="62" t="str">
        <f>'SGTO POAI -JUNIO-2021'!E11</f>
        <v>Gobierno territorial</v>
      </c>
      <c r="E9" s="472"/>
      <c r="F9" s="473">
        <f>SUM(F10:F11)</f>
        <v>176000000</v>
      </c>
      <c r="G9" s="7"/>
      <c r="H9" s="7"/>
      <c r="I9" s="7"/>
      <c r="J9" s="46"/>
    </row>
    <row r="10" spans="1:14" ht="52.5" customHeight="1" x14ac:dyDescent="0.2">
      <c r="A10" s="130"/>
      <c r="B10" s="781"/>
      <c r="C10" s="781"/>
      <c r="D10" s="316">
        <f>'SGTO POAI -JUNIO-2021'!F12</f>
        <v>4599</v>
      </c>
      <c r="E10" s="783" t="str">
        <f>'SGTO POAI -JUNIO-2021'!G12</f>
        <v>Fortalecimiento a la gestión y dirección de la administración pública territorial "Quindío con una administración al servicio de la ciudadanía "</v>
      </c>
      <c r="F10" s="785">
        <f>'SGTO POAI -JUNIO-2021'!AF12</f>
        <v>136000000</v>
      </c>
      <c r="G10" s="3"/>
      <c r="J10" s="44"/>
      <c r="K10" s="1"/>
      <c r="L10" s="1"/>
    </row>
    <row r="11" spans="1:14" ht="59.25" customHeight="1" x14ac:dyDescent="0.2">
      <c r="A11" s="130"/>
      <c r="B11" s="781"/>
      <c r="C11" s="781"/>
      <c r="D11" s="316">
        <f>'SGTO POAI -JUNIO-2021'!F16</f>
        <v>4502</v>
      </c>
      <c r="E11" s="783" t="str">
        <f>'SGTO POAI -JUNIO-2021'!G16</f>
        <v>Fortalecimiento del buen gobierno para el respeto y garantía de los derechos humanos. "Quindío integrado y participativo"</v>
      </c>
      <c r="F11" s="831">
        <f>'SGTO POAI -JUNIO-2021'!AF16</f>
        <v>40000000</v>
      </c>
      <c r="G11" s="3"/>
      <c r="J11" s="44"/>
      <c r="K11" s="1"/>
      <c r="L11" s="1"/>
    </row>
    <row r="12" spans="1:14" ht="18" customHeight="1" x14ac:dyDescent="0.2">
      <c r="A12" s="49"/>
      <c r="B12" s="475"/>
      <c r="C12" s="475"/>
      <c r="D12" s="475"/>
      <c r="E12" s="66"/>
      <c r="F12" s="476"/>
    </row>
    <row r="13" spans="1:14" s="6" customFormat="1" ht="24" customHeight="1" x14ac:dyDescent="0.25">
      <c r="A13" s="996" t="s">
        <v>5</v>
      </c>
      <c r="B13" s="930" t="s">
        <v>6</v>
      </c>
      <c r="C13" s="930" t="s">
        <v>7</v>
      </c>
      <c r="D13" s="930" t="s">
        <v>1392</v>
      </c>
      <c r="E13" s="921" t="s">
        <v>8</v>
      </c>
      <c r="F13" s="891" t="s">
        <v>1393</v>
      </c>
      <c r="G13" s="5"/>
      <c r="H13" s="5"/>
      <c r="I13" s="5"/>
      <c r="J13" s="45"/>
    </row>
    <row r="14" spans="1:14" s="6" customFormat="1" ht="24" customHeight="1" x14ac:dyDescent="0.25">
      <c r="A14" s="997"/>
      <c r="B14" s="930"/>
      <c r="C14" s="930"/>
      <c r="D14" s="930"/>
      <c r="E14" s="921"/>
      <c r="F14" s="576" t="s">
        <v>1538</v>
      </c>
      <c r="G14" s="5"/>
      <c r="H14" s="5"/>
      <c r="I14" s="5"/>
      <c r="J14" s="45"/>
    </row>
    <row r="15" spans="1:14" s="8" customFormat="1" ht="24" customHeight="1" x14ac:dyDescent="0.25">
      <c r="A15" s="34" t="s">
        <v>79</v>
      </c>
      <c r="B15" s="35"/>
      <c r="C15" s="35"/>
      <c r="D15" s="35"/>
      <c r="E15" s="65"/>
      <c r="F15" s="40">
        <f>F16</f>
        <v>986333529</v>
      </c>
      <c r="G15" s="7"/>
      <c r="H15" s="7"/>
      <c r="I15" s="7"/>
      <c r="J15" s="46"/>
    </row>
    <row r="16" spans="1:14" ht="24" customHeight="1" x14ac:dyDescent="0.2">
      <c r="A16" s="130"/>
      <c r="B16" s="116">
        <f>'SGTO POAI -JUNIO-2021'!B20</f>
        <v>4</v>
      </c>
      <c r="C16" s="61" t="str">
        <f>'SGTO POAI -JUNIO-2021'!D20</f>
        <v xml:space="preserve">LIDERAZGO, GOBERNABILIDAD Y TRANSPARENCIA </v>
      </c>
      <c r="D16" s="61"/>
      <c r="E16" s="481"/>
      <c r="F16" s="471">
        <f>F17</f>
        <v>986333529</v>
      </c>
      <c r="G16" s="3"/>
      <c r="J16" s="44"/>
      <c r="K16" s="1"/>
      <c r="L16" s="1"/>
    </row>
    <row r="17" spans="1:12" ht="24" customHeight="1" x14ac:dyDescent="0.2">
      <c r="A17" s="130"/>
      <c r="B17" s="74"/>
      <c r="C17" s="64">
        <f>'SGTO POAI -JUNIO-2021'!D21</f>
        <v>45</v>
      </c>
      <c r="D17" s="62" t="str">
        <f>'SGTO POAI -JUNIO-2021'!E21</f>
        <v>Gobierno territorial</v>
      </c>
      <c r="E17" s="472"/>
      <c r="F17" s="473">
        <f>SUM(F18:F19)</f>
        <v>986333529</v>
      </c>
      <c r="G17" s="3"/>
      <c r="J17" s="44"/>
      <c r="K17" s="1"/>
      <c r="L17" s="1"/>
    </row>
    <row r="18" spans="1:12" s="37" customFormat="1" ht="58.5" customHeight="1" x14ac:dyDescent="0.2">
      <c r="A18" s="311"/>
      <c r="B18" s="69"/>
      <c r="C18" s="69"/>
      <c r="D18" s="316">
        <f>'SGTO POAI -JUNIO-2021'!F22</f>
        <v>4502</v>
      </c>
      <c r="E18" s="783" t="str">
        <f>'SGTO POAI -JUNIO-2021'!G22</f>
        <v>Fortalecimiento del buen gobierno para el respeto y garantía de los derechos humanos. "Quindío integrado y participativo"</v>
      </c>
      <c r="F18" s="785">
        <f>'SGTO POAI -JUNIO-2021'!AF22</f>
        <v>178333529</v>
      </c>
      <c r="J18" s="47"/>
    </row>
    <row r="19" spans="1:12" s="37" customFormat="1" ht="60.75" customHeight="1" x14ac:dyDescent="0.2">
      <c r="A19" s="311"/>
      <c r="B19" s="69"/>
      <c r="C19" s="69"/>
      <c r="D19" s="316">
        <f>'SGTO POAI -JUNIO-2021'!F25</f>
        <v>4599</v>
      </c>
      <c r="E19" s="783" t="str">
        <f>'SGTO POAI -JUNIO-2021'!G25</f>
        <v>Fortalecimiento a la gestión y dirección de la administración pública territorial "Quindío con una administración al servicio de la ciudadanía "</v>
      </c>
      <c r="F19" s="785">
        <f>'SGTO POAI -JUNIO-2021'!AF25</f>
        <v>808000000</v>
      </c>
      <c r="J19" s="47"/>
    </row>
    <row r="20" spans="1:12" ht="18" customHeight="1" x14ac:dyDescent="0.2">
      <c r="A20" s="49"/>
      <c r="B20" s="475"/>
      <c r="C20" s="475"/>
      <c r="D20" s="475"/>
      <c r="E20" s="66"/>
      <c r="F20" s="476"/>
    </row>
    <row r="21" spans="1:12" ht="24" customHeight="1" x14ac:dyDescent="0.2">
      <c r="A21" s="930" t="s">
        <v>5</v>
      </c>
      <c r="B21" s="930" t="s">
        <v>6</v>
      </c>
      <c r="C21" s="930" t="s">
        <v>7</v>
      </c>
      <c r="D21" s="930" t="s">
        <v>1392</v>
      </c>
      <c r="E21" s="921" t="s">
        <v>8</v>
      </c>
      <c r="F21" s="894" t="s">
        <v>1393</v>
      </c>
      <c r="G21" s="893" t="s">
        <v>1394</v>
      </c>
      <c r="H21" s="891" t="s">
        <v>15</v>
      </c>
      <c r="I21" s="1"/>
      <c r="J21" s="1"/>
      <c r="K21" s="1"/>
      <c r="L21" s="1"/>
    </row>
    <row r="22" spans="1:12" ht="24" customHeight="1" x14ac:dyDescent="0.2">
      <c r="A22" s="930"/>
      <c r="B22" s="930"/>
      <c r="C22" s="930"/>
      <c r="D22" s="930"/>
      <c r="E22" s="921"/>
      <c r="F22" s="891" t="s">
        <v>1538</v>
      </c>
      <c r="G22" s="891" t="s">
        <v>1538</v>
      </c>
      <c r="H22" s="891" t="s">
        <v>1538</v>
      </c>
      <c r="I22" s="1"/>
      <c r="J22" s="1"/>
      <c r="K22" s="1"/>
      <c r="L22" s="1"/>
    </row>
    <row r="23" spans="1:12" ht="24" customHeight="1" x14ac:dyDescent="0.2">
      <c r="A23" s="38" t="s">
        <v>1391</v>
      </c>
      <c r="B23" s="39"/>
      <c r="C23" s="39"/>
      <c r="D23" s="39"/>
      <c r="E23" s="67"/>
      <c r="F23" s="40">
        <f t="shared" ref="F23:G24" si="0">F24</f>
        <v>2343395879</v>
      </c>
      <c r="G23" s="40">
        <f t="shared" si="0"/>
        <v>504229463.84000003</v>
      </c>
      <c r="H23" s="40">
        <f>H24</f>
        <v>2847625342.8400002</v>
      </c>
      <c r="J23" s="44"/>
      <c r="K23" s="1"/>
      <c r="L23" s="1"/>
    </row>
    <row r="24" spans="1:12" ht="24" customHeight="1" x14ac:dyDescent="0.2">
      <c r="A24" s="130"/>
      <c r="B24" s="116">
        <f>'SGTO POAI -JUNIO-2021'!B38</f>
        <v>4</v>
      </c>
      <c r="C24" s="61" t="str">
        <f>'SGTO POAI -JUNIO-2021'!D38</f>
        <v xml:space="preserve">LIDERAZGO, GOBERNABILIDAD Y TRANSPARENCIA </v>
      </c>
      <c r="D24" s="61"/>
      <c r="E24" s="481"/>
      <c r="F24" s="471">
        <f>F25</f>
        <v>2343395879</v>
      </c>
      <c r="G24" s="471">
        <f t="shared" si="0"/>
        <v>504229463.84000003</v>
      </c>
      <c r="H24" s="471">
        <f>H25</f>
        <v>2847625342.8400002</v>
      </c>
      <c r="J24" s="44"/>
      <c r="K24" s="1"/>
      <c r="L24" s="1"/>
    </row>
    <row r="25" spans="1:12" ht="24" customHeight="1" x14ac:dyDescent="0.2">
      <c r="A25" s="130"/>
      <c r="B25" s="74"/>
      <c r="C25" s="64">
        <f>'SGTO POAI -JUNIO-2021'!D39</f>
        <v>45</v>
      </c>
      <c r="D25" s="62" t="str">
        <f>'SGTO POAI -JUNIO-2021'!E39</f>
        <v>Gobierno territorial</v>
      </c>
      <c r="E25" s="472"/>
      <c r="F25" s="473">
        <f>F26</f>
        <v>2343395879</v>
      </c>
      <c r="G25" s="473">
        <f>G26</f>
        <v>504229463.84000003</v>
      </c>
      <c r="H25" s="473">
        <f>H26</f>
        <v>2847625342.8400002</v>
      </c>
      <c r="J25" s="44"/>
      <c r="K25" s="1"/>
      <c r="L25" s="1"/>
    </row>
    <row r="26" spans="1:12" ht="54.75" customHeight="1" x14ac:dyDescent="0.2">
      <c r="A26" s="130"/>
      <c r="B26" s="781"/>
      <c r="C26" s="781"/>
      <c r="D26" s="316">
        <f>'SGTO POAI -JUNIO-2021'!F40</f>
        <v>4599</v>
      </c>
      <c r="E26" s="783" t="str">
        <f>'SGTO POAI -JUNIO-2021'!G40</f>
        <v>Fortalecimiento a la gestión y dirección de la administración pública territorial "Quindío con una administración al servicio de la ciudadanía "</v>
      </c>
      <c r="F26" s="785">
        <f>'SGTO POAI -JUNIO-2021'!AF40</f>
        <v>2343395879</v>
      </c>
      <c r="G26" s="785">
        <f>'SGTO POAI -JUNIO-2021'!AH37</f>
        <v>504229463.84000003</v>
      </c>
      <c r="H26" s="785">
        <f>F26+G26</f>
        <v>2847625342.8400002</v>
      </c>
      <c r="J26" s="44"/>
      <c r="K26" s="1"/>
      <c r="L26" s="1"/>
    </row>
    <row r="27" spans="1:12" s="10" customFormat="1" x14ac:dyDescent="0.2">
      <c r="A27" s="49"/>
      <c r="B27" s="475"/>
      <c r="C27" s="475"/>
      <c r="D27" s="475"/>
      <c r="E27" s="493"/>
      <c r="F27" s="476"/>
      <c r="G27" s="42"/>
      <c r="H27" s="17"/>
      <c r="I27" s="17"/>
      <c r="J27" s="17"/>
      <c r="K27" s="17"/>
      <c r="L27" s="48"/>
    </row>
    <row r="28" spans="1:12" s="10" customFormat="1" ht="37.5" customHeight="1" x14ac:dyDescent="0.2">
      <c r="A28" s="930" t="s">
        <v>5</v>
      </c>
      <c r="B28" s="930" t="s">
        <v>6</v>
      </c>
      <c r="C28" s="930" t="s">
        <v>7</v>
      </c>
      <c r="D28" s="930" t="s">
        <v>1392</v>
      </c>
      <c r="E28" s="921" t="s">
        <v>8</v>
      </c>
      <c r="F28" s="892" t="s">
        <v>1543</v>
      </c>
      <c r="G28" s="895" t="s">
        <v>1541</v>
      </c>
      <c r="H28" s="895" t="s">
        <v>1395</v>
      </c>
      <c r="I28" s="891" t="s">
        <v>1396</v>
      </c>
      <c r="J28" s="891" t="s">
        <v>1546</v>
      </c>
      <c r="K28" s="891" t="s">
        <v>15</v>
      </c>
      <c r="L28" s="48"/>
    </row>
    <row r="29" spans="1:12" s="10" customFormat="1" ht="24" customHeight="1" x14ac:dyDescent="0.2">
      <c r="A29" s="930"/>
      <c r="B29" s="930"/>
      <c r="C29" s="930"/>
      <c r="D29" s="930"/>
      <c r="E29" s="921"/>
      <c r="F29" s="575" t="s">
        <v>1538</v>
      </c>
      <c r="G29" s="576" t="s">
        <v>1538</v>
      </c>
      <c r="H29" s="576" t="s">
        <v>1538</v>
      </c>
      <c r="I29" s="576" t="s">
        <v>1538</v>
      </c>
      <c r="J29" s="784" t="s">
        <v>1538</v>
      </c>
      <c r="K29" s="576" t="s">
        <v>1538</v>
      </c>
      <c r="L29" s="48"/>
    </row>
    <row r="30" spans="1:12" ht="24" customHeight="1" x14ac:dyDescent="0.2">
      <c r="A30" s="38" t="s">
        <v>147</v>
      </c>
      <c r="B30" s="39"/>
      <c r="C30" s="39"/>
      <c r="D30" s="39"/>
      <c r="E30" s="67"/>
      <c r="F30" s="40">
        <f>F31+F42+F50</f>
        <v>5674040294.460001</v>
      </c>
      <c r="G30" s="40">
        <f>G31+G42+G50</f>
        <v>56108067</v>
      </c>
      <c r="H30" s="40">
        <f>H31+H42+H50</f>
        <v>2895159641.6800003</v>
      </c>
      <c r="I30" s="40">
        <f>I31+I42+I50</f>
        <v>3360846631</v>
      </c>
      <c r="J30" s="40"/>
      <c r="K30" s="40">
        <f>K31+K42+K50</f>
        <v>15986154634.140001</v>
      </c>
    </row>
    <row r="31" spans="1:12" ht="24" customHeight="1" x14ac:dyDescent="0.2">
      <c r="A31" s="130"/>
      <c r="B31" s="116">
        <f>'SGTO POAI -JUNIO-2021'!B45</f>
        <v>1</v>
      </c>
      <c r="C31" s="61" t="str">
        <f>'SGTO POAI -JUNIO-2021'!D45</f>
        <v xml:space="preserve">INCLUSIÓN SOCIAL Y EQUIDAD </v>
      </c>
      <c r="D31" s="61"/>
      <c r="E31" s="481"/>
      <c r="F31" s="471">
        <f>F32+F34+F36+F38+F40</f>
        <v>4969040294.3600006</v>
      </c>
      <c r="G31" s="471"/>
      <c r="H31" s="471">
        <f>H32+H34+H36+H38+H40</f>
        <v>0</v>
      </c>
      <c r="I31" s="471">
        <f>I32+I34+I36+I38+I40</f>
        <v>211496979</v>
      </c>
      <c r="J31" s="471"/>
      <c r="K31" s="471">
        <f>K32+K34+K36+K38+K40</f>
        <v>5180537273.3600006</v>
      </c>
    </row>
    <row r="32" spans="1:12" ht="24" customHeight="1" x14ac:dyDescent="0.2">
      <c r="A32" s="130"/>
      <c r="B32" s="74"/>
      <c r="C32" s="64">
        <f>'SGTO POAI -JUNIO-2021'!D46</f>
        <v>12</v>
      </c>
      <c r="D32" s="62" t="str">
        <f>'SGTO POAI -JUNIO-2021'!E46</f>
        <v>Justicia y del derecho</v>
      </c>
      <c r="E32" s="62"/>
      <c r="F32" s="494">
        <f>F33</f>
        <v>0</v>
      </c>
      <c r="G32" s="494"/>
      <c r="H32" s="494">
        <f>H33</f>
        <v>0</v>
      </c>
      <c r="I32" s="494">
        <f>I33</f>
        <v>24750000</v>
      </c>
      <c r="J32" s="494"/>
      <c r="K32" s="494">
        <f>K33</f>
        <v>24750000</v>
      </c>
    </row>
    <row r="33" spans="1:12" ht="44.25" customHeight="1" x14ac:dyDescent="0.2">
      <c r="A33" s="130"/>
      <c r="B33" s="781"/>
      <c r="C33" s="781"/>
      <c r="D33" s="69">
        <f>'SGTO POAI -JUNIO-2021'!F47</f>
        <v>1202</v>
      </c>
      <c r="E33" s="783" t="str">
        <f>'SGTO POAI -JUNIO-2021'!G47</f>
        <v>Promoción al acceso a la justicia. "Tú y yo con justicia"</v>
      </c>
      <c r="F33" s="785">
        <f>'SGTO POAI -JUNIO-2021'!V47</f>
        <v>0</v>
      </c>
      <c r="G33" s="785"/>
      <c r="H33" s="785">
        <f>'SGTO POAI -JUNIO-2021'!AE47</f>
        <v>0</v>
      </c>
      <c r="I33" s="785">
        <f>'SGTO POAI -JUNIO-2021'!AF47</f>
        <v>24750000</v>
      </c>
      <c r="J33" s="785"/>
      <c r="K33" s="785">
        <f>F33+H33+I33+G33</f>
        <v>24750000</v>
      </c>
    </row>
    <row r="34" spans="1:12" ht="24" customHeight="1" x14ac:dyDescent="0.2">
      <c r="A34" s="130"/>
      <c r="B34" s="74"/>
      <c r="C34" s="64">
        <f>'SGTO POAI -JUNIO-2021'!D49</f>
        <v>19</v>
      </c>
      <c r="D34" s="62" t="str">
        <f>'SGTO POAI -JUNIO-2021'!E49</f>
        <v>Salud y protección social</v>
      </c>
      <c r="E34" s="472"/>
      <c r="F34" s="473">
        <f>F35</f>
        <v>0</v>
      </c>
      <c r="G34" s="473"/>
      <c r="H34" s="473">
        <f>H35</f>
        <v>0</v>
      </c>
      <c r="I34" s="473">
        <f>I35</f>
        <v>96746979</v>
      </c>
      <c r="J34" s="473"/>
      <c r="K34" s="473">
        <f>K35</f>
        <v>96746979</v>
      </c>
    </row>
    <row r="35" spans="1:12" ht="42.75" customHeight="1" x14ac:dyDescent="0.2">
      <c r="A35" s="130"/>
      <c r="B35" s="781"/>
      <c r="C35" s="781"/>
      <c r="D35" s="69">
        <f>'SGTO POAI -JUNIO-2021'!F50</f>
        <v>1906</v>
      </c>
      <c r="E35" s="783" t="str">
        <f>'SGTO POAI -JUNIO-2021'!G50</f>
        <v>Aseguramiento y Prestación integral de servicios de salud "Tú y yo con servicios de salud"</v>
      </c>
      <c r="F35" s="785">
        <f>'SGTO POAI -JUNIO-2021'!V50</f>
        <v>0</v>
      </c>
      <c r="G35" s="785"/>
      <c r="H35" s="785">
        <f>'SGTO POAI -JUNIO-2021'!AE50</f>
        <v>0</v>
      </c>
      <c r="I35" s="785">
        <f>'SGTO POAI -JUNIO-2021'!AF50</f>
        <v>96746979</v>
      </c>
      <c r="J35" s="785"/>
      <c r="K35" s="785">
        <f>F35+H35+I35+G35</f>
        <v>96746979</v>
      </c>
    </row>
    <row r="36" spans="1:12" ht="24" customHeight="1" x14ac:dyDescent="0.2">
      <c r="A36" s="130"/>
      <c r="B36" s="74"/>
      <c r="C36" s="64">
        <f>'SGTO POAI -JUNIO-2021'!D52</f>
        <v>22</v>
      </c>
      <c r="D36" s="62" t="str">
        <f>'SGTO POAI -JUNIO-2021'!E52</f>
        <v>Educación</v>
      </c>
      <c r="E36" s="478"/>
      <c r="F36" s="495">
        <f>F37</f>
        <v>2083257220</v>
      </c>
      <c r="G36" s="495"/>
      <c r="H36" s="495">
        <f>H37</f>
        <v>0</v>
      </c>
      <c r="I36" s="495">
        <f>I37</f>
        <v>0</v>
      </c>
      <c r="J36" s="495"/>
      <c r="K36" s="495">
        <f>K37</f>
        <v>2083257220</v>
      </c>
    </row>
    <row r="37" spans="1:12" ht="52.5" customHeight="1" x14ac:dyDescent="0.2">
      <c r="A37" s="130"/>
      <c r="B37" s="781"/>
      <c r="C37" s="781"/>
      <c r="D37" s="69">
        <f>'SGTO POAI -JUNIO-2021'!F53</f>
        <v>2201</v>
      </c>
      <c r="E37" s="783" t="str">
        <f>'SGTO POAI -JUNIO-2021'!G53</f>
        <v>Calidad, cobertura y fortalecimiento de la educación inicial, prescolar, básica y media." Tú y yo con educación y  calidad"</v>
      </c>
      <c r="F37" s="785">
        <f>'SGTO POAI -JUNIO-2021'!V53</f>
        <v>2083257220</v>
      </c>
      <c r="G37" s="785"/>
      <c r="H37" s="785">
        <f>'SGTO POAI -JUNIO-2021'!AE53</f>
        <v>0</v>
      </c>
      <c r="I37" s="785">
        <f>'SGTO POAI -JUNIO-2021'!AF53</f>
        <v>0</v>
      </c>
      <c r="J37" s="785"/>
      <c r="K37" s="785">
        <f>F37+H37+I37+G37</f>
        <v>2083257220</v>
      </c>
    </row>
    <row r="38" spans="1:12" ht="24" customHeight="1" x14ac:dyDescent="0.2">
      <c r="A38" s="130"/>
      <c r="B38" s="74"/>
      <c r="C38" s="64">
        <f>'SGTO POAI -JUNIO-2021'!D55</f>
        <v>33</v>
      </c>
      <c r="D38" s="477" t="str">
        <f>'SGTO POAI -JUNIO-2021'!E55</f>
        <v>Cultura</v>
      </c>
      <c r="E38" s="478"/>
      <c r="F38" s="495">
        <f>SUM(F39)</f>
        <v>0</v>
      </c>
      <c r="G38" s="495"/>
      <c r="H38" s="495">
        <f>SUM(H39)</f>
        <v>0</v>
      </c>
      <c r="I38" s="495">
        <f>SUM(I39)</f>
        <v>90000000</v>
      </c>
      <c r="J38" s="495"/>
      <c r="K38" s="495">
        <f>SUM(K39)</f>
        <v>90000000</v>
      </c>
    </row>
    <row r="39" spans="1:12" ht="48" customHeight="1" x14ac:dyDescent="0.2">
      <c r="A39" s="130"/>
      <c r="B39" s="781"/>
      <c r="C39" s="781"/>
      <c r="D39" s="69">
        <f>'SGTO POAI -JUNIO-2021'!F56</f>
        <v>3301</v>
      </c>
      <c r="E39" s="783" t="str">
        <f>'SGTO POAI -JUNIO-2021'!G56</f>
        <v>Promoción y acceso efectivo a procesos culturales y artísticos. "Tú y yo somos cultura Quindiana"</v>
      </c>
      <c r="F39" s="785">
        <f>'SGTO POAI -JUNIO-2021'!V56</f>
        <v>0</v>
      </c>
      <c r="G39" s="785"/>
      <c r="H39" s="785">
        <f>'SGTO POAI -JUNIO-2021'!AE56</f>
        <v>0</v>
      </c>
      <c r="I39" s="785">
        <f>'SGTO POAI -JUNIO-2021'!AF56</f>
        <v>90000000</v>
      </c>
      <c r="J39" s="785"/>
      <c r="K39" s="785">
        <f>F39+H39+I39+G39</f>
        <v>90000000</v>
      </c>
    </row>
    <row r="40" spans="1:12" ht="24" customHeight="1" x14ac:dyDescent="0.2">
      <c r="A40" s="130"/>
      <c r="B40" s="74"/>
      <c r="C40" s="64">
        <f>'SGTO POAI -JUNIO-2021'!D58</f>
        <v>43</v>
      </c>
      <c r="D40" s="62" t="str">
        <f>'SGTO POAI -JUNIO-2021'!E58</f>
        <v>Deporte y recreación</v>
      </c>
      <c r="E40" s="128"/>
      <c r="F40" s="496">
        <f>SUM(F41)</f>
        <v>2885783074.3600001</v>
      </c>
      <c r="G40" s="496"/>
      <c r="H40" s="496">
        <f>SUM(H41)</f>
        <v>0</v>
      </c>
      <c r="I40" s="496">
        <f>SUM(I41)</f>
        <v>0</v>
      </c>
      <c r="J40" s="496"/>
      <c r="K40" s="496">
        <f>SUM(K41)</f>
        <v>2885783074.3600001</v>
      </c>
    </row>
    <row r="41" spans="1:12" ht="69.75" customHeight="1" x14ac:dyDescent="0.2">
      <c r="A41" s="130"/>
      <c r="B41" s="781"/>
      <c r="C41" s="781"/>
      <c r="D41" s="69">
        <f>'SGTO POAI -JUNIO-2021'!F59</f>
        <v>4301</v>
      </c>
      <c r="E41" s="783" t="str">
        <f>'SGTO POAI -JUNIO-2021'!G59</f>
        <v>Fomento a la recreación, la actividad física y el deporte para desarrollar entornos de convivencia y paz "Tú y yo en la recreación y en deporte"</v>
      </c>
      <c r="F41" s="785">
        <f>'SGTO POAI -JUNIO-2021'!V59</f>
        <v>2885783074.3600001</v>
      </c>
      <c r="G41" s="785"/>
      <c r="H41" s="785">
        <f>'SGTO POAI -JUNIO-2021'!AE59</f>
        <v>0</v>
      </c>
      <c r="I41" s="785">
        <f>'SGTO POAI -JUNIO-2021'!AF59</f>
        <v>0</v>
      </c>
      <c r="J41" s="785"/>
      <c r="K41" s="785">
        <f>F41+H41+I41+G41</f>
        <v>2885783074.3600001</v>
      </c>
      <c r="L41" s="49"/>
    </row>
    <row r="42" spans="1:12" ht="24" customHeight="1" x14ac:dyDescent="0.2">
      <c r="A42" s="130"/>
      <c r="B42" s="116">
        <f>'SGTO POAI -JUNIO-2021'!B61</f>
        <v>3</v>
      </c>
      <c r="C42" s="61" t="str">
        <f>'SGTO POAI -JUNIO-2021'!D61</f>
        <v xml:space="preserve">TERRITORIO, AMBIENTE Y DESARROLLO SOSTENIBLE </v>
      </c>
      <c r="D42" s="61"/>
      <c r="E42" s="481"/>
      <c r="F42" s="471">
        <f>F43+F45+F47</f>
        <v>705000000.10000002</v>
      </c>
      <c r="G42" s="471">
        <f t="shared" ref="G42:I42" si="1">G43+G45+G47</f>
        <v>56108067</v>
      </c>
      <c r="H42" s="471">
        <f t="shared" si="1"/>
        <v>2895159641.6800003</v>
      </c>
      <c r="I42" s="471">
        <f t="shared" si="1"/>
        <v>3010689004</v>
      </c>
      <c r="J42" s="471">
        <f t="shared" ref="J42" si="2">J43+J45+J47</f>
        <v>4000000000</v>
      </c>
      <c r="K42" s="471">
        <f t="shared" ref="K42" si="3">K43+K45+K47</f>
        <v>10666956712.780001</v>
      </c>
      <c r="L42" s="49"/>
    </row>
    <row r="43" spans="1:12" ht="24" customHeight="1" x14ac:dyDescent="0.2">
      <c r="A43" s="130"/>
      <c r="B43" s="74"/>
      <c r="C43" s="479">
        <f>'SGTO POAI -JUNIO-2021'!D62</f>
        <v>24</v>
      </c>
      <c r="D43" s="62" t="str">
        <f>'SGTO POAI -JUNIO-2021'!E62</f>
        <v>Transporte</v>
      </c>
      <c r="E43" s="472"/>
      <c r="F43" s="473">
        <f>F44</f>
        <v>0</v>
      </c>
      <c r="G43" s="473"/>
      <c r="H43" s="473">
        <f>H44</f>
        <v>0</v>
      </c>
      <c r="I43" s="473">
        <f>I44</f>
        <v>783689004</v>
      </c>
      <c r="J43" s="473">
        <f t="shared" ref="J43:K43" si="4">J44</f>
        <v>4000000000</v>
      </c>
      <c r="K43" s="473">
        <f t="shared" si="4"/>
        <v>4783689004</v>
      </c>
      <c r="L43" s="49"/>
    </row>
    <row r="44" spans="1:12" ht="48" customHeight="1" x14ac:dyDescent="0.2">
      <c r="A44" s="130"/>
      <c r="B44" s="781"/>
      <c r="C44" s="781"/>
      <c r="D44" s="69">
        <f>'SGTO POAI -JUNIO-2021'!F63</f>
        <v>2402</v>
      </c>
      <c r="E44" s="783" t="str">
        <f>'SGTO POAI -JUNIO-2021'!G63</f>
        <v>Infraestructura red vial regional. "Tú y yo con movilidad vial"</v>
      </c>
      <c r="F44" s="785">
        <f>'SGTO POAI -JUNIO-2021'!V63</f>
        <v>0</v>
      </c>
      <c r="G44" s="785"/>
      <c r="H44" s="785">
        <f>'SGTO POAI -JUNIO-2021'!AE63</f>
        <v>0</v>
      </c>
      <c r="I44" s="785">
        <f>'SGTO POAI -JUNIO-2021'!AF63</f>
        <v>783689004</v>
      </c>
      <c r="J44" s="785">
        <f>'SGTO POAI -JUNIO-2021'!AH63</f>
        <v>4000000000</v>
      </c>
      <c r="K44" s="785">
        <f>I44+J44</f>
        <v>4783689004</v>
      </c>
      <c r="L44" s="49"/>
    </row>
    <row r="45" spans="1:12" ht="24" customHeight="1" x14ac:dyDescent="0.2">
      <c r="A45" s="130"/>
      <c r="B45" s="74"/>
      <c r="C45" s="64">
        <f>'SGTO POAI -JUNIO-2021'!D67</f>
        <v>32</v>
      </c>
      <c r="D45" s="62" t="str">
        <f>'SGTO POAI -JUNIO-2021'!E67</f>
        <v>Ambiente y desarrollo sostenible</v>
      </c>
      <c r="E45" s="128"/>
      <c r="F45" s="496">
        <f>F46</f>
        <v>0</v>
      </c>
      <c r="G45" s="496">
        <f>G46</f>
        <v>56108067</v>
      </c>
      <c r="H45" s="496">
        <f>H46</f>
        <v>0</v>
      </c>
      <c r="I45" s="496">
        <f>I46</f>
        <v>2207000000</v>
      </c>
      <c r="J45" s="496"/>
      <c r="K45" s="496">
        <f>K46</f>
        <v>2263108067</v>
      </c>
      <c r="L45" s="49"/>
    </row>
    <row r="46" spans="1:12" ht="41.25" customHeight="1" x14ac:dyDescent="0.2">
      <c r="A46" s="130"/>
      <c r="B46" s="781"/>
      <c r="C46" s="781"/>
      <c r="D46" s="69">
        <f>'SGTO POAI -JUNIO-2021'!F68</f>
        <v>3205</v>
      </c>
      <c r="E46" s="783" t="str">
        <f>'SGTO POAI -JUNIO-2021'!G68</f>
        <v>Ordenamiento Ambiental Territorial. "Tú y yo planificamos con sentido ambiental"</v>
      </c>
      <c r="F46" s="785">
        <f>'SGTO POAI -JUNIO-2021'!V68</f>
        <v>0</v>
      </c>
      <c r="G46" s="785">
        <f>'SGTO POAI -JUNIO-2021'!X68</f>
        <v>56108067</v>
      </c>
      <c r="H46" s="785">
        <f>'SGTO POAI -JUNIO-2021'!AE68</f>
        <v>0</v>
      </c>
      <c r="I46" s="785">
        <f>'SGTO POAI -JUNIO-2021'!AF68</f>
        <v>2207000000</v>
      </c>
      <c r="J46" s="785"/>
      <c r="K46" s="785">
        <f>F46+H46+I46+G46</f>
        <v>2263108067</v>
      </c>
      <c r="L46" s="49"/>
    </row>
    <row r="47" spans="1:12" ht="24" customHeight="1" x14ac:dyDescent="0.2">
      <c r="A47" s="130"/>
      <c r="B47" s="74"/>
      <c r="C47" s="64">
        <f>'SGTO POAI -JUNIO-2021'!D71</f>
        <v>40</v>
      </c>
      <c r="D47" s="62" t="str">
        <f>'SGTO POAI -JUNIO-2021'!E71</f>
        <v>Vivienda, Ciudad y Territorio</v>
      </c>
      <c r="E47" s="128"/>
      <c r="F47" s="496">
        <f>SUM(F48:F49)</f>
        <v>705000000.10000002</v>
      </c>
      <c r="G47" s="496"/>
      <c r="H47" s="496">
        <f>SUM(H48:H49)</f>
        <v>2895159641.6800003</v>
      </c>
      <c r="I47" s="496">
        <f>SUM(I48:I49)</f>
        <v>20000000</v>
      </c>
      <c r="J47" s="496"/>
      <c r="K47" s="496">
        <f>SUM(K48:K49)</f>
        <v>3620159641.7800002</v>
      </c>
      <c r="L47" s="49"/>
    </row>
    <row r="48" spans="1:12" ht="42" customHeight="1" x14ac:dyDescent="0.2">
      <c r="A48" s="130"/>
      <c r="B48" s="781"/>
      <c r="C48" s="781"/>
      <c r="D48" s="69">
        <f>'SGTO POAI -JUNIO-2021'!F72</f>
        <v>4001</v>
      </c>
      <c r="E48" s="783" t="str">
        <f>'SGTO POAI -JUNIO-2021'!G72</f>
        <v>Acceso a soluciones de vivienda. "Tú y yo con vivienda digna"</v>
      </c>
      <c r="F48" s="785">
        <f>'SGTO POAI -JUNIO-2021'!V72</f>
        <v>100000000.09999999</v>
      </c>
      <c r="G48" s="785"/>
      <c r="H48" s="785">
        <f>'SGTO POAI -JUNIO-2021'!AE72</f>
        <v>0</v>
      </c>
      <c r="I48" s="785">
        <f>'SGTO POAI -JUNIO-2021'!AF72</f>
        <v>20000000</v>
      </c>
      <c r="J48" s="785"/>
      <c r="K48" s="785">
        <f>F48+H48+I48+G48</f>
        <v>120000000.09999999</v>
      </c>
      <c r="L48" s="49"/>
    </row>
    <row r="49" spans="1:12" ht="51.75" customHeight="1" x14ac:dyDescent="0.2">
      <c r="A49" s="130"/>
      <c r="B49" s="781"/>
      <c r="C49" s="781"/>
      <c r="D49" s="69">
        <f>'SGTO POAI -JUNIO-2021'!F74</f>
        <v>4003</v>
      </c>
      <c r="E49" s="783" t="str">
        <f>'SGTO POAI -JUNIO-2021'!G74</f>
        <v>Acceso de la población a los servicios de agua potable y saneamiento básico. "Tú y yo con calidad del agua"</v>
      </c>
      <c r="F49" s="785">
        <f>'SGTO POAI -JUNIO-2021'!V74</f>
        <v>605000000</v>
      </c>
      <c r="G49" s="785"/>
      <c r="H49" s="785">
        <f>'SGTO POAI -JUNIO-2021'!AE74</f>
        <v>2895159641.6800003</v>
      </c>
      <c r="I49" s="785">
        <f>'SGTO POAI -JUNIO-2021'!AF74</f>
        <v>0</v>
      </c>
      <c r="J49" s="785"/>
      <c r="K49" s="785">
        <f>F49+H49+I49+G49</f>
        <v>3500159641.6800003</v>
      </c>
      <c r="L49" s="49"/>
    </row>
    <row r="50" spans="1:12" ht="24" customHeight="1" x14ac:dyDescent="0.2">
      <c r="A50" s="130"/>
      <c r="B50" s="116">
        <f>'SGTO POAI -JUNIO-2021'!B81</f>
        <v>4</v>
      </c>
      <c r="C50" s="61" t="str">
        <f>'SGTO POAI -JUNIO-2021'!D81</f>
        <v xml:space="preserve">LIDERAZGO, GOBERNABILIDAD Y TRANSPARENCIA </v>
      </c>
      <c r="D50" s="61"/>
      <c r="E50" s="481"/>
      <c r="F50" s="471">
        <f>F51</f>
        <v>0</v>
      </c>
      <c r="G50" s="471"/>
      <c r="H50" s="471">
        <f>H51</f>
        <v>0</v>
      </c>
      <c r="I50" s="471">
        <f>I51</f>
        <v>138660648</v>
      </c>
      <c r="J50" s="471"/>
      <c r="K50" s="471">
        <f>K51</f>
        <v>138660648</v>
      </c>
      <c r="L50" s="49"/>
    </row>
    <row r="51" spans="1:12" ht="24" customHeight="1" x14ac:dyDescent="0.2">
      <c r="A51" s="130"/>
      <c r="B51" s="312"/>
      <c r="C51" s="64">
        <f>'SGTO POAI -JUNIO-2021'!D82</f>
        <v>45</v>
      </c>
      <c r="D51" s="62" t="str">
        <f>'SGTO POAI -JUNIO-2021'!E82</f>
        <v>Gobierno territorial</v>
      </c>
      <c r="E51" s="472"/>
      <c r="F51" s="473">
        <f>SUM(F52:F53)</f>
        <v>0</v>
      </c>
      <c r="G51" s="473"/>
      <c r="H51" s="473">
        <f>SUM(H52:H53)</f>
        <v>0</v>
      </c>
      <c r="I51" s="473">
        <f>SUM(I52:I53)</f>
        <v>138660648</v>
      </c>
      <c r="J51" s="473"/>
      <c r="K51" s="473">
        <f>SUM(K52:K53)</f>
        <v>138660648</v>
      </c>
      <c r="L51" s="49"/>
    </row>
    <row r="52" spans="1:12" ht="69" customHeight="1" x14ac:dyDescent="0.2">
      <c r="A52" s="130"/>
      <c r="B52" s="781"/>
      <c r="C52" s="781"/>
      <c r="D52" s="69">
        <f>'SGTO POAI -JUNIO-2021'!F83</f>
        <v>4599</v>
      </c>
      <c r="E52" s="783" t="str">
        <f>'SGTO POAI -JUNIO-2021'!G83</f>
        <v>Fortalecimiento a la gestión y dirección de la administración pública territorial "Quindío con una administración al servicio de la ciudadanía "</v>
      </c>
      <c r="F52" s="785">
        <f>'SGTO POAI -JUNIO-2021'!V83</f>
        <v>0</v>
      </c>
      <c r="G52" s="785"/>
      <c r="H52" s="785">
        <f>'SGTO POAI -JUNIO-2021'!AE63</f>
        <v>0</v>
      </c>
      <c r="I52" s="785">
        <f>'SGTO POAI -JUNIO-2021'!AF83</f>
        <v>100660648</v>
      </c>
      <c r="J52" s="785"/>
      <c r="K52" s="785">
        <f>F52+H52+I52+G52</f>
        <v>100660648</v>
      </c>
      <c r="L52" s="49"/>
    </row>
    <row r="53" spans="1:12" ht="51.75" customHeight="1" x14ac:dyDescent="0.2">
      <c r="A53" s="130"/>
      <c r="B53" s="781"/>
      <c r="C53" s="781"/>
      <c r="D53" s="69">
        <f>'SGTO POAI -JUNIO-2021'!F85</f>
        <v>4502</v>
      </c>
      <c r="E53" s="783" t="str">
        <f>'SGTO POAI -JUNIO-2021'!G85</f>
        <v>Fortalecimiento del buen gobierno para el respeto y garantía de los derechos humanos. "Quindío integrado y participativo"</v>
      </c>
      <c r="F53" s="785">
        <f>'SGTO POAI -JUNIO-2021'!V85</f>
        <v>0</v>
      </c>
      <c r="G53" s="785"/>
      <c r="H53" s="785">
        <f>'SGTO POAI -JUNIO-2021'!AE85</f>
        <v>0</v>
      </c>
      <c r="I53" s="785">
        <f>'SGTO POAI -JUNIO-2021'!AF85</f>
        <v>38000000</v>
      </c>
      <c r="J53" s="785"/>
      <c r="K53" s="785">
        <f>F53+H53+I53+G53</f>
        <v>38000000</v>
      </c>
    </row>
    <row r="54" spans="1:12" s="10" customFormat="1" x14ac:dyDescent="0.2">
      <c r="A54" s="49"/>
      <c r="B54" s="475"/>
      <c r="C54" s="475"/>
      <c r="D54" s="475"/>
      <c r="E54" s="493"/>
      <c r="F54" s="476"/>
      <c r="G54" s="42"/>
      <c r="H54" s="17"/>
      <c r="I54" s="17"/>
      <c r="J54" s="17"/>
      <c r="K54" s="17"/>
      <c r="L54" s="48"/>
    </row>
    <row r="55" spans="1:12" ht="24" customHeight="1" x14ac:dyDescent="0.2">
      <c r="A55" s="930" t="s">
        <v>5</v>
      </c>
      <c r="B55" s="930" t="s">
        <v>6</v>
      </c>
      <c r="C55" s="930" t="s">
        <v>7</v>
      </c>
      <c r="D55" s="930" t="s">
        <v>1392</v>
      </c>
      <c r="E55" s="921" t="s">
        <v>8</v>
      </c>
      <c r="F55" s="894" t="s">
        <v>1397</v>
      </c>
      <c r="G55" s="893" t="s">
        <v>1393</v>
      </c>
      <c r="H55" s="893" t="s">
        <v>15</v>
      </c>
      <c r="J55" s="44"/>
      <c r="K55" s="1"/>
      <c r="L55" s="1"/>
    </row>
    <row r="56" spans="1:12" ht="24" customHeight="1" x14ac:dyDescent="0.2">
      <c r="A56" s="930"/>
      <c r="B56" s="930"/>
      <c r="C56" s="930"/>
      <c r="D56" s="930"/>
      <c r="E56" s="921"/>
      <c r="F56" s="576" t="s">
        <v>1538</v>
      </c>
      <c r="G56" s="576" t="s">
        <v>1538</v>
      </c>
      <c r="H56" s="576" t="s">
        <v>1538</v>
      </c>
      <c r="J56" s="44"/>
      <c r="K56" s="1"/>
      <c r="L56" s="1"/>
    </row>
    <row r="57" spans="1:12" ht="24" customHeight="1" x14ac:dyDescent="0.2">
      <c r="A57" s="38" t="s">
        <v>276</v>
      </c>
      <c r="B57" s="39"/>
      <c r="C57" s="39"/>
      <c r="D57" s="39"/>
      <c r="E57" s="67"/>
      <c r="F57" s="36">
        <f>F58+F70+F75</f>
        <v>4387879528.3299999</v>
      </c>
      <c r="G57" s="36">
        <f>G58+G70+G75</f>
        <v>2244761992</v>
      </c>
      <c r="H57" s="36">
        <f>H58+H70+H75</f>
        <v>6632641520.3299999</v>
      </c>
      <c r="I57" s="19"/>
      <c r="J57" s="44"/>
      <c r="K57" s="1"/>
      <c r="L57" s="1"/>
    </row>
    <row r="58" spans="1:12" ht="24" customHeight="1" x14ac:dyDescent="0.2">
      <c r="A58" s="130"/>
      <c r="B58" s="116">
        <f>'SGTO POAI -JUNIO-2021'!B89</f>
        <v>1</v>
      </c>
      <c r="C58" s="61" t="str">
        <f>'SGTO POAI -JUNIO-2021'!D89</f>
        <v xml:space="preserve">INCLUSIÓN SOCIAL Y EQUIDAD </v>
      </c>
      <c r="D58" s="61"/>
      <c r="E58" s="481"/>
      <c r="F58" s="471">
        <f>F59+F63+F65+F68</f>
        <v>4387879528.3299999</v>
      </c>
      <c r="G58" s="471">
        <f>G59+G63+G65+G68</f>
        <v>1021050643</v>
      </c>
      <c r="H58" s="471">
        <f>H59+H63+H65+H68</f>
        <v>5408930171.3299999</v>
      </c>
      <c r="J58" s="44"/>
      <c r="K58" s="1"/>
      <c r="L58" s="1"/>
    </row>
    <row r="59" spans="1:12" ht="24" customHeight="1" x14ac:dyDescent="0.2">
      <c r="A59" s="130"/>
      <c r="B59" s="312"/>
      <c r="C59" s="64">
        <f>'SGTO POAI -JUNIO-2021'!D90</f>
        <v>12</v>
      </c>
      <c r="D59" s="62" t="str">
        <f>'SGTO POAI -JUNIO-2021'!E90</f>
        <v>Justicia y del derecho</v>
      </c>
      <c r="E59" s="62"/>
      <c r="F59" s="473">
        <f>SUM(F60:F62)</f>
        <v>0</v>
      </c>
      <c r="G59" s="473">
        <f>SUM(G60:G62)</f>
        <v>254028401</v>
      </c>
      <c r="H59" s="473">
        <f>SUM(H60:H62)</f>
        <v>254028401</v>
      </c>
      <c r="J59" s="44"/>
      <c r="K59" s="1"/>
      <c r="L59" s="1"/>
    </row>
    <row r="60" spans="1:12" ht="31.5" customHeight="1" x14ac:dyDescent="0.2">
      <c r="A60" s="130"/>
      <c r="B60" s="781"/>
      <c r="C60" s="781"/>
      <c r="D60" s="69">
        <f>'SGTO POAI -JUNIO-2021'!F91</f>
        <v>1202</v>
      </c>
      <c r="E60" s="783" t="str">
        <f>'SGTO POAI -JUNIO-2021'!G91</f>
        <v>Promoción al acceso a la justicia. "Tú y yo con justicia"</v>
      </c>
      <c r="F60" s="785">
        <f>'SGTO POAI -JUNIO-2021'!W91</f>
        <v>0</v>
      </c>
      <c r="G60" s="785">
        <f>'SGTO POAI -JUNIO-2021'!AF91</f>
        <v>149000000</v>
      </c>
      <c r="H60" s="785">
        <f>F60+G60</f>
        <v>149000000</v>
      </c>
      <c r="J60" s="44"/>
      <c r="K60" s="1"/>
      <c r="L60" s="1"/>
    </row>
    <row r="61" spans="1:12" ht="36.75" customHeight="1" x14ac:dyDescent="0.2">
      <c r="A61" s="130"/>
      <c r="B61" s="781"/>
      <c r="C61" s="781"/>
      <c r="D61" s="69">
        <f>'SGTO POAI -JUNIO-2021'!F93</f>
        <v>1203</v>
      </c>
      <c r="E61" s="783" t="str">
        <f>'SGTO POAI -JUNIO-2021'!G93</f>
        <v>Promoción de los métodos de resolución de conflictos. "Tú y yo resolvemos los conflictos"</v>
      </c>
      <c r="F61" s="785">
        <f>'SGTO POAI -JUNIO-2021'!W93</f>
        <v>0</v>
      </c>
      <c r="G61" s="785">
        <f>'SGTO POAI -JUNIO-2021'!AF93</f>
        <v>69028401</v>
      </c>
      <c r="H61" s="785">
        <f>F61+G61</f>
        <v>69028401</v>
      </c>
      <c r="J61" s="44"/>
      <c r="K61" s="1"/>
      <c r="L61" s="1"/>
    </row>
    <row r="62" spans="1:12" ht="57" customHeight="1" x14ac:dyDescent="0.2">
      <c r="A62" s="130"/>
      <c r="B62" s="781"/>
      <c r="C62" s="781"/>
      <c r="D62" s="69">
        <f>'SGTO POAI -JUNIO-2021'!F95</f>
        <v>1206</v>
      </c>
      <c r="E62" s="783" t="str">
        <f>'SGTO POAI -JUNIO-2021'!G95</f>
        <v>Sistema penitenciario y carcelario en el marco de los derechos humanos. "Quindío respeta derechos penitenciarios"</v>
      </c>
      <c r="F62" s="785">
        <f>'SGTO POAI -JUNIO-2021'!W93</f>
        <v>0</v>
      </c>
      <c r="G62" s="785">
        <f>'SGTO POAI -JUNIO-2021'!AF95</f>
        <v>36000000</v>
      </c>
      <c r="H62" s="785">
        <f>F62+G62</f>
        <v>36000000</v>
      </c>
      <c r="J62" s="44"/>
      <c r="K62" s="1"/>
      <c r="L62" s="1"/>
    </row>
    <row r="63" spans="1:12" ht="24" customHeight="1" x14ac:dyDescent="0.2">
      <c r="A63" s="130"/>
      <c r="B63" s="74"/>
      <c r="C63" s="64">
        <f>'SGTO POAI -JUNIO-2021'!D97</f>
        <v>22</v>
      </c>
      <c r="D63" s="62" t="str">
        <f>'SGTO POAI -JUNIO-2021'!E97</f>
        <v>Educación</v>
      </c>
      <c r="E63" s="497"/>
      <c r="F63" s="495">
        <f>F64</f>
        <v>0</v>
      </c>
      <c r="G63" s="495">
        <f>G64</f>
        <v>124287500</v>
      </c>
      <c r="H63" s="495">
        <f>H64</f>
        <v>124287500</v>
      </c>
      <c r="J63" s="44"/>
      <c r="K63" s="1"/>
      <c r="L63" s="1"/>
    </row>
    <row r="64" spans="1:12" ht="64.5" customHeight="1" x14ac:dyDescent="0.2">
      <c r="A64" s="130"/>
      <c r="B64" s="781"/>
      <c r="C64" s="781"/>
      <c r="D64" s="69">
        <f>'SGTO POAI -JUNIO-2021'!F98</f>
        <v>2201</v>
      </c>
      <c r="E64" s="783" t="str">
        <f>'SGTO POAI -JUNIO-2021'!G98</f>
        <v>Calidad, cobertura y fortalecimiento de la educación inicial, prescolar, básica y media." Tú y yo con educación y de calidad"</v>
      </c>
      <c r="F64" s="785">
        <f>'SGTO POAI -JUNIO-2021'!W98</f>
        <v>0</v>
      </c>
      <c r="G64" s="785">
        <f>'SGTO POAI -JUNIO-2021'!AF98</f>
        <v>124287500</v>
      </c>
      <c r="H64" s="785">
        <f>F64+G64</f>
        <v>124287500</v>
      </c>
      <c r="J64" s="44"/>
      <c r="K64" s="1"/>
      <c r="L64" s="1"/>
    </row>
    <row r="65" spans="1:12" ht="24" customHeight="1" x14ac:dyDescent="0.2">
      <c r="A65" s="130"/>
      <c r="B65" s="74"/>
      <c r="C65" s="64">
        <f>'SGTO POAI -JUNIO-2021'!D100</f>
        <v>41</v>
      </c>
      <c r="D65" s="62" t="str">
        <f>'SGTO POAI -JUNIO-2021'!E100</f>
        <v xml:space="preserve">Inclusión social y Reconciliación </v>
      </c>
      <c r="E65" s="62"/>
      <c r="F65" s="473">
        <f>SUM(F66:F67)</f>
        <v>0</v>
      </c>
      <c r="G65" s="473">
        <f>SUM(G66:G67)</f>
        <v>581734742</v>
      </c>
      <c r="H65" s="473">
        <f>SUM(H66:H67)</f>
        <v>581734742</v>
      </c>
      <c r="J65" s="44"/>
      <c r="K65" s="1"/>
      <c r="L65" s="1"/>
    </row>
    <row r="66" spans="1:12" ht="41.25" customHeight="1" x14ac:dyDescent="0.2">
      <c r="A66" s="130"/>
      <c r="B66" s="781"/>
      <c r="C66" s="781"/>
      <c r="D66" s="69">
        <f>'SGTO POAI -JUNIO-2021'!F101</f>
        <v>4101</v>
      </c>
      <c r="E66" s="783" t="str">
        <f>'SGTO POAI -JUNIO-2021'!G101</f>
        <v>Atención, asistencia y reparación integral a las víctimas. "Tú y yo con reparación integral"</v>
      </c>
      <c r="F66" s="785">
        <f>'SGTO POAI -JUNIO-2021'!W101</f>
        <v>0</v>
      </c>
      <c r="G66" s="785">
        <f>'SGTO POAI -JUNIO-2021'!AF101</f>
        <v>547707113</v>
      </c>
      <c r="H66" s="785">
        <f>F66+G66</f>
        <v>547707113</v>
      </c>
      <c r="J66" s="44"/>
      <c r="K66" s="1"/>
      <c r="L66" s="1"/>
    </row>
    <row r="67" spans="1:12" ht="51" customHeight="1" x14ac:dyDescent="0.2">
      <c r="A67" s="130"/>
      <c r="B67" s="781"/>
      <c r="C67" s="781"/>
      <c r="D67" s="69">
        <f>'SGTO POAI -JUNIO-2021'!F107</f>
        <v>4103</v>
      </c>
      <c r="E67" s="783" t="str">
        <f>'SGTO POAI -JUNIO-2021'!G107</f>
        <v>Inclusión social y productiva para la población en situación de vulnerabilidad. "Tú y yo, población vulnerable incluida"</v>
      </c>
      <c r="F67" s="785">
        <f>'SGTO POAI -JUNIO-2021'!W107</f>
        <v>0</v>
      </c>
      <c r="G67" s="785">
        <f>'SGTO POAI -JUNIO-2021'!AF107</f>
        <v>34027629</v>
      </c>
      <c r="H67" s="785">
        <f>F67+G67</f>
        <v>34027629</v>
      </c>
      <c r="I67" s="1"/>
      <c r="J67" s="49"/>
      <c r="K67" s="1"/>
      <c r="L67" s="1"/>
    </row>
    <row r="68" spans="1:12" ht="24" customHeight="1" x14ac:dyDescent="0.2">
      <c r="A68" s="130"/>
      <c r="B68" s="74"/>
      <c r="C68" s="64">
        <f>'SGTO POAI -JUNIO-2021'!D109</f>
        <v>45</v>
      </c>
      <c r="D68" s="62" t="str">
        <f>'SGTO POAI -JUNIO-2021'!E109</f>
        <v>Gobierno territorial</v>
      </c>
      <c r="E68" s="62"/>
      <c r="F68" s="473">
        <f>F69</f>
        <v>4387879528.3299999</v>
      </c>
      <c r="G68" s="473">
        <f>G69</f>
        <v>61000000</v>
      </c>
      <c r="H68" s="473">
        <f>H69</f>
        <v>4448879528.3299999</v>
      </c>
      <c r="I68" s="1"/>
      <c r="J68" s="49"/>
      <c r="K68" s="1"/>
      <c r="L68" s="1"/>
    </row>
    <row r="69" spans="1:12" s="25" customFormat="1" ht="42" customHeight="1" x14ac:dyDescent="0.25">
      <c r="A69" s="830"/>
      <c r="B69" s="74"/>
      <c r="C69" s="74"/>
      <c r="D69" s="312">
        <f>'SGTO POAI -JUNIO-2021'!F110</f>
        <v>4501</v>
      </c>
      <c r="E69" s="329" t="str">
        <f>'SGTO POAI -JUNIO-2021'!G110</f>
        <v>Fortalecimiento de la convivencia y la seguridad ciudadana. "Tú y yo seguros"</v>
      </c>
      <c r="F69" s="474">
        <f>'SGTO POAI -JUNIO-2021'!W110</f>
        <v>4387879528.3299999</v>
      </c>
      <c r="G69" s="474">
        <f>'SGTO POAI -JUNIO-2021'!AF110</f>
        <v>61000000</v>
      </c>
      <c r="H69" s="474">
        <f>F69+G69</f>
        <v>4448879528.3299999</v>
      </c>
      <c r="J69" s="832"/>
    </row>
    <row r="70" spans="1:12" ht="24" customHeight="1" x14ac:dyDescent="0.2">
      <c r="A70" s="130"/>
      <c r="B70" s="116">
        <f>'SGTO POAI -JUNIO-2021'!B113</f>
        <v>3</v>
      </c>
      <c r="C70" s="61" t="str">
        <f>'SGTO POAI -JUNIO-2021'!D113</f>
        <v xml:space="preserve">TERRITORIO, AMBIENTE Y DESARROLLO SOSTENIBLE </v>
      </c>
      <c r="D70" s="61"/>
      <c r="E70" s="481"/>
      <c r="F70" s="471">
        <f>F71+F73</f>
        <v>0</v>
      </c>
      <c r="G70" s="471">
        <f>G71+G73</f>
        <v>791217948</v>
      </c>
      <c r="H70" s="471">
        <f>H71+H73</f>
        <v>791217948</v>
      </c>
      <c r="I70" s="1"/>
      <c r="J70" s="49"/>
      <c r="K70" s="1"/>
      <c r="L70" s="1"/>
    </row>
    <row r="71" spans="1:12" ht="24" customHeight="1" x14ac:dyDescent="0.2">
      <c r="A71" s="130"/>
      <c r="B71" s="312"/>
      <c r="C71" s="64">
        <f>'SGTO POAI -JUNIO-2021'!D114</f>
        <v>32</v>
      </c>
      <c r="D71" s="62" t="str">
        <f>'SGTO POAI -JUNIO-2021'!E114</f>
        <v>Ambiente y desarrollo sostenible</v>
      </c>
      <c r="E71" s="478"/>
      <c r="F71" s="473">
        <f>F72</f>
        <v>0</v>
      </c>
      <c r="G71" s="473">
        <f>G72</f>
        <v>243850000</v>
      </c>
      <c r="H71" s="473">
        <f>H72</f>
        <v>243850000</v>
      </c>
      <c r="I71" s="1"/>
      <c r="J71" s="49"/>
      <c r="K71" s="1"/>
      <c r="L71" s="1"/>
    </row>
    <row r="72" spans="1:12" s="37" customFormat="1" ht="48.75" customHeight="1" x14ac:dyDescent="0.2">
      <c r="A72" s="311"/>
      <c r="B72" s="69"/>
      <c r="C72" s="69"/>
      <c r="D72" s="69">
        <f>'SGTO POAI -JUNIO-2021'!F115</f>
        <v>3205</v>
      </c>
      <c r="E72" s="783" t="str">
        <f>'SGTO POAI -JUNIO-2021'!E114</f>
        <v>Ambiente y desarrollo sostenible</v>
      </c>
      <c r="F72" s="785">
        <f>'SGTO POAI -JUNIO-2021'!W115</f>
        <v>0</v>
      </c>
      <c r="G72" s="785">
        <f>'SGTO POAI -JUNIO-2021'!AF115</f>
        <v>243850000</v>
      </c>
      <c r="H72" s="785">
        <f>F72+G72</f>
        <v>243850000</v>
      </c>
      <c r="J72" s="47"/>
    </row>
    <row r="73" spans="1:12" s="37" customFormat="1" ht="24" customHeight="1" x14ac:dyDescent="0.2">
      <c r="A73" s="311"/>
      <c r="B73" s="312"/>
      <c r="C73" s="64">
        <f>'SGTO POAI -JUNIO-2021'!D117</f>
        <v>45</v>
      </c>
      <c r="D73" s="62" t="str">
        <f>'SGTO POAI -JUNIO-2021'!E117</f>
        <v>Gobierno territorial</v>
      </c>
      <c r="E73" s="472"/>
      <c r="F73" s="473">
        <f>F74</f>
        <v>0</v>
      </c>
      <c r="G73" s="473">
        <f>G74</f>
        <v>547367948</v>
      </c>
      <c r="H73" s="473">
        <f>H74</f>
        <v>547367948</v>
      </c>
      <c r="J73" s="47"/>
    </row>
    <row r="74" spans="1:12" s="37" customFormat="1" ht="45.75" customHeight="1" x14ac:dyDescent="0.2">
      <c r="A74" s="311"/>
      <c r="B74" s="69"/>
      <c r="C74" s="69"/>
      <c r="D74" s="69">
        <f>'SGTO POAI -JUNIO-2021'!F118</f>
        <v>4503</v>
      </c>
      <c r="E74" s="783" t="str">
        <f>'SGTO POAI -JUNIO-2021'!G118</f>
        <v>Gestión del riesgo de desastres y emergencias. "Tú y yo preparados en gestión del riesgo"</v>
      </c>
      <c r="F74" s="785">
        <f>'SGTO POAI -JUNIO-2021'!W118</f>
        <v>0</v>
      </c>
      <c r="G74" s="785">
        <f>'SGTO POAI -JUNIO-2021'!AF118</f>
        <v>547367948</v>
      </c>
      <c r="H74" s="785">
        <f>F74+G74</f>
        <v>547367948</v>
      </c>
      <c r="J74" s="47"/>
    </row>
    <row r="75" spans="1:12" ht="24" customHeight="1" x14ac:dyDescent="0.2">
      <c r="A75" s="130"/>
      <c r="B75" s="116">
        <f>'SGTO POAI -JUNIO-2021'!B122</f>
        <v>4</v>
      </c>
      <c r="C75" s="61" t="str">
        <f>'SGTO POAI -JUNIO-2021'!D122</f>
        <v xml:space="preserve">LIDERAZGO, GOBERNABILIDAD Y TRANSPARENCIA </v>
      </c>
      <c r="D75" s="61"/>
      <c r="E75" s="481"/>
      <c r="F75" s="471">
        <f t="shared" ref="F75:H76" si="5">F76</f>
        <v>0</v>
      </c>
      <c r="G75" s="471">
        <f t="shared" si="5"/>
        <v>432493401</v>
      </c>
      <c r="H75" s="471">
        <f t="shared" si="5"/>
        <v>432493401</v>
      </c>
      <c r="I75" s="1"/>
      <c r="J75" s="49"/>
      <c r="K75" s="1"/>
      <c r="L75" s="1"/>
    </row>
    <row r="76" spans="1:12" ht="24" customHeight="1" x14ac:dyDescent="0.2">
      <c r="A76" s="130"/>
      <c r="B76" s="312"/>
      <c r="C76" s="64">
        <f>'SGTO POAI -JUNIO-2021'!D123</f>
        <v>45</v>
      </c>
      <c r="D76" s="62" t="str">
        <f>'SGTO POAI -JUNIO-2021'!E123</f>
        <v>Gobierno territorial</v>
      </c>
      <c r="E76" s="472"/>
      <c r="F76" s="473">
        <f t="shared" si="5"/>
        <v>0</v>
      </c>
      <c r="G76" s="473">
        <f t="shared" si="5"/>
        <v>432493401</v>
      </c>
      <c r="H76" s="473">
        <f t="shared" si="5"/>
        <v>432493401</v>
      </c>
      <c r="I76" s="1"/>
      <c r="J76" s="49"/>
      <c r="K76" s="1"/>
      <c r="L76" s="1"/>
    </row>
    <row r="77" spans="1:12" s="37" customFormat="1" ht="55.5" customHeight="1" x14ac:dyDescent="0.2">
      <c r="A77" s="311"/>
      <c r="B77" s="69"/>
      <c r="C77" s="69"/>
      <c r="D77" s="69">
        <f>'SGTO POAI -JUNIO-2021'!F124</f>
        <v>4502</v>
      </c>
      <c r="E77" s="783" t="str">
        <f>'SGTO POAI -JUNIO-2021'!G124</f>
        <v>Fortalecimiento del buen gobierno para el respeto y garantía de los derechos humanos. "Quindío integrado y participativo"</v>
      </c>
      <c r="F77" s="831">
        <f>'SGTO POAI -JUNIO-2021'!W124</f>
        <v>0</v>
      </c>
      <c r="G77" s="831">
        <f>'SGTO POAI -JUNIO-2021'!AF124</f>
        <v>432493401</v>
      </c>
      <c r="H77" s="785">
        <f>F77+G77</f>
        <v>432493401</v>
      </c>
      <c r="J77" s="47"/>
    </row>
    <row r="78" spans="1:12" s="10" customFormat="1" x14ac:dyDescent="0.2">
      <c r="A78" s="49"/>
      <c r="B78" s="475"/>
      <c r="C78" s="475"/>
      <c r="D78" s="475"/>
      <c r="E78" s="493"/>
      <c r="F78" s="476"/>
      <c r="G78" s="42"/>
      <c r="H78" s="17"/>
      <c r="I78" s="17"/>
      <c r="J78" s="17"/>
      <c r="K78" s="17"/>
      <c r="L78" s="48"/>
    </row>
    <row r="79" spans="1:12" ht="24" customHeight="1" x14ac:dyDescent="0.2">
      <c r="A79" s="930" t="s">
        <v>5</v>
      </c>
      <c r="B79" s="930" t="s">
        <v>6</v>
      </c>
      <c r="C79" s="930" t="s">
        <v>7</v>
      </c>
      <c r="D79" s="930" t="s">
        <v>1392</v>
      </c>
      <c r="E79" s="921" t="s">
        <v>8</v>
      </c>
      <c r="F79" s="896" t="s">
        <v>1542</v>
      </c>
      <c r="G79" s="895" t="s">
        <v>1393</v>
      </c>
      <c r="H79" s="895" t="s">
        <v>1398</v>
      </c>
      <c r="I79" s="893" t="s">
        <v>15</v>
      </c>
      <c r="J79" s="828"/>
      <c r="K79" s="44"/>
      <c r="L79" s="1"/>
    </row>
    <row r="80" spans="1:12" ht="24" customHeight="1" x14ac:dyDescent="0.2">
      <c r="A80" s="930"/>
      <c r="B80" s="930"/>
      <c r="C80" s="930"/>
      <c r="D80" s="930"/>
      <c r="E80" s="921"/>
      <c r="F80" s="576" t="s">
        <v>1538</v>
      </c>
      <c r="G80" s="576" t="s">
        <v>1538</v>
      </c>
      <c r="H80" s="576" t="s">
        <v>1538</v>
      </c>
      <c r="I80" s="576" t="s">
        <v>1538</v>
      </c>
      <c r="J80" s="828"/>
      <c r="K80" s="44"/>
      <c r="L80" s="1"/>
    </row>
    <row r="81" spans="1:12" ht="24" customHeight="1" x14ac:dyDescent="0.2">
      <c r="A81" s="38" t="s">
        <v>375</v>
      </c>
      <c r="B81" s="39"/>
      <c r="C81" s="39"/>
      <c r="D81" s="39"/>
      <c r="E81" s="67"/>
      <c r="F81" s="36">
        <f>F82</f>
        <v>2980319083.0199995</v>
      </c>
      <c r="G81" s="36">
        <f t="shared" ref="G81:I82" si="6">G82</f>
        <v>875000000</v>
      </c>
      <c r="H81" s="36">
        <f t="shared" si="6"/>
        <v>263072575.30000001</v>
      </c>
      <c r="I81" s="36">
        <f t="shared" si="6"/>
        <v>4118391658.3199997</v>
      </c>
      <c r="J81" s="828"/>
      <c r="K81" s="49"/>
      <c r="L81" s="1"/>
    </row>
    <row r="82" spans="1:12" ht="24" customHeight="1" x14ac:dyDescent="0.2">
      <c r="A82" s="130"/>
      <c r="B82" s="116">
        <f>'SGTO POAI -JUNIO-2021'!B132</f>
        <v>1</v>
      </c>
      <c r="C82" s="61" t="str">
        <f>'SGTO POAI -JUNIO-2021'!D132</f>
        <v xml:space="preserve">INCLUSIÓN SOCIAL Y EQUIDAD </v>
      </c>
      <c r="D82" s="61"/>
      <c r="E82" s="481"/>
      <c r="F82" s="471">
        <f>F83</f>
        <v>2980319083.0199995</v>
      </c>
      <c r="G82" s="471">
        <f t="shared" si="6"/>
        <v>875000000</v>
      </c>
      <c r="H82" s="471">
        <f t="shared" si="6"/>
        <v>263072575.30000001</v>
      </c>
      <c r="I82" s="471">
        <f>I83</f>
        <v>4118391658.3199997</v>
      </c>
      <c r="J82" s="828"/>
      <c r="K82" s="49"/>
      <c r="L82" s="1"/>
    </row>
    <row r="83" spans="1:12" ht="20.25" customHeight="1" x14ac:dyDescent="0.2">
      <c r="A83" s="130"/>
      <c r="B83" s="312"/>
      <c r="C83" s="64">
        <f>'SGTO POAI -JUNIO-2021'!D133</f>
        <v>33</v>
      </c>
      <c r="D83" s="477" t="str">
        <f>'SGTO POAI -JUNIO-2021'!E133</f>
        <v>Cultura</v>
      </c>
      <c r="E83" s="478"/>
      <c r="F83" s="473">
        <f>SUM(F84:F85)</f>
        <v>2980319083.0199995</v>
      </c>
      <c r="G83" s="473">
        <f>SUM(G84:G85)</f>
        <v>875000000</v>
      </c>
      <c r="H83" s="473">
        <f>SUM(H84:H85)</f>
        <v>263072575.30000001</v>
      </c>
      <c r="I83" s="473">
        <f>SUM(I84:I85)</f>
        <v>4118391658.3199997</v>
      </c>
      <c r="J83" s="828"/>
      <c r="K83" s="49"/>
      <c r="L83" s="1"/>
    </row>
    <row r="84" spans="1:12" s="37" customFormat="1" ht="54.75" customHeight="1" x14ac:dyDescent="0.2">
      <c r="A84" s="311"/>
      <c r="B84" s="69"/>
      <c r="C84" s="69"/>
      <c r="D84" s="69">
        <f>'SGTO POAI -JUNIO-2021'!F134</f>
        <v>3301</v>
      </c>
      <c r="E84" s="783" t="str">
        <f>'SGTO POAI -JUNIO-2021'!G134</f>
        <v>Promoción y acceso efectivo a procesos culturales y artísticos. "Tú y yo somos cultura Quindiana"</v>
      </c>
      <c r="F84" s="785">
        <f>'SGTO POAI -JUNIO-2021'!V134</f>
        <v>2980319083.0199995</v>
      </c>
      <c r="G84" s="785">
        <f>'SGTO POAI -JUNIO-2021'!AF134</f>
        <v>742000000</v>
      </c>
      <c r="H84" s="785">
        <f>'SGTO POAI -JUNIO-2021'!AG134</f>
        <v>0</v>
      </c>
      <c r="I84" s="785">
        <f>F84+G84+H84</f>
        <v>3722319083.0199995</v>
      </c>
      <c r="J84" s="833"/>
      <c r="K84" s="47"/>
    </row>
    <row r="85" spans="1:12" s="37" customFormat="1" ht="60" customHeight="1" x14ac:dyDescent="0.2">
      <c r="A85" s="311"/>
      <c r="B85" s="69"/>
      <c r="C85" s="69"/>
      <c r="D85" s="69">
        <f>'SGTO POAI -JUNIO-2021'!F143</f>
        <v>3302</v>
      </c>
      <c r="E85" s="783" t="str">
        <f>'SGTO POAI -JUNIO-2021'!G143</f>
        <v>Gestión, protección y salvaguardia del patrimonio cultural colombiano. "Tú y yo protectores del patrimonio cultural"</v>
      </c>
      <c r="F85" s="831">
        <f>'SGTO POAI -JUNIO-2021'!V143</f>
        <v>0</v>
      </c>
      <c r="G85" s="831">
        <f>'SGTO POAI -JUNIO-2021'!AF143</f>
        <v>133000000</v>
      </c>
      <c r="H85" s="831">
        <f>'SGTO POAI -JUNIO-2021'!AG143</f>
        <v>263072575.30000001</v>
      </c>
      <c r="I85" s="785">
        <f>F85+G85+H85</f>
        <v>396072575.30000001</v>
      </c>
      <c r="J85" s="833"/>
      <c r="K85" s="47"/>
    </row>
    <row r="86" spans="1:12" s="10" customFormat="1" x14ac:dyDescent="0.2">
      <c r="A86" s="49"/>
      <c r="B86" s="475"/>
      <c r="C86" s="475"/>
      <c r="D86" s="475"/>
      <c r="E86" s="493"/>
      <c r="F86" s="476"/>
      <c r="G86" s="42"/>
      <c r="H86" s="17"/>
      <c r="I86" s="17"/>
      <c r="J86" s="17"/>
      <c r="K86" s="17"/>
      <c r="L86" s="48"/>
    </row>
    <row r="87" spans="1:12" ht="24" customHeight="1" x14ac:dyDescent="0.2">
      <c r="A87" s="930" t="s">
        <v>5</v>
      </c>
      <c r="B87" s="930" t="s">
        <v>6</v>
      </c>
      <c r="C87" s="930" t="s">
        <v>7</v>
      </c>
      <c r="D87" s="930" t="s">
        <v>1392</v>
      </c>
      <c r="E87" s="921" t="s">
        <v>8</v>
      </c>
      <c r="F87" s="896" t="s">
        <v>1393</v>
      </c>
      <c r="G87" s="895" t="s">
        <v>1399</v>
      </c>
      <c r="H87" s="895" t="s">
        <v>15</v>
      </c>
      <c r="J87" s="44"/>
      <c r="K87" s="1"/>
      <c r="L87" s="1"/>
    </row>
    <row r="88" spans="1:12" ht="24" customHeight="1" x14ac:dyDescent="0.2">
      <c r="A88" s="930"/>
      <c r="B88" s="930"/>
      <c r="C88" s="930"/>
      <c r="D88" s="930"/>
      <c r="E88" s="921"/>
      <c r="F88" s="576" t="s">
        <v>1538</v>
      </c>
      <c r="G88" s="576" t="s">
        <v>1538</v>
      </c>
      <c r="H88" s="576" t="s">
        <v>1538</v>
      </c>
      <c r="J88" s="44"/>
      <c r="K88" s="1"/>
      <c r="L88" s="1"/>
    </row>
    <row r="89" spans="1:12" ht="24" customHeight="1" x14ac:dyDescent="0.2">
      <c r="A89" s="38" t="s">
        <v>416</v>
      </c>
      <c r="B89" s="39"/>
      <c r="C89" s="39"/>
      <c r="D89" s="39"/>
      <c r="E89" s="67"/>
      <c r="F89" s="36">
        <f>F90</f>
        <v>2261356036</v>
      </c>
      <c r="G89" s="36">
        <f>G90</f>
        <v>1005231673.61</v>
      </c>
      <c r="H89" s="36">
        <f>H90</f>
        <v>3266587709.6100001</v>
      </c>
      <c r="I89" s="1"/>
      <c r="J89" s="49"/>
      <c r="K89" s="1"/>
      <c r="L89" s="1"/>
    </row>
    <row r="90" spans="1:12" ht="24" customHeight="1" x14ac:dyDescent="0.2">
      <c r="A90" s="130"/>
      <c r="B90" s="213">
        <f>'SGTO POAI -JUNIO-2021'!B148</f>
        <v>2</v>
      </c>
      <c r="C90" s="61" t="str">
        <f>'SGTO POAI -JUNIO-2021'!D148</f>
        <v>PRODUCTIVIDAD Y COMPETITIVIDAD</v>
      </c>
      <c r="D90" s="61"/>
      <c r="E90" s="481"/>
      <c r="F90" s="471">
        <f>F91+F93</f>
        <v>2261356036</v>
      </c>
      <c r="G90" s="471">
        <f>G91+G93</f>
        <v>1005231673.61</v>
      </c>
      <c r="H90" s="471">
        <f>H91+H93</f>
        <v>3266587709.6100001</v>
      </c>
      <c r="I90" s="1"/>
      <c r="J90" s="49"/>
      <c r="K90" s="1"/>
      <c r="L90" s="1"/>
    </row>
    <row r="91" spans="1:12" ht="24" customHeight="1" x14ac:dyDescent="0.2">
      <c r="A91" s="130"/>
      <c r="B91" s="312"/>
      <c r="C91" s="64">
        <f>'SGTO POAI -JUNIO-2021'!D149</f>
        <v>35</v>
      </c>
      <c r="D91" s="62" t="str">
        <f>'SGTO POAI -JUNIO-2021'!E149</f>
        <v>Comercio, Industria y Turismo</v>
      </c>
      <c r="E91" s="472"/>
      <c r="F91" s="473">
        <f>F92</f>
        <v>2023856036</v>
      </c>
      <c r="G91" s="473">
        <f>G92</f>
        <v>1005231673.61</v>
      </c>
      <c r="H91" s="473">
        <f>H92</f>
        <v>3029087709.6100001</v>
      </c>
      <c r="I91" s="1"/>
      <c r="J91" s="49"/>
      <c r="K91" s="1"/>
      <c r="L91" s="1"/>
    </row>
    <row r="92" spans="1:12" s="37" customFormat="1" ht="44.25" customHeight="1" x14ac:dyDescent="0.2">
      <c r="A92" s="311"/>
      <c r="B92" s="69"/>
      <c r="C92" s="69"/>
      <c r="D92" s="316">
        <f>'SGTO POAI -JUNIO-2021'!F150</f>
        <v>3502</v>
      </c>
      <c r="E92" s="783" t="str">
        <f>'SGTO POAI -JUNIO-2021'!G150</f>
        <v xml:space="preserve">Productividad y competitividad de las empresas colombianas. "Tú y yo con empresas competitivas" </v>
      </c>
      <c r="F92" s="785">
        <f>'SGTO POAI -JUNIO-2021'!AF150</f>
        <v>2023856036</v>
      </c>
      <c r="G92" s="785">
        <f>'SGTO POAI -JUNIO-2021'!AG150</f>
        <v>1005231673.61</v>
      </c>
      <c r="H92" s="785">
        <f>F92+G92</f>
        <v>3029087709.6100001</v>
      </c>
      <c r="J92" s="47"/>
    </row>
    <row r="93" spans="1:12" s="37" customFormat="1" ht="24" customHeight="1" x14ac:dyDescent="0.2">
      <c r="A93" s="311"/>
      <c r="B93" s="312"/>
      <c r="C93" s="64">
        <f>'SGTO POAI -JUNIO-2021'!D159</f>
        <v>36</v>
      </c>
      <c r="D93" s="477" t="str">
        <f>'SGTO POAI -JUNIO-2021'!E159</f>
        <v>Trabajo</v>
      </c>
      <c r="E93" s="478"/>
      <c r="F93" s="498">
        <f>F94</f>
        <v>237500000</v>
      </c>
      <c r="G93" s="498">
        <f>G94</f>
        <v>0</v>
      </c>
      <c r="H93" s="498">
        <f>H94</f>
        <v>237500000</v>
      </c>
      <c r="J93" s="47"/>
    </row>
    <row r="94" spans="1:12" s="37" customFormat="1" ht="45.75" customHeight="1" x14ac:dyDescent="0.2">
      <c r="A94" s="311"/>
      <c r="B94" s="69"/>
      <c r="C94" s="69"/>
      <c r="D94" s="316">
        <f>'SGTO POAI -JUNIO-2021'!F160</f>
        <v>3602</v>
      </c>
      <c r="E94" s="783" t="str">
        <f>'SGTO POAI -JUNIO-2021'!G160</f>
        <v>Generación y formalización del empleo. "Tú y yo con empleo de calidad"</v>
      </c>
      <c r="F94" s="785">
        <f>'SGTO POAI -JUNIO-2021'!AF160</f>
        <v>237500000</v>
      </c>
      <c r="G94" s="785">
        <f>'SGTO POAI -JUNIO-2021'!AG160</f>
        <v>0</v>
      </c>
      <c r="H94" s="785">
        <f>F94+G94</f>
        <v>237500000</v>
      </c>
      <c r="J94" s="47"/>
    </row>
    <row r="95" spans="1:12" s="10" customFormat="1" x14ac:dyDescent="0.2">
      <c r="A95" s="49"/>
      <c r="B95" s="475"/>
      <c r="C95" s="475"/>
      <c r="D95" s="475"/>
      <c r="E95" s="493"/>
      <c r="F95" s="476"/>
      <c r="G95" s="42"/>
      <c r="H95" s="17"/>
      <c r="I95" s="17"/>
      <c r="J95" s="17"/>
      <c r="K95" s="17"/>
      <c r="L95" s="48"/>
    </row>
    <row r="96" spans="1:12" s="10" customFormat="1" ht="24" customHeight="1" x14ac:dyDescent="0.2">
      <c r="A96" s="930" t="s">
        <v>5</v>
      </c>
      <c r="B96" s="930" t="s">
        <v>6</v>
      </c>
      <c r="C96" s="930" t="s">
        <v>7</v>
      </c>
      <c r="D96" s="930" t="s">
        <v>1392</v>
      </c>
      <c r="E96" s="921" t="s">
        <v>8</v>
      </c>
      <c r="F96" s="887" t="s">
        <v>1393</v>
      </c>
      <c r="G96" s="895" t="s">
        <v>1569</v>
      </c>
      <c r="H96" s="895" t="s">
        <v>15</v>
      </c>
    </row>
    <row r="97" spans="1:12" s="10" customFormat="1" ht="24" customHeight="1" x14ac:dyDescent="0.2">
      <c r="A97" s="930"/>
      <c r="B97" s="930"/>
      <c r="C97" s="930"/>
      <c r="D97" s="930"/>
      <c r="E97" s="921"/>
      <c r="F97" s="576" t="s">
        <v>1538</v>
      </c>
      <c r="G97" s="784" t="s">
        <v>1538</v>
      </c>
      <c r="H97" s="784" t="s">
        <v>1538</v>
      </c>
    </row>
    <row r="98" spans="1:12" ht="24" customHeight="1" x14ac:dyDescent="0.2">
      <c r="A98" s="38" t="s">
        <v>468</v>
      </c>
      <c r="B98" s="39"/>
      <c r="C98" s="39"/>
      <c r="D98" s="39"/>
      <c r="E98" s="67"/>
      <c r="F98" s="40">
        <f>F99+F110</f>
        <v>3198683915.9700003</v>
      </c>
      <c r="G98" s="40">
        <f t="shared" ref="G98:H98" si="7">G99+G110</f>
        <v>655606585.65999997</v>
      </c>
      <c r="H98" s="40">
        <f t="shared" si="7"/>
        <v>3854290501.6300001</v>
      </c>
      <c r="I98" s="1"/>
      <c r="J98" s="1"/>
      <c r="K98" s="1"/>
      <c r="L98" s="1"/>
    </row>
    <row r="99" spans="1:12" ht="24" customHeight="1" x14ac:dyDescent="0.2">
      <c r="A99" s="130"/>
      <c r="B99" s="116">
        <f>'SGTO POAI -JUNIO-2021'!B167</f>
        <v>2</v>
      </c>
      <c r="C99" s="61" t="str">
        <f>'SGTO POAI -JUNIO-2021'!D167</f>
        <v>PRODUCTIVIDAD Y COMPETITIVIDAD</v>
      </c>
      <c r="D99" s="61"/>
      <c r="E99" s="481"/>
      <c r="F99" s="471">
        <f>F100+F108</f>
        <v>1561052526.97</v>
      </c>
      <c r="G99" s="471">
        <f t="shared" ref="G99:H99" si="8">G100+G108</f>
        <v>655606585.65999997</v>
      </c>
      <c r="H99" s="471">
        <f t="shared" si="8"/>
        <v>2216659112.6300001</v>
      </c>
      <c r="I99" s="1"/>
      <c r="J99" s="1"/>
      <c r="K99" s="1"/>
      <c r="L99" s="1"/>
    </row>
    <row r="100" spans="1:12" ht="24" customHeight="1" x14ac:dyDescent="0.2">
      <c r="A100" s="130"/>
      <c r="C100" s="64">
        <f>'SGTO POAI -JUNIO-2021'!D168</f>
        <v>17</v>
      </c>
      <c r="D100" s="62" t="str">
        <f>'SGTO POAI -JUNIO-2021'!E168</f>
        <v>Agricultura y desarrollo rural</v>
      </c>
      <c r="E100" s="472"/>
      <c r="F100" s="473">
        <f>SUM(F101:F107)</f>
        <v>1525052526.97</v>
      </c>
      <c r="G100" s="473">
        <f t="shared" ref="G100:H100" si="9">SUM(G101:G107)</f>
        <v>655606585.65999997</v>
      </c>
      <c r="H100" s="473">
        <f t="shared" si="9"/>
        <v>2180659112.6300001</v>
      </c>
      <c r="I100" s="1"/>
      <c r="J100" s="1"/>
      <c r="K100" s="1"/>
      <c r="L100" s="1"/>
    </row>
    <row r="101" spans="1:12" ht="52.5" customHeight="1" x14ac:dyDescent="0.2">
      <c r="A101" s="130"/>
      <c r="B101" s="781"/>
      <c r="C101" s="781"/>
      <c r="D101" s="69">
        <f>'SGTO POAI -JUNIO-2021'!F169</f>
        <v>1702</v>
      </c>
      <c r="E101" s="783" t="str">
        <f>'SGTO POAI -JUNIO-2021'!G169</f>
        <v>Inclusión productiva de pequeños productores rurales. "Tú y yo con oportunidades para el pequeño campesino"</v>
      </c>
      <c r="F101" s="785">
        <f>'SGTO POAI -JUNIO-2021'!AF169</f>
        <v>1169052526.97</v>
      </c>
      <c r="G101" s="785">
        <f>'SGTO POAI -JUNIO-2021'!AI169</f>
        <v>405606585.65999997</v>
      </c>
      <c r="H101" s="785">
        <f t="shared" ref="H101:H107" si="10">F101+G101</f>
        <v>1574659112.6300001</v>
      </c>
      <c r="I101" s="1"/>
      <c r="J101" s="1"/>
      <c r="K101" s="1"/>
      <c r="L101" s="1"/>
    </row>
    <row r="102" spans="1:12" ht="62.25" customHeight="1" x14ac:dyDescent="0.2">
      <c r="A102" s="130"/>
      <c r="B102" s="781"/>
      <c r="C102" s="781"/>
      <c r="D102" s="69">
        <f>'SGTO POAI -JUNIO-2021'!F181</f>
        <v>1703</v>
      </c>
      <c r="E102" s="783" t="str">
        <f>'SGTO POAI -JUNIO-2021'!G181</f>
        <v>Servicios financieros y gestión del riesgo para las actividades agropecuarias y rurales. "Tú y yo con un campo protegido"</v>
      </c>
      <c r="F102" s="785">
        <f>'SGTO POAI -JUNIO-2021'!AF181</f>
        <v>75000000</v>
      </c>
      <c r="G102" s="785">
        <f>'SGTO POAI -JUNIO-2021'!AI181</f>
        <v>250000000</v>
      </c>
      <c r="H102" s="785">
        <f t="shared" si="10"/>
        <v>325000000</v>
      </c>
      <c r="I102" s="1"/>
      <c r="J102" s="1"/>
      <c r="K102" s="1"/>
      <c r="L102" s="1"/>
    </row>
    <row r="103" spans="1:12" ht="49.5" customHeight="1" x14ac:dyDescent="0.2">
      <c r="A103" s="130"/>
      <c r="B103" s="781"/>
      <c r="C103" s="781"/>
      <c r="D103" s="69">
        <f>'SGTO POAI -JUNIO-2021'!F183</f>
        <v>1704</v>
      </c>
      <c r="E103" s="783" t="str">
        <f>'SGTO POAI -JUNIO-2021'!G183</f>
        <v>Ordenamiento social y uso productivo del territorio rural. "Tú y yo con un campo planificado"</v>
      </c>
      <c r="F103" s="785">
        <f>'SGTO POAI -JUNIO-2021'!AF183</f>
        <v>70000000</v>
      </c>
      <c r="G103" s="785"/>
      <c r="H103" s="785">
        <f t="shared" si="10"/>
        <v>70000000</v>
      </c>
      <c r="I103" s="1"/>
      <c r="J103" s="1"/>
      <c r="K103" s="1"/>
      <c r="L103" s="1"/>
    </row>
    <row r="104" spans="1:12" ht="39.75" customHeight="1" x14ac:dyDescent="0.2">
      <c r="A104" s="130"/>
      <c r="B104" s="781"/>
      <c r="C104" s="781"/>
      <c r="D104" s="69">
        <f>'SGTO POAI -JUNIO-2021'!F186</f>
        <v>1706</v>
      </c>
      <c r="E104" s="783" t="str">
        <f>'SGTO POAI -JUNIO-2021'!G186</f>
        <v>Aprovechamiento de mercados externos. "Tú y yo a los mercados internacionales"</v>
      </c>
      <c r="F104" s="785">
        <f>'SGTO POAI -JUNIO-2021'!AF186</f>
        <v>20000000</v>
      </c>
      <c r="G104" s="785"/>
      <c r="H104" s="785">
        <f t="shared" si="10"/>
        <v>20000000</v>
      </c>
      <c r="I104" s="1"/>
      <c r="J104" s="1"/>
      <c r="K104" s="1"/>
      <c r="L104" s="1"/>
    </row>
    <row r="105" spans="1:12" ht="57" customHeight="1" x14ac:dyDescent="0.2">
      <c r="A105" s="130"/>
      <c r="B105" s="781"/>
      <c r="C105" s="781"/>
      <c r="D105" s="69">
        <f>'SGTO POAI -JUNIO-2021'!F188</f>
        <v>1707</v>
      </c>
      <c r="E105" s="783" t="str">
        <f>'SGTO POAI -JUNIO-2021'!G188</f>
        <v>Sanidad agropecuaria e inocuidad agroalimentaria. "Tú y yo con un agro saludable"</v>
      </c>
      <c r="F105" s="785">
        <f>'SGTO POAI -JUNIO-2021'!AF188</f>
        <v>43000000</v>
      </c>
      <c r="G105" s="785"/>
      <c r="H105" s="785">
        <f t="shared" si="10"/>
        <v>43000000</v>
      </c>
      <c r="I105" s="1"/>
      <c r="J105" s="1"/>
      <c r="K105" s="1"/>
      <c r="L105" s="1"/>
    </row>
    <row r="106" spans="1:12" ht="57" customHeight="1" x14ac:dyDescent="0.2">
      <c r="A106" s="130"/>
      <c r="B106" s="781"/>
      <c r="C106" s="781"/>
      <c r="D106" s="69">
        <f>'SGTO POAI -JUNIO-2021'!F190</f>
        <v>1708</v>
      </c>
      <c r="E106" s="783" t="str">
        <f>'SGTO POAI -JUNIO-2021'!G190</f>
        <v>Ciencia, tecnología e innovación agropecuaria. "Tú y yo con un agro interconectado"</v>
      </c>
      <c r="F106" s="785">
        <f>'SGTO POAI -JUNIO-2021'!AF190</f>
        <v>40000000</v>
      </c>
      <c r="G106" s="785"/>
      <c r="H106" s="785">
        <f t="shared" si="10"/>
        <v>40000000</v>
      </c>
      <c r="I106" s="1"/>
      <c r="J106" s="1"/>
      <c r="K106" s="1"/>
      <c r="L106" s="1"/>
    </row>
    <row r="107" spans="1:12" ht="39.75" customHeight="1" x14ac:dyDescent="0.2">
      <c r="A107" s="130"/>
      <c r="B107" s="781"/>
      <c r="C107" s="781"/>
      <c r="D107" s="69">
        <f>'SGTO POAI -JUNIO-2021'!F193</f>
        <v>1709</v>
      </c>
      <c r="E107" s="783" t="str">
        <f>'SGTO POAI -JUNIO-2021'!G193</f>
        <v>Infraestructura productiva y comercialización. "Tú y yo con agro competitivo"</v>
      </c>
      <c r="F107" s="785">
        <f>'SGTO POAI -JUNIO-2021'!AF193</f>
        <v>108000000</v>
      </c>
      <c r="G107" s="785"/>
      <c r="H107" s="785">
        <f t="shared" si="10"/>
        <v>108000000</v>
      </c>
      <c r="I107" s="1"/>
      <c r="J107" s="1"/>
      <c r="K107" s="1"/>
      <c r="L107" s="1"/>
    </row>
    <row r="108" spans="1:12" ht="24" customHeight="1" x14ac:dyDescent="0.2">
      <c r="A108" s="130"/>
      <c r="B108" s="74"/>
      <c r="C108" s="64">
        <f>'SGTO POAI -JUNIO-2021'!D197</f>
        <v>35</v>
      </c>
      <c r="D108" s="62" t="str">
        <f>'SGTO POAI -JUNIO-2021'!E197</f>
        <v>Comercio, Industria y Turismo</v>
      </c>
      <c r="E108" s="472"/>
      <c r="F108" s="473">
        <f>F109</f>
        <v>36000000</v>
      </c>
      <c r="G108" s="473">
        <f t="shared" ref="G108:H108" si="11">G109</f>
        <v>0</v>
      </c>
      <c r="H108" s="473">
        <f t="shared" si="11"/>
        <v>36000000</v>
      </c>
      <c r="I108" s="1"/>
      <c r="J108" s="1"/>
      <c r="K108" s="1"/>
      <c r="L108" s="1"/>
    </row>
    <row r="109" spans="1:12" ht="62.25" customHeight="1" x14ac:dyDescent="0.2">
      <c r="A109" s="130"/>
      <c r="B109" s="781"/>
      <c r="C109" s="781"/>
      <c r="D109" s="69">
        <f>'SGTO POAI -JUNIO-2021'!F198</f>
        <v>3502</v>
      </c>
      <c r="E109" s="783" t="str">
        <f>'SGTO POAI -JUNIO-2021'!G198</f>
        <v xml:space="preserve">Productividad y competitividad de las empresas colombianas. "Tú y yo con empresas competitivas" </v>
      </c>
      <c r="F109" s="785">
        <f>'SGTO POAI -JUNIO-2021'!AF198</f>
        <v>36000000</v>
      </c>
      <c r="G109" s="785"/>
      <c r="H109" s="785">
        <f>F109+G109</f>
        <v>36000000</v>
      </c>
      <c r="I109" s="1"/>
      <c r="J109" s="1"/>
      <c r="K109" s="1"/>
      <c r="L109" s="1"/>
    </row>
    <row r="110" spans="1:12" ht="24" customHeight="1" x14ac:dyDescent="0.2">
      <c r="A110" s="130"/>
      <c r="B110" s="116">
        <f>'SGTO POAI -JUNIO-2021'!B201</f>
        <v>3</v>
      </c>
      <c r="C110" s="61" t="str">
        <f>'SGTO POAI -JUNIO-2021'!D201</f>
        <v xml:space="preserve">TERRITORIO, AMBIENTE Y DESARROLLO SOSTENIBLE </v>
      </c>
      <c r="D110" s="61"/>
      <c r="E110" s="481"/>
      <c r="F110" s="471">
        <f>F111</f>
        <v>1637631389</v>
      </c>
      <c r="G110" s="471">
        <f t="shared" ref="G110:H110" si="12">G111</f>
        <v>0</v>
      </c>
      <c r="H110" s="471">
        <f t="shared" si="12"/>
        <v>1637631389</v>
      </c>
      <c r="I110" s="1"/>
      <c r="J110" s="1"/>
      <c r="K110" s="1"/>
      <c r="L110" s="1"/>
    </row>
    <row r="111" spans="1:12" ht="24" customHeight="1" x14ac:dyDescent="0.2">
      <c r="A111" s="130"/>
      <c r="B111" s="312"/>
      <c r="C111" s="64">
        <f>'SGTO POAI -JUNIO-2021'!D202</f>
        <v>32</v>
      </c>
      <c r="D111" s="62" t="str">
        <f>'SGTO POAI -JUNIO-2021'!E202</f>
        <v>Ambiente y desarrollo sostenible</v>
      </c>
      <c r="E111" s="472"/>
      <c r="F111" s="473">
        <f>SUM(F112:F116)</f>
        <v>1637631389</v>
      </c>
      <c r="G111" s="473">
        <f t="shared" ref="G111" si="13">SUM(G112:G116)</f>
        <v>0</v>
      </c>
      <c r="H111" s="473">
        <f t="shared" ref="H111" si="14">SUM(H112:H116)</f>
        <v>1637631389</v>
      </c>
      <c r="I111" s="1"/>
      <c r="J111" s="1"/>
      <c r="K111" s="1"/>
      <c r="L111" s="1"/>
    </row>
    <row r="112" spans="1:12" s="37" customFormat="1" ht="57" customHeight="1" x14ac:dyDescent="0.2">
      <c r="A112" s="311"/>
      <c r="B112" s="69"/>
      <c r="C112" s="69"/>
      <c r="D112" s="69" t="str">
        <f>'SGTO POAI -JUNIO-2021'!F203</f>
        <v>3201</v>
      </c>
      <c r="E112" s="783" t="str">
        <f>'SGTO POAI -JUNIO-2021'!G203</f>
        <v>Fortalecimiento del desempeño ambiental de los sectores productivos. "Tú y yo guardianes de la biodiversidad.</v>
      </c>
      <c r="F112" s="785">
        <f>'SGTO POAI -JUNIO-2021'!AF203</f>
        <v>82000000</v>
      </c>
      <c r="G112" s="785"/>
      <c r="H112" s="785">
        <f>F112+G112</f>
        <v>82000000</v>
      </c>
    </row>
    <row r="113" spans="1:21" s="37" customFormat="1" ht="60.75" customHeight="1" x14ac:dyDescent="0.2">
      <c r="A113" s="311"/>
      <c r="B113" s="69"/>
      <c r="C113" s="69"/>
      <c r="D113" s="69">
        <f>'SGTO POAI -JUNIO-2021'!F206</f>
        <v>3202</v>
      </c>
      <c r="E113" s="783" t="str">
        <f>'SGTO POAI -JUNIO-2021'!G206</f>
        <v>Conservación de la biodiversidad y sus servicios ecosistémicos. "Tú y yo en territorios biodiversos"</v>
      </c>
      <c r="F113" s="785">
        <f>'SGTO POAI -JUNIO-2021'!AF206</f>
        <v>1235631389</v>
      </c>
      <c r="G113" s="785"/>
      <c r="H113" s="785">
        <f>F113+G113</f>
        <v>1235631389</v>
      </c>
    </row>
    <row r="114" spans="1:21" s="37" customFormat="1" ht="59.25" customHeight="1" x14ac:dyDescent="0.2">
      <c r="A114" s="311"/>
      <c r="B114" s="69"/>
      <c r="C114" s="69"/>
      <c r="D114" s="69" t="str">
        <f>'SGTO POAI -JUNIO-2021'!F213</f>
        <v>3204</v>
      </c>
      <c r="E114" s="783" t="str">
        <f>'SGTO POAI -JUNIO-2021'!G213</f>
        <v>Gestión de la información y en conocimiento ambiental. "Tú y yo conscientes con la naturaleza"</v>
      </c>
      <c r="F114" s="785">
        <f>'SGTO POAI -JUNIO-2021'!AF213</f>
        <v>120000000</v>
      </c>
      <c r="G114" s="785"/>
      <c r="H114" s="785">
        <f>F114+G114</f>
        <v>120000000</v>
      </c>
    </row>
    <row r="115" spans="1:21" s="37" customFormat="1" ht="51" customHeight="1" x14ac:dyDescent="0.2">
      <c r="A115" s="311"/>
      <c r="B115" s="69"/>
      <c r="C115" s="69"/>
      <c r="D115" s="69">
        <f>'SGTO POAI -JUNIO-2021'!F215</f>
        <v>3205</v>
      </c>
      <c r="E115" s="783" t="str">
        <f>'SGTO POAI -JUNIO-2021'!G215</f>
        <v>Ordenamiento Ambiental Territorial. "Tú y yo planificamos con sentido ambiental"</v>
      </c>
      <c r="F115" s="785">
        <f>'SGTO POAI -JUNIO-2021'!AF215</f>
        <v>82000000</v>
      </c>
      <c r="G115" s="785"/>
      <c r="H115" s="785">
        <f>F115+G115</f>
        <v>82000000</v>
      </c>
    </row>
    <row r="116" spans="1:21" s="37" customFormat="1" ht="51.75" customHeight="1" x14ac:dyDescent="0.2">
      <c r="A116" s="311"/>
      <c r="B116" s="69"/>
      <c r="C116" s="69"/>
      <c r="D116" s="69" t="str">
        <f>'SGTO POAI -JUNIO-2021'!F219</f>
        <v>3206</v>
      </c>
      <c r="E116" s="783" t="str">
        <f>'SGTO POAI -JUNIO-2021'!G219</f>
        <v>Gestión del cambio climático para un desarrollo bajo en carbono y resiliente al clima. "Tú y yo preparados para el cambio climático"</v>
      </c>
      <c r="F116" s="785">
        <f>'SGTO POAI -JUNIO-2021'!AF219</f>
        <v>118000000</v>
      </c>
      <c r="G116" s="785"/>
      <c r="H116" s="785">
        <f>F116+G116</f>
        <v>118000000</v>
      </c>
    </row>
    <row r="117" spans="1:21" s="10" customFormat="1" x14ac:dyDescent="0.2">
      <c r="A117" s="49"/>
      <c r="B117" s="475"/>
      <c r="C117" s="475"/>
      <c r="D117" s="475"/>
      <c r="E117" s="493"/>
      <c r="F117" s="476"/>
      <c r="G117" s="42"/>
      <c r="H117" s="17"/>
      <c r="I117" s="17"/>
      <c r="J117" s="17"/>
      <c r="K117" s="17"/>
      <c r="L117" s="48"/>
    </row>
    <row r="118" spans="1:21" s="10" customFormat="1" ht="24" customHeight="1" x14ac:dyDescent="0.2">
      <c r="A118" s="998" t="s">
        <v>5</v>
      </c>
      <c r="B118" s="930" t="s">
        <v>6</v>
      </c>
      <c r="C118" s="930" t="s">
        <v>7</v>
      </c>
      <c r="D118" s="930" t="s">
        <v>1392</v>
      </c>
      <c r="E118" s="993" t="s">
        <v>8</v>
      </c>
      <c r="F118" s="891" t="s">
        <v>1393</v>
      </c>
      <c r="G118" s="17"/>
      <c r="H118" s="17"/>
      <c r="I118" s="17"/>
      <c r="J118" s="48"/>
    </row>
    <row r="119" spans="1:21" s="10" customFormat="1" ht="24" customHeight="1" x14ac:dyDescent="0.2">
      <c r="A119" s="999"/>
      <c r="B119" s="930"/>
      <c r="C119" s="930"/>
      <c r="D119" s="930"/>
      <c r="E119" s="993"/>
      <c r="F119" s="891" t="s">
        <v>1538</v>
      </c>
      <c r="G119" s="17"/>
      <c r="H119" s="17"/>
      <c r="I119" s="17"/>
      <c r="J119" s="48"/>
    </row>
    <row r="120" spans="1:21" ht="24" customHeight="1" x14ac:dyDescent="0.2">
      <c r="A120" s="34" t="s">
        <v>653</v>
      </c>
      <c r="B120" s="39"/>
      <c r="C120" s="39"/>
      <c r="D120" s="39"/>
      <c r="E120" s="899"/>
      <c r="F120" s="902">
        <f>F121</f>
        <v>1177000000</v>
      </c>
      <c r="G120" s="3"/>
      <c r="J120" s="44"/>
      <c r="K120" s="1"/>
      <c r="L120" s="1"/>
    </row>
    <row r="121" spans="1:21" ht="24" customHeight="1" x14ac:dyDescent="0.2">
      <c r="A121" s="130"/>
      <c r="B121" s="116">
        <f>'SGTO POAI -JUNIO-2021'!B225</f>
        <v>4</v>
      </c>
      <c r="C121" s="61" t="str">
        <f>'SGTO POAI -JUNIO-2021'!D225</f>
        <v xml:space="preserve">LIDERAZGO, GOBERNABILIDAD Y TRANSPARENCIA </v>
      </c>
      <c r="D121" s="61"/>
      <c r="E121" s="900"/>
      <c r="F121" s="903">
        <f>F122</f>
        <v>1177000000</v>
      </c>
      <c r="G121" s="3"/>
      <c r="J121" s="44"/>
      <c r="K121" s="1"/>
      <c r="L121" s="1"/>
    </row>
    <row r="122" spans="1:21" ht="24" customHeight="1" x14ac:dyDescent="0.2">
      <c r="A122" s="130"/>
      <c r="B122" s="312"/>
      <c r="C122" s="64">
        <f>'SGTO POAI -JUNIO-2021'!D226</f>
        <v>45</v>
      </c>
      <c r="D122" s="62" t="str">
        <f>'SGTO POAI -JUNIO-2021'!E226</f>
        <v>Gobierno territorial</v>
      </c>
      <c r="E122" s="492"/>
      <c r="F122" s="904">
        <f>SUM(F123:F124)</f>
        <v>1177000000</v>
      </c>
      <c r="G122" s="3"/>
      <c r="J122" s="44"/>
      <c r="K122" s="1"/>
      <c r="L122" s="1"/>
    </row>
    <row r="123" spans="1:21" s="812" customFormat="1" ht="79.5" customHeight="1" x14ac:dyDescent="0.25">
      <c r="A123" s="831"/>
      <c r="B123" s="69"/>
      <c r="C123" s="69"/>
      <c r="D123" s="69">
        <f>'SGTO POAI -JUNIO-2021'!F227</f>
        <v>4599</v>
      </c>
      <c r="E123" s="901" t="str">
        <f>'SGTO POAI -JUNIO-2021'!G227</f>
        <v>Fortalecimiento a la gestión y dirección de la administración pública territorial "Quindío con una administración al servicio de la ciudadanía"</v>
      </c>
      <c r="F123" s="905">
        <f>'SGTO POAI -JUNIO-2021'!AF227</f>
        <v>1032000000</v>
      </c>
      <c r="J123" s="834"/>
    </row>
    <row r="124" spans="1:21" s="37" customFormat="1" ht="66" customHeight="1" x14ac:dyDescent="0.2">
      <c r="A124" s="311"/>
      <c r="B124" s="69"/>
      <c r="C124" s="69"/>
      <c r="D124" s="69">
        <f>'SGTO POAI -JUNIO-2021'!F230</f>
        <v>4502</v>
      </c>
      <c r="E124" s="901" t="str">
        <f>'SGTO POAI -JUNIO-2021'!G230</f>
        <v>Fortalecimiento del buen gobierno para el respeto y garantía de los derechos humanos. "Quindío integrado y participativo"</v>
      </c>
      <c r="F124" s="906">
        <f>'SGTO POAI -JUNIO-2021'!AF230</f>
        <v>145000000</v>
      </c>
      <c r="J124" s="47"/>
      <c r="K124" s="350"/>
      <c r="L124" s="350"/>
      <c r="M124" s="350"/>
      <c r="N124" s="350"/>
      <c r="O124" s="350"/>
      <c r="P124" s="350"/>
      <c r="Q124" s="350"/>
    </row>
    <row r="125" spans="1:21" s="10" customFormat="1" x14ac:dyDescent="0.2">
      <c r="A125" s="49"/>
      <c r="B125" s="475"/>
      <c r="C125" s="475"/>
      <c r="D125" s="475"/>
      <c r="E125" s="493"/>
      <c r="F125" s="476"/>
      <c r="G125" s="42"/>
      <c r="H125" s="17"/>
      <c r="I125" s="17"/>
      <c r="J125" s="17"/>
      <c r="K125" s="17"/>
      <c r="L125" s="48"/>
      <c r="M125" s="351"/>
      <c r="N125" s="351"/>
      <c r="O125" s="351"/>
      <c r="P125" s="351"/>
      <c r="Q125" s="351"/>
      <c r="R125" s="351"/>
      <c r="S125" s="351"/>
    </row>
    <row r="126" spans="1:21" s="10" customFormat="1" ht="24" customHeight="1" x14ac:dyDescent="0.2">
      <c r="A126" s="930" t="s">
        <v>5</v>
      </c>
      <c r="B126" s="930" t="s">
        <v>6</v>
      </c>
      <c r="C126" s="930" t="s">
        <v>7</v>
      </c>
      <c r="D126" s="930" t="s">
        <v>1392</v>
      </c>
      <c r="E126" s="921" t="s">
        <v>8</v>
      </c>
      <c r="F126" s="896" t="s">
        <v>1400</v>
      </c>
      <c r="G126" s="893" t="s">
        <v>1401</v>
      </c>
      <c r="H126" s="893" t="s">
        <v>1402</v>
      </c>
      <c r="I126" s="893" t="s">
        <v>1403</v>
      </c>
      <c r="J126" s="891" t="s">
        <v>1393</v>
      </c>
      <c r="K126" s="891" t="s">
        <v>1544</v>
      </c>
      <c r="L126" s="891" t="s">
        <v>1573</v>
      </c>
      <c r="M126" s="891" t="s">
        <v>15</v>
      </c>
      <c r="N126" s="907"/>
      <c r="O126" s="907"/>
      <c r="P126" s="907"/>
      <c r="Q126" s="908"/>
      <c r="R126" s="352"/>
      <c r="S126" s="352"/>
      <c r="T126" s="352"/>
      <c r="U126" s="352"/>
    </row>
    <row r="127" spans="1:21" s="10" customFormat="1" ht="24" customHeight="1" x14ac:dyDescent="0.2">
      <c r="A127" s="930"/>
      <c r="B127" s="930"/>
      <c r="C127" s="930"/>
      <c r="D127" s="930"/>
      <c r="E127" s="921"/>
      <c r="F127" s="576" t="s">
        <v>1538</v>
      </c>
      <c r="G127" s="576" t="s">
        <v>1538</v>
      </c>
      <c r="H127" s="576" t="s">
        <v>1538</v>
      </c>
      <c r="I127" s="576" t="s">
        <v>1538</v>
      </c>
      <c r="J127" s="576" t="s">
        <v>1538</v>
      </c>
      <c r="K127" s="576" t="s">
        <v>1538</v>
      </c>
      <c r="L127" s="784" t="s">
        <v>1538</v>
      </c>
      <c r="M127" s="909" t="s">
        <v>1538</v>
      </c>
      <c r="N127" s="908"/>
      <c r="O127" s="908"/>
      <c r="P127" s="908"/>
      <c r="Q127" s="908"/>
      <c r="R127" s="352"/>
    </row>
    <row r="128" spans="1:21" ht="24" customHeight="1" x14ac:dyDescent="0.2">
      <c r="A128" s="38" t="s">
        <v>672</v>
      </c>
      <c r="B128" s="39"/>
      <c r="C128" s="39"/>
      <c r="D128" s="39"/>
      <c r="E128" s="67"/>
      <c r="F128" s="36">
        <f t="shared" ref="F128:M128" si="15">F129+F133</f>
        <v>1573920278.6600001</v>
      </c>
      <c r="G128" s="36">
        <f t="shared" si="15"/>
        <v>143579499577.42001</v>
      </c>
      <c r="H128" s="36">
        <f t="shared" si="15"/>
        <v>25145000000</v>
      </c>
      <c r="I128" s="36">
        <f t="shared" si="15"/>
        <v>11590214233.049999</v>
      </c>
      <c r="J128" s="53">
        <f t="shared" si="15"/>
        <v>7018073241.2200003</v>
      </c>
      <c r="K128" s="578">
        <f t="shared" ref="K128" si="16">K129+K133</f>
        <v>1792032472.8499999</v>
      </c>
      <c r="L128" s="578">
        <f t="shared" ref="L128" si="17">L129+L133</f>
        <v>62.1</v>
      </c>
      <c r="M128" s="36">
        <f t="shared" si="15"/>
        <v>190698739865.30002</v>
      </c>
    </row>
    <row r="129" spans="1:13" ht="24" customHeight="1" x14ac:dyDescent="0.2">
      <c r="A129" s="130"/>
      <c r="B129" s="116">
        <f>'SGTO POAI -JUNIO-2021'!B234</f>
        <v>1</v>
      </c>
      <c r="C129" s="61" t="str">
        <f>'SGTO POAI -JUNIO-2021'!D234</f>
        <v xml:space="preserve">INCLUSIÓN SOCIAL Y EQUIDAD </v>
      </c>
      <c r="D129" s="61" t="s">
        <v>148</v>
      </c>
      <c r="E129" s="481"/>
      <c r="F129" s="471">
        <f t="shared" ref="F129:M129" si="18">F130</f>
        <v>1573920278.6600001</v>
      </c>
      <c r="G129" s="471">
        <f t="shared" si="18"/>
        <v>143579499577.42001</v>
      </c>
      <c r="H129" s="471">
        <f t="shared" si="18"/>
        <v>25145000000</v>
      </c>
      <c r="I129" s="471">
        <f t="shared" si="18"/>
        <v>11590214233.049999</v>
      </c>
      <c r="J129" s="471">
        <f t="shared" si="18"/>
        <v>7010573241.2200003</v>
      </c>
      <c r="K129" s="471">
        <f t="shared" si="18"/>
        <v>1792032472.8499999</v>
      </c>
      <c r="L129" s="471">
        <f t="shared" si="18"/>
        <v>62.1</v>
      </c>
      <c r="M129" s="471">
        <f t="shared" si="18"/>
        <v>190691239865.30002</v>
      </c>
    </row>
    <row r="130" spans="1:13" ht="24" customHeight="1" x14ac:dyDescent="0.2">
      <c r="A130" s="130"/>
      <c r="B130" s="312"/>
      <c r="C130" s="64">
        <f>'SGTO POAI -JUNIO-2021'!D235</f>
        <v>22</v>
      </c>
      <c r="D130" s="62" t="str">
        <f>'SGTO POAI -JUNIO-2021'!E235</f>
        <v>Educación</v>
      </c>
      <c r="E130" s="472"/>
      <c r="F130" s="473">
        <f t="shared" ref="F130:M130" si="19">SUM(F131:F132)</f>
        <v>1573920278.6600001</v>
      </c>
      <c r="G130" s="473">
        <f t="shared" si="19"/>
        <v>143579499577.42001</v>
      </c>
      <c r="H130" s="473">
        <f t="shared" si="19"/>
        <v>25145000000</v>
      </c>
      <c r="I130" s="473">
        <f t="shared" si="19"/>
        <v>11590214233.049999</v>
      </c>
      <c r="J130" s="473">
        <f t="shared" si="19"/>
        <v>7010573241.2200003</v>
      </c>
      <c r="K130" s="473">
        <f t="shared" ref="K130" si="20">SUM(K131:K132)</f>
        <v>1792032472.8499999</v>
      </c>
      <c r="L130" s="473">
        <f t="shared" ref="L130" si="21">SUM(L131:L132)</f>
        <v>62.1</v>
      </c>
      <c r="M130" s="473">
        <f t="shared" si="19"/>
        <v>190691239865.30002</v>
      </c>
    </row>
    <row r="131" spans="1:13" s="37" customFormat="1" ht="56.25" customHeight="1" x14ac:dyDescent="0.2">
      <c r="A131" s="311"/>
      <c r="B131" s="69"/>
      <c r="C131" s="69"/>
      <c r="D131" s="316">
        <f>'SGTO POAI -JUNIO-2021'!F236</f>
        <v>2201</v>
      </c>
      <c r="E131" s="783" t="str">
        <f>'SGTO POAI -JUNIO-2021'!G236</f>
        <v>Calidad, cobertura y fortalecimiento de la educación inicial, prescolar, básica y media." Tú y yo con educación y de calidad"</v>
      </c>
      <c r="F131" s="831">
        <f>'SGTO POAI -JUNIO-2021'!Y236</f>
        <v>1573920278.6600001</v>
      </c>
      <c r="G131" s="831">
        <f>'SGTO POAI -JUNIO-2021'!AB236</f>
        <v>143579499577.42001</v>
      </c>
      <c r="H131" s="831">
        <f>'SGTO POAI -JUNIO-2021'!AC236</f>
        <v>25145000000</v>
      </c>
      <c r="I131" s="831">
        <f>'SGTO POAI -JUNIO-2021'!AD236</f>
        <v>11590214233.049999</v>
      </c>
      <c r="J131" s="829">
        <f>'SGTO POAI -JUNIO-2021'!AF236</f>
        <v>6910573241.2200003</v>
      </c>
      <c r="K131" s="829">
        <f>'SGTO POAI -JUNIO-2021'!AH236</f>
        <v>1792032472.8499999</v>
      </c>
      <c r="L131" s="829">
        <f>'SGTO POAI -JUNIO-2021'!AG236</f>
        <v>62.1</v>
      </c>
      <c r="M131" s="831">
        <f>F131+G131+H131+I131+J131+K131+L131</f>
        <v>190591239865.30002</v>
      </c>
    </row>
    <row r="132" spans="1:13" s="37" customFormat="1" ht="51" customHeight="1" x14ac:dyDescent="0.2">
      <c r="A132" s="311"/>
      <c r="B132" s="69"/>
      <c r="C132" s="69"/>
      <c r="D132" s="69">
        <f>'SGTO POAI -JUNIO-2021'!F271</f>
        <v>2202</v>
      </c>
      <c r="E132" s="783" t="str">
        <f>'SGTO POAI -JUNIO-2021'!G271</f>
        <v>Calidad y fomento de la Educación "Tú y yo preparados para la educación superior"</v>
      </c>
      <c r="F132" s="785">
        <f>'SGTO POAI -JUNIO-2021'!Y271</f>
        <v>0</v>
      </c>
      <c r="G132" s="831">
        <f>'SGTO POAI -JUNIO-2021'!AB271</f>
        <v>0</v>
      </c>
      <c r="H132" s="831">
        <f>'SGTO POAI -JUNIO-2021'!AC271</f>
        <v>0</v>
      </c>
      <c r="I132" s="831">
        <f>'SGTO POAI -JUNIO-2021'!AD271</f>
        <v>0</v>
      </c>
      <c r="J132" s="829">
        <f>'SGTO POAI -JUNIO-2021'!AF271</f>
        <v>100000000</v>
      </c>
      <c r="K132" s="829">
        <f>'SGTO POAI -JUNIO-2021'!AH271</f>
        <v>0</v>
      </c>
      <c r="L132" s="829"/>
      <c r="M132" s="831">
        <f>F132+G132+H132+I132+J132</f>
        <v>100000000</v>
      </c>
    </row>
    <row r="133" spans="1:13" ht="24" customHeight="1" x14ac:dyDescent="0.2">
      <c r="A133" s="130"/>
      <c r="B133" s="116">
        <f>'SGTO POAI -JUNIO-2021'!B273</f>
        <v>2</v>
      </c>
      <c r="C133" s="61" t="str">
        <f>'SGTO POAI -JUNIO-2021'!D273</f>
        <v>PRODUCTIVIDAD Y COMPETITIVIDAD</v>
      </c>
      <c r="D133" s="61"/>
      <c r="E133" s="481"/>
      <c r="F133" s="471">
        <f t="shared" ref="F133:M134" si="22">F134</f>
        <v>0</v>
      </c>
      <c r="G133" s="471">
        <f t="shared" si="22"/>
        <v>0</v>
      </c>
      <c r="H133" s="471">
        <f t="shared" si="22"/>
        <v>0</v>
      </c>
      <c r="I133" s="471">
        <f t="shared" si="22"/>
        <v>0</v>
      </c>
      <c r="J133" s="471">
        <f t="shared" si="22"/>
        <v>7500000</v>
      </c>
      <c r="K133" s="471">
        <f t="shared" si="22"/>
        <v>0</v>
      </c>
      <c r="L133" s="471"/>
      <c r="M133" s="471">
        <f t="shared" si="22"/>
        <v>7500000</v>
      </c>
    </row>
    <row r="134" spans="1:13" ht="24" customHeight="1" x14ac:dyDescent="0.2">
      <c r="A134" s="130"/>
      <c r="B134" s="312"/>
      <c r="C134" s="64">
        <f>'SGTO POAI -JUNIO-2021'!D274</f>
        <v>39</v>
      </c>
      <c r="D134" s="62" t="str">
        <f>'SGTO POAI -JUNIO-2021'!E274</f>
        <v>Ciencia, Tecnología e Innovación</v>
      </c>
      <c r="E134" s="62"/>
      <c r="F134" s="473">
        <f t="shared" si="22"/>
        <v>0</v>
      </c>
      <c r="G134" s="473">
        <f t="shared" si="22"/>
        <v>0</v>
      </c>
      <c r="H134" s="473">
        <f t="shared" si="22"/>
        <v>0</v>
      </c>
      <c r="I134" s="473">
        <f t="shared" si="22"/>
        <v>0</v>
      </c>
      <c r="J134" s="473">
        <f t="shared" si="22"/>
        <v>7500000</v>
      </c>
      <c r="K134" s="473">
        <f t="shared" si="22"/>
        <v>0</v>
      </c>
      <c r="L134" s="473"/>
      <c r="M134" s="473">
        <f t="shared" si="22"/>
        <v>7500000</v>
      </c>
    </row>
    <row r="135" spans="1:13" s="37" customFormat="1" ht="45.75" customHeight="1" x14ac:dyDescent="0.2">
      <c r="A135" s="311"/>
      <c r="B135" s="69"/>
      <c r="C135" s="69"/>
      <c r="D135" s="69">
        <f>'SGTO POAI -JUNIO-2021'!F275</f>
        <v>3904</v>
      </c>
      <c r="E135" s="783" t="str">
        <f>'SGTO POAI -JUNIO-2021'!G275</f>
        <v>Generación de una cultura qué valora y gestiona en conocimiento y la innovación.</v>
      </c>
      <c r="F135" s="785">
        <f>'SGTO POAI -JUNIO-2021'!Y275</f>
        <v>0</v>
      </c>
      <c r="G135" s="831">
        <f>'SGTO POAI -JUNIO-2021'!AB275</f>
        <v>0</v>
      </c>
      <c r="H135" s="831">
        <f>'SGTO POAI -JUNIO-2021'!AC275</f>
        <v>0</v>
      </c>
      <c r="I135" s="831">
        <f>'SGTO POAI -JUNIO-2021'!AD275</f>
        <v>0</v>
      </c>
      <c r="J135" s="829">
        <f>'SGTO POAI -JUNIO-2021'!AF275</f>
        <v>7500000</v>
      </c>
      <c r="K135" s="829">
        <f>'SGTO POAI -JUNIO-2021'!AH276</f>
        <v>0</v>
      </c>
      <c r="L135" s="829"/>
      <c r="M135" s="831">
        <f>F135+G135+H135+I135+J135</f>
        <v>7500000</v>
      </c>
    </row>
    <row r="136" spans="1:13" s="10" customFormat="1" x14ac:dyDescent="0.2">
      <c r="A136" s="49"/>
      <c r="B136" s="475"/>
      <c r="C136" s="475"/>
      <c r="D136" s="475"/>
      <c r="E136" s="493"/>
      <c r="F136" s="476"/>
      <c r="G136" s="42"/>
      <c r="H136" s="17"/>
      <c r="I136" s="17"/>
      <c r="J136" s="17"/>
      <c r="K136" s="17"/>
      <c r="L136" s="48"/>
    </row>
    <row r="137" spans="1:13" ht="27.75" customHeight="1" x14ac:dyDescent="0.2">
      <c r="A137" s="930" t="s">
        <v>5</v>
      </c>
      <c r="B137" s="930" t="s">
        <v>6</v>
      </c>
      <c r="C137" s="930" t="s">
        <v>7</v>
      </c>
      <c r="D137" s="930" t="s">
        <v>1392</v>
      </c>
      <c r="E137" s="921" t="s">
        <v>8</v>
      </c>
      <c r="F137" s="892" t="s">
        <v>1545</v>
      </c>
      <c r="G137" s="895" t="s">
        <v>1393</v>
      </c>
      <c r="H137" s="891" t="s">
        <v>15</v>
      </c>
      <c r="J137" s="44"/>
      <c r="K137" s="1"/>
      <c r="L137" s="1"/>
    </row>
    <row r="138" spans="1:13" ht="27.75" customHeight="1" x14ac:dyDescent="0.2">
      <c r="A138" s="930"/>
      <c r="B138" s="930"/>
      <c r="C138" s="930"/>
      <c r="D138" s="930"/>
      <c r="E138" s="921"/>
      <c r="F138" s="888" t="s">
        <v>1538</v>
      </c>
      <c r="G138" s="576" t="s">
        <v>1538</v>
      </c>
      <c r="H138" s="576" t="s">
        <v>1538</v>
      </c>
      <c r="J138" s="44"/>
      <c r="K138" s="1"/>
      <c r="L138" s="1"/>
    </row>
    <row r="139" spans="1:13" s="10" customFormat="1" ht="24.75" customHeight="1" x14ac:dyDescent="0.2">
      <c r="A139" s="38" t="s">
        <v>791</v>
      </c>
      <c r="B139" s="39"/>
      <c r="C139" s="39"/>
      <c r="D139" s="39"/>
      <c r="E139" s="67"/>
      <c r="F139" s="40">
        <f>F140+F149+F154</f>
        <v>4070085007.0100002</v>
      </c>
      <c r="G139" s="40">
        <f>G140+G149+G154</f>
        <v>1948776106</v>
      </c>
      <c r="H139" s="40">
        <f>H140+H149+H154</f>
        <v>6018861113.0100002</v>
      </c>
      <c r="I139" s="17"/>
      <c r="J139" s="48"/>
    </row>
    <row r="140" spans="1:13" s="10" customFormat="1" ht="20.25" customHeight="1" x14ac:dyDescent="0.2">
      <c r="A140" s="483"/>
      <c r="B140" s="116">
        <f>'SGTO POAI -JUNIO-2021'!B279</f>
        <v>1</v>
      </c>
      <c r="C140" s="61" t="str">
        <f>'SGTO POAI -JUNIO-2021'!D279</f>
        <v xml:space="preserve">INCLUSIÓN SOCIAL Y EQUIDAD </v>
      </c>
      <c r="D140" s="61"/>
      <c r="E140" s="481"/>
      <c r="F140" s="471">
        <f>F141+F143+F145</f>
        <v>4070085007.0100002</v>
      </c>
      <c r="G140" s="471">
        <f t="shared" ref="G140:H140" si="23">G141+G143+G145</f>
        <v>1427686603</v>
      </c>
      <c r="H140" s="471">
        <f t="shared" si="23"/>
        <v>5497771610.0100002</v>
      </c>
      <c r="I140" s="17"/>
      <c r="J140" s="48"/>
    </row>
    <row r="141" spans="1:13" s="10" customFormat="1" ht="20.25" customHeight="1" x14ac:dyDescent="0.2">
      <c r="A141" s="483"/>
      <c r="B141" s="312"/>
      <c r="C141" s="64">
        <f>'SGTO POAI -JUNIO-2021'!D280</f>
        <v>19</v>
      </c>
      <c r="D141" s="62" t="str">
        <f>'SGTO POAI -JUNIO-2021'!E280</f>
        <v>Salud y protección social</v>
      </c>
      <c r="E141" s="472"/>
      <c r="F141" s="473">
        <f>F142</f>
        <v>0</v>
      </c>
      <c r="G141" s="473">
        <f>G142</f>
        <v>175000000</v>
      </c>
      <c r="H141" s="473">
        <f>H142</f>
        <v>175000000</v>
      </c>
      <c r="I141" s="17"/>
      <c r="J141" s="48"/>
    </row>
    <row r="142" spans="1:13" s="41" customFormat="1" ht="32.25" customHeight="1" x14ac:dyDescent="0.2">
      <c r="A142" s="484"/>
      <c r="B142" s="69"/>
      <c r="C142" s="69"/>
      <c r="D142" s="69">
        <f>'SGTO POAI -JUNIO-2021'!F281</f>
        <v>1905</v>
      </c>
      <c r="E142" s="80" t="str">
        <f>'SGTO POAI -JUNIO-2021'!G281</f>
        <v>Salud Pública, "Tú y yo con salud de calidad"</v>
      </c>
      <c r="F142" s="785">
        <f>'SGTO POAI -JUNIO-2021'!V281</f>
        <v>0</v>
      </c>
      <c r="G142" s="785">
        <f>'SGTO POAI -JUNIO-2021'!AF281</f>
        <v>175000000</v>
      </c>
      <c r="H142" s="785">
        <f>F142+G142</f>
        <v>175000000</v>
      </c>
      <c r="J142" s="50"/>
    </row>
    <row r="143" spans="1:13" s="41" customFormat="1" ht="32.25" customHeight="1" x14ac:dyDescent="0.2">
      <c r="A143" s="484"/>
      <c r="B143" s="312"/>
      <c r="C143" s="64">
        <f>'SGTO POAI -JUNIO-2021'!D284</f>
        <v>33</v>
      </c>
      <c r="D143" s="477" t="str">
        <f>'SGTO POAI -JUNIO-2021'!E284</f>
        <v>Cultura</v>
      </c>
      <c r="E143" s="478"/>
      <c r="F143" s="473">
        <f>F144</f>
        <v>0</v>
      </c>
      <c r="G143" s="473">
        <f>G144</f>
        <v>14250000</v>
      </c>
      <c r="H143" s="473">
        <f>H144</f>
        <v>14250000</v>
      </c>
      <c r="J143" s="50"/>
    </row>
    <row r="144" spans="1:13" s="41" customFormat="1" ht="48" customHeight="1" x14ac:dyDescent="0.2">
      <c r="A144" s="484"/>
      <c r="B144" s="69"/>
      <c r="C144" s="69"/>
      <c r="D144" s="69">
        <f>'SGTO POAI -JUNIO-2021'!F285</f>
        <v>3301</v>
      </c>
      <c r="E144" s="783" t="str">
        <f>'SGTO POAI -JUNIO-2021'!G285</f>
        <v>Promoción y acceso efectivo a procesos culturales y artísticos. "Tú y yo somos cultura Quindiana"</v>
      </c>
      <c r="F144" s="785">
        <f>'SGTO POAI -JUNIO-2021'!V285</f>
        <v>0</v>
      </c>
      <c r="G144" s="785">
        <f>'SGTO POAI -JUNIO-2021'!AF285</f>
        <v>14250000</v>
      </c>
      <c r="H144" s="785">
        <f>F144+G144</f>
        <v>14250000</v>
      </c>
      <c r="J144" s="50"/>
    </row>
    <row r="145" spans="1:15" s="41" customFormat="1" ht="28.5" customHeight="1" x14ac:dyDescent="0.2">
      <c r="A145" s="484"/>
      <c r="B145" s="312"/>
      <c r="C145" s="64">
        <f>'SGTO POAI -JUNIO-2021'!D287</f>
        <v>41</v>
      </c>
      <c r="D145" s="62" t="str">
        <f>'SGTO POAI -JUNIO-2021'!E287</f>
        <v>Inclusión social y Reconciliación</v>
      </c>
      <c r="E145" s="472"/>
      <c r="F145" s="473">
        <f>SUM(F146:F148)</f>
        <v>4070085007.0100002</v>
      </c>
      <c r="G145" s="473">
        <f>SUM(G146:G148)</f>
        <v>1238436603</v>
      </c>
      <c r="H145" s="473">
        <f>SUM(H146:H148)</f>
        <v>5308521610.0100002</v>
      </c>
      <c r="J145" s="50"/>
    </row>
    <row r="146" spans="1:15" s="41" customFormat="1" ht="54" customHeight="1" x14ac:dyDescent="0.2">
      <c r="A146" s="484"/>
      <c r="B146" s="69"/>
      <c r="C146" s="69"/>
      <c r="D146" s="69">
        <f>'SGTO POAI -JUNIO-2021'!F288</f>
        <v>4102</v>
      </c>
      <c r="E146" s="783" t="str">
        <f>'SGTO POAI -JUNIO-2021'!G288</f>
        <v>Desarrollo Integral de Niños, Niñas, Adolescentes y sus Familias. "Tú y yo niños, niñas y adolescentes con desarrollo integral"</v>
      </c>
      <c r="F146" s="785">
        <f>'SGTO POAI -JUNIO-2021'!V288</f>
        <v>0</v>
      </c>
      <c r="G146" s="785">
        <f>'SGTO POAI -JUNIO-2021'!AF288</f>
        <v>847562889</v>
      </c>
      <c r="H146" s="785">
        <f>F146+G146</f>
        <v>847562889</v>
      </c>
      <c r="J146" s="50"/>
    </row>
    <row r="147" spans="1:15" s="41" customFormat="1" ht="54" customHeight="1" x14ac:dyDescent="0.2">
      <c r="A147" s="484"/>
      <c r="B147" s="69"/>
      <c r="C147" s="69"/>
      <c r="D147" s="69">
        <f>'SGTO POAI -JUNIO-2021'!F299</f>
        <v>4103</v>
      </c>
      <c r="E147" s="783" t="str">
        <f>'SGTO POAI -JUNIO-2021'!G299</f>
        <v>Inclusión social y productiva para la población en situación de vulnerabilidad. "Tú y yo, población vulnerable incluida"</v>
      </c>
      <c r="F147" s="785">
        <f>'SGTO POAI -JUNIO-2021'!V299</f>
        <v>0</v>
      </c>
      <c r="G147" s="785">
        <f>'SGTO POAI -JUNIO-2021'!AF299</f>
        <v>233793714</v>
      </c>
      <c r="H147" s="785">
        <f>F147+G147</f>
        <v>233793714</v>
      </c>
      <c r="J147" s="50"/>
    </row>
    <row r="148" spans="1:15" s="41" customFormat="1" ht="54" customHeight="1" x14ac:dyDescent="0.2">
      <c r="A148" s="484"/>
      <c r="B148" s="69"/>
      <c r="C148" s="69"/>
      <c r="D148" s="69">
        <f>'SGTO POAI -JUNIO-2021'!F307</f>
        <v>4104</v>
      </c>
      <c r="E148" s="783" t="str">
        <f>'SGTO POAI -JUNIO-2021'!G307</f>
        <v>Atención integral de población en situación permanente de desprotección social y/o familiar "Tú y yo con atención integral"</v>
      </c>
      <c r="F148" s="785">
        <f>'SGTO POAI -JUNIO-2021'!V307</f>
        <v>4070085007.0100002</v>
      </c>
      <c r="G148" s="785">
        <f>'SGTO POAI -JUNIO-2021'!AF307</f>
        <v>157080000</v>
      </c>
      <c r="H148" s="785">
        <f>F148+G148</f>
        <v>4227165007.0100002</v>
      </c>
      <c r="J148" s="50"/>
    </row>
    <row r="149" spans="1:15" s="10" customFormat="1" ht="20.25" customHeight="1" x14ac:dyDescent="0.2">
      <c r="A149" s="483"/>
      <c r="B149" s="116">
        <f>'SGTO POAI -JUNIO-2021'!B313</f>
        <v>2</v>
      </c>
      <c r="C149" s="61" t="str">
        <f>'SGTO POAI -JUNIO-2021'!D313</f>
        <v>PRODUCTIVIDAD Y COMPETITIVIDAD</v>
      </c>
      <c r="D149" s="61"/>
      <c r="E149" s="481"/>
      <c r="F149" s="471">
        <f>F150+F152</f>
        <v>0</v>
      </c>
      <c r="G149" s="471">
        <f>G150+G152</f>
        <v>56195000</v>
      </c>
      <c r="H149" s="471">
        <f>H150+H152</f>
        <v>56195000</v>
      </c>
      <c r="I149" s="17"/>
      <c r="J149" s="48"/>
    </row>
    <row r="150" spans="1:15" s="10" customFormat="1" ht="20.25" customHeight="1" x14ac:dyDescent="0.2">
      <c r="A150" s="483"/>
      <c r="B150" s="312"/>
      <c r="C150" s="64">
        <f>'SGTO POAI -JUNIO-2021'!D314</f>
        <v>17</v>
      </c>
      <c r="D150" s="62" t="str">
        <f>'SGTO POAI -JUNIO-2021'!E314</f>
        <v>Agricultura y desarrollo rural</v>
      </c>
      <c r="E150" s="472"/>
      <c r="F150" s="473">
        <f>F151</f>
        <v>0</v>
      </c>
      <c r="G150" s="473">
        <f>G151</f>
        <v>18000000</v>
      </c>
      <c r="H150" s="473">
        <f>H151</f>
        <v>18000000</v>
      </c>
      <c r="I150" s="17"/>
      <c r="J150" s="48"/>
    </row>
    <row r="151" spans="1:15" s="41" customFormat="1" ht="60" customHeight="1" x14ac:dyDescent="0.2">
      <c r="A151" s="484"/>
      <c r="B151" s="69"/>
      <c r="C151" s="69"/>
      <c r="D151" s="69">
        <f>'SGTO POAI -JUNIO-2021'!F315</f>
        <v>1702</v>
      </c>
      <c r="E151" s="783" t="str">
        <f>'SGTO POAI -JUNIO-2021'!G315</f>
        <v>Inclusión productiva de pequeños productores rurales. "Tú y yo con oportunidades para el pequeño campesino"</v>
      </c>
      <c r="F151" s="785">
        <f>'SGTO POAI -JUNIO-2021'!V315</f>
        <v>0</v>
      </c>
      <c r="G151" s="785">
        <f>'SGTO POAI -JUNIO-2021'!AF315</f>
        <v>18000000</v>
      </c>
      <c r="H151" s="785">
        <f>F151+G151</f>
        <v>18000000</v>
      </c>
      <c r="J151" s="50"/>
    </row>
    <row r="152" spans="1:15" s="41" customFormat="1" ht="25.5" customHeight="1" x14ac:dyDescent="0.2">
      <c r="A152" s="484"/>
      <c r="B152" s="312"/>
      <c r="C152" s="64">
        <f>'SGTO POAI -JUNIO-2021'!D317</f>
        <v>36</v>
      </c>
      <c r="D152" s="477" t="str">
        <f>'SGTO POAI -JUNIO-2021'!E317</f>
        <v>Trabajo</v>
      </c>
      <c r="E152" s="478"/>
      <c r="F152" s="473">
        <f>F153</f>
        <v>0</v>
      </c>
      <c r="G152" s="473">
        <f>G153</f>
        <v>38195000</v>
      </c>
      <c r="H152" s="473">
        <f>H153</f>
        <v>38195000</v>
      </c>
      <c r="J152" s="50"/>
    </row>
    <row r="153" spans="1:15" s="41" customFormat="1" ht="54" customHeight="1" x14ac:dyDescent="0.2">
      <c r="A153" s="484"/>
      <c r="B153" s="69"/>
      <c r="C153" s="69"/>
      <c r="D153" s="69">
        <f>'SGTO POAI -JUNIO-2021'!F318</f>
        <v>3604</v>
      </c>
      <c r="E153" s="783" t="str">
        <f>'SGTO POAI -JUNIO-2021'!G318</f>
        <v>Derechos fundamentales del trabajo y fortalecimiento del diálogo social. "Tú y yo con una niñez protegida"</v>
      </c>
      <c r="F153" s="785">
        <f>'SGTO POAI -JUNIO-2021'!V318</f>
        <v>0</v>
      </c>
      <c r="G153" s="785">
        <f>'SGTO POAI -JUNIO-2021'!AF318</f>
        <v>38195000</v>
      </c>
      <c r="H153" s="785">
        <f>F153+G153</f>
        <v>38195000</v>
      </c>
      <c r="J153" s="50"/>
    </row>
    <row r="154" spans="1:15" s="10" customFormat="1" ht="21" customHeight="1" x14ac:dyDescent="0.2">
      <c r="A154" s="483"/>
      <c r="B154" s="116">
        <f>'SGTO POAI -JUNIO-2021'!B320</f>
        <v>4</v>
      </c>
      <c r="C154" s="61" t="str">
        <f>'SGTO POAI -JUNIO-2021'!D320</f>
        <v xml:space="preserve">LIDERAZGO, GOBERNABILIDAD Y TRANSPARENCIA </v>
      </c>
      <c r="D154" s="61"/>
      <c r="E154" s="481"/>
      <c r="F154" s="471">
        <f t="shared" ref="F154:H155" si="24">F155</f>
        <v>0</v>
      </c>
      <c r="G154" s="471">
        <f t="shared" si="24"/>
        <v>464894503</v>
      </c>
      <c r="H154" s="471">
        <f t="shared" si="24"/>
        <v>464894503</v>
      </c>
      <c r="I154" s="17"/>
      <c r="J154" s="48"/>
    </row>
    <row r="155" spans="1:15" s="10" customFormat="1" ht="21" customHeight="1" x14ac:dyDescent="0.2">
      <c r="A155" s="483"/>
      <c r="B155" s="312"/>
      <c r="C155" s="64">
        <f>'SGTO POAI -JUNIO-2021'!D321</f>
        <v>45</v>
      </c>
      <c r="D155" s="62" t="str">
        <f>'SGTO POAI -JUNIO-2021'!E321</f>
        <v>Gobierno Territorial</v>
      </c>
      <c r="E155" s="472"/>
      <c r="F155" s="473">
        <f t="shared" si="24"/>
        <v>0</v>
      </c>
      <c r="G155" s="473">
        <f>SUM(G156:G157)</f>
        <v>464894503</v>
      </c>
      <c r="H155" s="473">
        <f>SUM(H156:H157)</f>
        <v>464894503</v>
      </c>
      <c r="I155" s="17"/>
      <c r="J155" s="48"/>
    </row>
    <row r="156" spans="1:15" s="41" customFormat="1" ht="67.5" customHeight="1" x14ac:dyDescent="0.2">
      <c r="A156" s="484"/>
      <c r="B156" s="69"/>
      <c r="C156" s="69"/>
      <c r="D156" s="69">
        <f>'SGTO POAI -JUNIO-2021'!F322</f>
        <v>4502</v>
      </c>
      <c r="E156" s="783" t="str">
        <f>'SGTO POAI -JUNIO-2021'!G322</f>
        <v>Fortalecimiento del buen gobierno para el respeto y garantía de los derechos humanos. "Quindío integrado y participativo"</v>
      </c>
      <c r="F156" s="785">
        <f>'SGTO POAI -JUNIO-2021'!V322</f>
        <v>0</v>
      </c>
      <c r="G156" s="785">
        <f>'SGTO POAI -JUNIO-2021'!AF322</f>
        <v>251000000</v>
      </c>
      <c r="H156" s="785">
        <f>F156+G156</f>
        <v>251000000</v>
      </c>
      <c r="J156" s="50"/>
    </row>
    <row r="157" spans="1:15" s="41" customFormat="1" ht="84.75" customHeight="1" x14ac:dyDescent="0.2">
      <c r="A157" s="484"/>
      <c r="B157" s="69"/>
      <c r="C157" s="69"/>
      <c r="D157" s="69">
        <f>'SGTO POAI -JUNIO-2021'!F328</f>
        <v>4599</v>
      </c>
      <c r="E157" s="782" t="str">
        <f>'SGTO POAI -JUNIO-2021'!G328</f>
        <v>Fortalecimiento a la gestión y dirección de la administración pública territorial "Quindío con una administración al servicio de la ciudadanía"</v>
      </c>
      <c r="F157" s="785">
        <f>'SGTO POAI -JUNIO-2021'!V323</f>
        <v>0</v>
      </c>
      <c r="G157" s="785">
        <f>'SGTO POAI -JUNIO-2021'!AJ328</f>
        <v>213894503</v>
      </c>
      <c r="H157" s="785">
        <f>F157+G157</f>
        <v>213894503</v>
      </c>
      <c r="J157" s="50"/>
    </row>
    <row r="158" spans="1:15" s="10" customFormat="1" x14ac:dyDescent="0.2">
      <c r="A158" s="49"/>
      <c r="B158" s="475"/>
      <c r="C158" s="475"/>
      <c r="D158" s="475"/>
      <c r="E158" s="493"/>
      <c r="F158" s="476"/>
      <c r="G158" s="42"/>
      <c r="H158" s="17"/>
      <c r="I158" s="17"/>
      <c r="J158" s="17"/>
      <c r="K158" s="17"/>
      <c r="L158" s="48"/>
    </row>
    <row r="159" spans="1:15" s="10" customFormat="1" ht="24" customHeight="1" x14ac:dyDescent="0.2">
      <c r="A159" s="930" t="s">
        <v>5</v>
      </c>
      <c r="B159" s="930" t="s">
        <v>6</v>
      </c>
      <c r="C159" s="930" t="s">
        <v>7</v>
      </c>
      <c r="D159" s="930" t="s">
        <v>1392</v>
      </c>
      <c r="E159" s="921" t="s">
        <v>8</v>
      </c>
      <c r="F159" s="892" t="s">
        <v>1404</v>
      </c>
      <c r="G159" s="895" t="s">
        <v>1555</v>
      </c>
      <c r="H159" s="895" t="s">
        <v>1556</v>
      </c>
      <c r="I159" s="895" t="s">
        <v>1393</v>
      </c>
      <c r="J159" s="895" t="s">
        <v>1546</v>
      </c>
      <c r="K159" s="891" t="s">
        <v>15</v>
      </c>
      <c r="L159" s="353"/>
      <c r="M159" s="354"/>
      <c r="O159" s="353"/>
    </row>
    <row r="160" spans="1:15" s="10" customFormat="1" ht="24" customHeight="1" x14ac:dyDescent="0.2">
      <c r="A160" s="930"/>
      <c r="B160" s="930"/>
      <c r="C160" s="930"/>
      <c r="D160" s="930"/>
      <c r="E160" s="921"/>
      <c r="F160" s="575" t="s">
        <v>1538</v>
      </c>
      <c r="G160" s="576" t="s">
        <v>1538</v>
      </c>
      <c r="H160" s="576" t="s">
        <v>1538</v>
      </c>
      <c r="I160" s="576" t="s">
        <v>1538</v>
      </c>
      <c r="J160" s="887" t="s">
        <v>1538</v>
      </c>
      <c r="K160" s="891" t="s">
        <v>1538</v>
      </c>
      <c r="L160" s="353"/>
      <c r="M160" s="354"/>
      <c r="O160" s="353"/>
    </row>
    <row r="161" spans="1:13" ht="24" customHeight="1" x14ac:dyDescent="0.2">
      <c r="A161" s="38" t="s">
        <v>1012</v>
      </c>
      <c r="B161" s="39"/>
      <c r="C161" s="39"/>
      <c r="D161" s="39"/>
      <c r="E161" s="67"/>
      <c r="F161" s="36">
        <f t="shared" ref="F161:H162" si="25">F162</f>
        <v>6474048726.8999996</v>
      </c>
      <c r="G161" s="36">
        <f t="shared" si="25"/>
        <v>800000000</v>
      </c>
      <c r="H161" s="36">
        <f t="shared" si="25"/>
        <v>37641943531.420006</v>
      </c>
      <c r="I161" s="36">
        <f t="shared" ref="I161:K162" si="26">I162</f>
        <v>6034618945</v>
      </c>
      <c r="J161" s="578">
        <f t="shared" si="26"/>
        <v>3509252330.21</v>
      </c>
      <c r="K161" s="902">
        <f t="shared" si="26"/>
        <v>54459863533.529999</v>
      </c>
      <c r="L161" s="1"/>
      <c r="M161" s="19"/>
    </row>
    <row r="162" spans="1:13" ht="24" customHeight="1" x14ac:dyDescent="0.2">
      <c r="A162" s="130"/>
      <c r="B162" s="116">
        <f>'SGTO POAI -JUNIO-2021'!B334</f>
        <v>1</v>
      </c>
      <c r="C162" s="61" t="str">
        <f>'SGTO POAI -JUNIO-2021'!D334</f>
        <v xml:space="preserve">INCLUSIÓN SOCIAL Y EQUIDAD </v>
      </c>
      <c r="D162" s="61"/>
      <c r="E162" s="481"/>
      <c r="F162" s="471">
        <f t="shared" si="25"/>
        <v>6474048726.8999996</v>
      </c>
      <c r="G162" s="471">
        <f t="shared" si="25"/>
        <v>800000000</v>
      </c>
      <c r="H162" s="471">
        <f t="shared" si="25"/>
        <v>37641943531.420006</v>
      </c>
      <c r="I162" s="471">
        <f t="shared" si="26"/>
        <v>6034618945</v>
      </c>
      <c r="J162" s="910">
        <f t="shared" si="26"/>
        <v>3509252330.21</v>
      </c>
      <c r="K162" s="903">
        <f>K163</f>
        <v>54459863533.529999</v>
      </c>
      <c r="L162" s="1"/>
    </row>
    <row r="163" spans="1:13" ht="24" customHeight="1" x14ac:dyDescent="0.2">
      <c r="A163" s="130"/>
      <c r="B163" s="312"/>
      <c r="C163" s="64">
        <f>'SGTO POAI -JUNIO-2021'!D335</f>
        <v>19</v>
      </c>
      <c r="D163" s="62" t="str">
        <f>'SGTO POAI -JUNIO-2021'!E335</f>
        <v>Salud y protección social</v>
      </c>
      <c r="E163" s="472"/>
      <c r="F163" s="473">
        <f t="shared" ref="F163:K163" si="27">SUM(F164:F166)</f>
        <v>6474048726.8999996</v>
      </c>
      <c r="G163" s="473">
        <f t="shared" si="27"/>
        <v>800000000</v>
      </c>
      <c r="H163" s="473">
        <f t="shared" si="27"/>
        <v>37641943531.420006</v>
      </c>
      <c r="I163" s="473">
        <f t="shared" si="27"/>
        <v>6034618945</v>
      </c>
      <c r="J163" s="911">
        <f t="shared" si="27"/>
        <v>3509252330.21</v>
      </c>
      <c r="K163" s="904">
        <f t="shared" si="27"/>
        <v>54459863533.529999</v>
      </c>
      <c r="L163" s="1"/>
    </row>
    <row r="164" spans="1:13" s="37" customFormat="1" ht="35.25" customHeight="1" x14ac:dyDescent="0.2">
      <c r="A164" s="311"/>
      <c r="B164" s="69"/>
      <c r="C164" s="69"/>
      <c r="D164" s="69">
        <f>'SGTO POAI -JUNIO-2021'!F336</f>
        <v>1903</v>
      </c>
      <c r="E164" s="783" t="str">
        <f>'SGTO POAI -JUNIO-2021'!G336</f>
        <v xml:space="preserve">Inspección, vigilancia y control. "Tú y yo con salud certificada" </v>
      </c>
      <c r="F164" s="785">
        <f>'SGTO POAI -JUNIO-2021'!Z336</f>
        <v>1389901448</v>
      </c>
      <c r="G164" s="785">
        <f>'SGTO POAI -JUNIO-2021'!Y336</f>
        <v>0</v>
      </c>
      <c r="H164" s="785">
        <f>'SGTO POAI -JUNIO-2021'!AA336</f>
        <v>91081005</v>
      </c>
      <c r="I164" s="785">
        <f>'SGTO POAI -JUNIO-2021'!AF336</f>
        <v>252324569</v>
      </c>
      <c r="J164" s="912">
        <f>'SGTO POAI -JUNIO-2021'!AH336</f>
        <v>1449359713.21</v>
      </c>
      <c r="K164" s="905">
        <f>F164+G164+H164+I164+J164</f>
        <v>3182666735.21</v>
      </c>
    </row>
    <row r="165" spans="1:13" s="37" customFormat="1" ht="31.5" customHeight="1" x14ac:dyDescent="0.2">
      <c r="A165" s="311"/>
      <c r="B165" s="69"/>
      <c r="C165" s="69"/>
      <c r="D165" s="69">
        <f>'SGTO POAI -JUNIO-2021'!F359</f>
        <v>1905</v>
      </c>
      <c r="E165" s="783" t="str">
        <f>'SGTO POAI -JUNIO-2021'!G359</f>
        <v>Salud Pública, "Tú y yo con salud de calidad"</v>
      </c>
      <c r="F165" s="785">
        <f>'SGTO POAI -JUNIO-2021'!Z359</f>
        <v>3343280425.4899998</v>
      </c>
      <c r="G165" s="785">
        <f>'SGTO POAI -JUNIO-2021'!Y359</f>
        <v>0</v>
      </c>
      <c r="H165" s="785">
        <f>'SGTO POAI -JUNIO-2021'!AA359</f>
        <v>0</v>
      </c>
      <c r="I165" s="785">
        <f>'SGTO POAI -JUNIO-2021'!AF359</f>
        <v>1551904376</v>
      </c>
      <c r="J165" s="912">
        <f>'SGTO POAI -JUNIO-2021'!AH359</f>
        <v>389313244</v>
      </c>
      <c r="K165" s="905">
        <f>F165+G165+H165+I165+J165</f>
        <v>5284498045.4899998</v>
      </c>
    </row>
    <row r="166" spans="1:13" s="37" customFormat="1" ht="57.75" customHeight="1" x14ac:dyDescent="0.2">
      <c r="A166" s="311"/>
      <c r="B166" s="69"/>
      <c r="C166" s="69"/>
      <c r="D166" s="69">
        <f>'SGTO POAI -JUNIO-2021'!F389</f>
        <v>1906</v>
      </c>
      <c r="E166" s="783" t="str">
        <f>'SGTO POAI -JUNIO-2021'!G389</f>
        <v>Aseguramiento y Prestación integral de servicios de salud "Tú y yo con servicios de salud"</v>
      </c>
      <c r="F166" s="785">
        <f>'SGTO POAI -JUNIO-2021'!Z389</f>
        <v>1740866853.4100001</v>
      </c>
      <c r="G166" s="785">
        <f>'SGTO POAI -JUNIO-2021'!Y389</f>
        <v>800000000</v>
      </c>
      <c r="H166" s="785">
        <f>'SGTO POAI -JUNIO-2021'!AA389</f>
        <v>37550862526.420006</v>
      </c>
      <c r="I166" s="785">
        <f>'SGTO POAI -JUNIO-2021'!AF389</f>
        <v>4230390000</v>
      </c>
      <c r="J166" s="912">
        <f>'SGTO POAI -JUNIO-2021'!AH389</f>
        <v>1670579373</v>
      </c>
      <c r="K166" s="905">
        <f>F166+G166+H166+I166+J166</f>
        <v>45992698752.830002</v>
      </c>
    </row>
    <row r="167" spans="1:13" s="10" customFormat="1" x14ac:dyDescent="0.2">
      <c r="A167" s="49"/>
      <c r="B167" s="475"/>
      <c r="C167" s="475"/>
      <c r="D167" s="475"/>
      <c r="E167" s="493"/>
      <c r="F167" s="476"/>
      <c r="G167" s="42"/>
      <c r="H167" s="17"/>
      <c r="I167" s="17"/>
      <c r="J167" s="17"/>
      <c r="K167" s="17"/>
      <c r="L167" s="48"/>
    </row>
    <row r="168" spans="1:13" s="10" customFormat="1" ht="24" customHeight="1" x14ac:dyDescent="0.2">
      <c r="A168" s="930" t="s">
        <v>5</v>
      </c>
      <c r="B168" s="930" t="s">
        <v>6</v>
      </c>
      <c r="C168" s="930" t="s">
        <v>7</v>
      </c>
      <c r="D168" s="930" t="s">
        <v>1392</v>
      </c>
      <c r="E168" s="921" t="s">
        <v>8</v>
      </c>
      <c r="F168" s="891" t="s">
        <v>1393</v>
      </c>
      <c r="G168" s="17"/>
      <c r="H168" s="17"/>
      <c r="I168" s="17"/>
      <c r="J168" s="48"/>
    </row>
    <row r="169" spans="1:13" s="10" customFormat="1" ht="24" customHeight="1" x14ac:dyDescent="0.2">
      <c r="A169" s="930"/>
      <c r="B169" s="930"/>
      <c r="C169" s="930"/>
      <c r="D169" s="930"/>
      <c r="E169" s="921"/>
      <c r="F169" s="780" t="s">
        <v>1538</v>
      </c>
      <c r="G169" s="17"/>
      <c r="H169" s="17"/>
      <c r="I169" s="17"/>
      <c r="J169" s="48"/>
    </row>
    <row r="170" spans="1:13" s="8" customFormat="1" ht="24" customHeight="1" x14ac:dyDescent="0.25">
      <c r="A170" s="38" t="s">
        <v>1230</v>
      </c>
      <c r="B170" s="39"/>
      <c r="C170" s="39"/>
      <c r="D170" s="39"/>
      <c r="E170" s="67"/>
      <c r="F170" s="40">
        <f>F171+F175+F179</f>
        <v>1196000000</v>
      </c>
      <c r="G170" s="7"/>
      <c r="H170" s="7"/>
      <c r="I170" s="7"/>
      <c r="J170" s="46"/>
    </row>
    <row r="171" spans="1:13" s="8" customFormat="1" ht="24" customHeight="1" x14ac:dyDescent="0.25">
      <c r="A171" s="115"/>
      <c r="B171" s="116">
        <f>'SGTO POAI -JUNIO-2021'!B402</f>
        <v>1</v>
      </c>
      <c r="C171" s="61" t="str">
        <f>'SGTO POAI -JUNIO-2021'!D402</f>
        <v xml:space="preserve">INCLUSIÓN SOCIAL Y EQUIDAD </v>
      </c>
      <c r="D171" s="61"/>
      <c r="E171" s="481"/>
      <c r="F171" s="471">
        <f>F172</f>
        <v>820000000</v>
      </c>
      <c r="G171" s="7"/>
      <c r="H171" s="7"/>
      <c r="I171" s="7"/>
      <c r="J171" s="46"/>
    </row>
    <row r="172" spans="1:13" s="8" customFormat="1" ht="24" customHeight="1" x14ac:dyDescent="0.25">
      <c r="A172" s="115"/>
      <c r="B172" s="312"/>
      <c r="C172" s="64">
        <f>'SGTO POAI -JUNIO-2021'!D403</f>
        <v>23</v>
      </c>
      <c r="D172" s="62" t="str">
        <f>'SGTO POAI -JUNIO-2021'!E403</f>
        <v>Tecnologías de la información y las comunicaciones</v>
      </c>
      <c r="E172" s="472"/>
      <c r="F172" s="473">
        <f>SUM(F173:F174)</f>
        <v>820000000</v>
      </c>
      <c r="G172" s="7"/>
      <c r="H172" s="7"/>
      <c r="I172" s="7"/>
      <c r="J172" s="46"/>
    </row>
    <row r="173" spans="1:13" s="812" customFormat="1" ht="57" customHeight="1" x14ac:dyDescent="0.25">
      <c r="A173" s="831"/>
      <c r="B173" s="69"/>
      <c r="C173" s="69"/>
      <c r="D173" s="316">
        <f>'SGTO POAI -JUNIO-2021'!F404</f>
        <v>2301</v>
      </c>
      <c r="E173" s="783" t="str">
        <f>'SGTO POAI -JUNIO-2021'!G404</f>
        <v>Facilitar en acceso y uso de las Tecnologías de la Información y las Comunicaciones (TIC)  en todo el territorio nacional.  "Tú y yo somos ciudadanos TIC"</v>
      </c>
      <c r="F173" s="785">
        <f>'SGTO POAI -JUNIO-2021'!AF404</f>
        <v>674000000</v>
      </c>
      <c r="J173" s="834"/>
    </row>
    <row r="174" spans="1:13" s="812" customFormat="1" ht="90.75" customHeight="1" x14ac:dyDescent="0.25">
      <c r="A174" s="831"/>
      <c r="B174" s="69"/>
      <c r="C174" s="69"/>
      <c r="D174" s="316">
        <f>'SGTO POAI -JUNIO-2021'!F414</f>
        <v>2302</v>
      </c>
      <c r="E174" s="783" t="str">
        <f>'SGTO POAI -JUNIO-2021'!G414</f>
        <v>Fomento del desarrollo de aplicaciones, software y contenidos para impulsar la apropiación de las Tecnologías de la Información y las Comunicaciones (TIC) "Quindío paraíso empresarial TIC-Quindío TIC"</v>
      </c>
      <c r="F174" s="785">
        <f>'SGTO POAI -JUNIO-2021'!AF414</f>
        <v>146000000</v>
      </c>
      <c r="J174" s="834"/>
    </row>
    <row r="175" spans="1:13" s="8" customFormat="1" ht="24" customHeight="1" x14ac:dyDescent="0.25">
      <c r="A175" s="115"/>
      <c r="B175" s="116">
        <f>'SGTO POAI -JUNIO-2021'!B420</f>
        <v>2</v>
      </c>
      <c r="C175" s="61" t="str">
        <f>'SGTO POAI -JUNIO-2021'!D420</f>
        <v>PRODUCTIVIDAD Y COMPETITIVIDAD</v>
      </c>
      <c r="D175" s="61"/>
      <c r="E175" s="481"/>
      <c r="F175" s="471">
        <f>F176</f>
        <v>78000000</v>
      </c>
      <c r="G175" s="7"/>
      <c r="H175" s="7"/>
      <c r="I175" s="7"/>
      <c r="J175" s="46"/>
    </row>
    <row r="176" spans="1:13" s="8" customFormat="1" ht="24" customHeight="1" x14ac:dyDescent="0.25">
      <c r="A176" s="115"/>
      <c r="B176" s="312"/>
      <c r="C176" s="64">
        <f>'SGTO POAI -JUNIO-2021'!D421</f>
        <v>39</v>
      </c>
      <c r="D176" s="62" t="str">
        <f>'SGTO POAI -JUNIO-2021'!E421</f>
        <v>Ciencia, Tecnología e Innovación</v>
      </c>
      <c r="E176" s="472"/>
      <c r="F176" s="473">
        <f>SUM(F177:F178)</f>
        <v>78000000</v>
      </c>
      <c r="G176" s="7"/>
      <c r="H176" s="7"/>
      <c r="I176" s="7"/>
      <c r="J176" s="46"/>
    </row>
    <row r="177" spans="1:14" s="812" customFormat="1" ht="46.5" customHeight="1" x14ac:dyDescent="0.25">
      <c r="A177" s="831"/>
      <c r="B177" s="69"/>
      <c r="C177" s="69"/>
      <c r="D177" s="316" t="str">
        <f>'SGTO POAI -JUNIO-2021'!F422</f>
        <v>3903</v>
      </c>
      <c r="E177" s="783" t="str">
        <f>'SGTO POAI -JUNIO-2021'!G422</f>
        <v xml:space="preserve">Desarrollo tecnológico e innovación para el crecimiento empresarial </v>
      </c>
      <c r="F177" s="785">
        <f>'SGTO POAI -JUNIO-2021'!AF422</f>
        <v>60000000</v>
      </c>
      <c r="J177" s="834"/>
    </row>
    <row r="178" spans="1:14" s="812" customFormat="1" ht="41.25" customHeight="1" x14ac:dyDescent="0.25">
      <c r="A178" s="831"/>
      <c r="B178" s="69"/>
      <c r="C178" s="69"/>
      <c r="D178" s="316">
        <f>'SGTO POAI -JUNIO-2021'!F426</f>
        <v>3904</v>
      </c>
      <c r="E178" s="783" t="str">
        <f>'SGTO POAI -JUNIO-2021'!G426</f>
        <v>Generación de una cultura qué valora y gestiona en conocimiento y la innovación.</v>
      </c>
      <c r="F178" s="785">
        <f>'SGTO POAI -JUNIO-2021'!AF426</f>
        <v>18000000</v>
      </c>
      <c r="J178" s="834"/>
    </row>
    <row r="179" spans="1:14" s="8" customFormat="1" ht="24" customHeight="1" x14ac:dyDescent="0.25">
      <c r="A179" s="115"/>
      <c r="B179" s="116">
        <f>'SGTO POAI -JUNIO-2021'!B428</f>
        <v>4</v>
      </c>
      <c r="C179" s="61" t="str">
        <f>'SGTO POAI -JUNIO-2021'!D428</f>
        <v xml:space="preserve">LIDERAZGO, GOBERNABILIDAD Y TRANSPARENCIA </v>
      </c>
      <c r="D179" s="61"/>
      <c r="E179" s="481"/>
      <c r="F179" s="471">
        <f>F180</f>
        <v>298000000</v>
      </c>
      <c r="G179" s="7"/>
      <c r="H179" s="7"/>
      <c r="I179" s="7"/>
      <c r="J179" s="46"/>
    </row>
    <row r="180" spans="1:14" s="8" customFormat="1" ht="24" customHeight="1" x14ac:dyDescent="0.25">
      <c r="A180" s="115"/>
      <c r="B180" s="312"/>
      <c r="C180" s="64">
        <f>'SGTO POAI -JUNIO-2021'!D429</f>
        <v>23</v>
      </c>
      <c r="D180" s="62" t="str">
        <f>'SGTO POAI -JUNIO-2021'!E429</f>
        <v>Tecnologías de la información y las comunicaciones</v>
      </c>
      <c r="E180" s="62"/>
      <c r="F180" s="473">
        <f>F181</f>
        <v>298000000</v>
      </c>
      <c r="G180" s="7"/>
      <c r="H180" s="7"/>
      <c r="I180" s="7"/>
      <c r="J180" s="46"/>
    </row>
    <row r="181" spans="1:14" s="812" customFormat="1" ht="72" customHeight="1" x14ac:dyDescent="0.25">
      <c r="A181" s="831"/>
      <c r="B181" s="69"/>
      <c r="C181" s="69"/>
      <c r="D181" s="316">
        <f>'SGTO POAI -JUNIO-2021'!F430</f>
        <v>2302</v>
      </c>
      <c r="E181" s="783" t="str">
        <f>'SGTO POAI -JUNIO-2021'!G430</f>
        <v>Fomento del desarrollo de aplicaciones, software y contenidos para impulsar la apropiación de las Tecnologías de la Información y las Comunicaciones (TIC) "Quindío paraíso empresarial TIC-Quindío TIC"</v>
      </c>
      <c r="F181" s="785">
        <f>'SGTO POAI -JUNIO-2021'!AF430</f>
        <v>298000000</v>
      </c>
      <c r="J181" s="834"/>
    </row>
    <row r="182" spans="1:14" s="10" customFormat="1" ht="18.75" customHeight="1" x14ac:dyDescent="0.2">
      <c r="A182" s="49"/>
      <c r="B182" s="475"/>
      <c r="C182" s="475"/>
      <c r="D182" s="475"/>
      <c r="E182" s="493"/>
      <c r="F182" s="476"/>
      <c r="G182" s="17"/>
      <c r="H182" s="17"/>
      <c r="I182" s="17"/>
      <c r="J182" s="48"/>
    </row>
    <row r="183" spans="1:14" s="25" customFormat="1" ht="30" customHeight="1" x14ac:dyDescent="0.25">
      <c r="A183" s="487" t="s">
        <v>1307</v>
      </c>
      <c r="B183" s="488"/>
      <c r="C183" s="580"/>
      <c r="D183" s="581"/>
      <c r="E183" s="582"/>
      <c r="F183" s="490">
        <f>F170+K161+H139+M128+F120+H98+H89+I81+H57+K30+H23+F15+F7</f>
        <v>291418489407.71002</v>
      </c>
      <c r="G183" s="24"/>
      <c r="H183" s="24"/>
      <c r="I183" s="24"/>
      <c r="J183" s="51"/>
    </row>
    <row r="184" spans="1:14" s="10" customFormat="1" ht="24" customHeight="1" x14ac:dyDescent="0.2">
      <c r="A184" s="49"/>
      <c r="B184" s="475"/>
      <c r="C184" s="475"/>
      <c r="D184" s="475"/>
      <c r="E184" s="493"/>
      <c r="F184" s="476"/>
      <c r="G184" s="42"/>
      <c r="H184" s="17"/>
      <c r="I184" s="17"/>
      <c r="J184" s="17"/>
      <c r="K184" s="17"/>
      <c r="L184" s="48"/>
    </row>
    <row r="185" spans="1:14" ht="24" customHeight="1" x14ac:dyDescent="0.2">
      <c r="A185" s="930" t="s">
        <v>5</v>
      </c>
      <c r="B185" s="930" t="s">
        <v>6</v>
      </c>
      <c r="C185" s="930" t="s">
        <v>7</v>
      </c>
      <c r="D185" s="930" t="s">
        <v>1392</v>
      </c>
      <c r="E185" s="921" t="s">
        <v>8</v>
      </c>
      <c r="F185" s="890" t="s">
        <v>1571</v>
      </c>
      <c r="G185" s="891" t="s">
        <v>1393</v>
      </c>
      <c r="H185" s="891" t="s">
        <v>1405</v>
      </c>
      <c r="I185" s="891" t="s">
        <v>1406</v>
      </c>
      <c r="J185" s="891" t="s">
        <v>15</v>
      </c>
      <c r="K185" s="833"/>
      <c r="L185" s="3"/>
      <c r="M185" s="44"/>
    </row>
    <row r="186" spans="1:14" ht="24" customHeight="1" x14ac:dyDescent="0.2">
      <c r="A186" s="930"/>
      <c r="B186" s="930"/>
      <c r="C186" s="930"/>
      <c r="D186" s="930"/>
      <c r="E186" s="921"/>
      <c r="F186" s="841" t="s">
        <v>1538</v>
      </c>
      <c r="G186" s="575" t="s">
        <v>1538</v>
      </c>
      <c r="H186" s="576" t="s">
        <v>1538</v>
      </c>
      <c r="I186" s="576" t="s">
        <v>1538</v>
      </c>
      <c r="J186" s="576" t="s">
        <v>1538</v>
      </c>
      <c r="K186" s="833"/>
      <c r="L186" s="3"/>
      <c r="M186" s="44"/>
    </row>
    <row r="187" spans="1:14" ht="24" customHeight="1" x14ac:dyDescent="0.2">
      <c r="A187" s="38" t="s">
        <v>1308</v>
      </c>
      <c r="B187" s="39"/>
      <c r="C187" s="39"/>
      <c r="D187" s="39"/>
      <c r="E187" s="67"/>
      <c r="F187" s="36">
        <f t="shared" ref="F187:F188" si="28">F188</f>
        <v>6651616460</v>
      </c>
      <c r="G187" s="36">
        <f t="shared" ref="G187:J188" si="29">G188</f>
        <v>1047130260.64</v>
      </c>
      <c r="H187" s="36">
        <f t="shared" si="29"/>
        <v>4312107593.5500002</v>
      </c>
      <c r="I187" s="36">
        <f t="shared" si="29"/>
        <v>1000000000</v>
      </c>
      <c r="J187" s="36">
        <f t="shared" si="29"/>
        <v>13010854314.189999</v>
      </c>
      <c r="K187" s="833"/>
      <c r="L187" s="3"/>
      <c r="M187" s="44"/>
    </row>
    <row r="188" spans="1:14" ht="24" customHeight="1" x14ac:dyDescent="0.2">
      <c r="A188" s="130"/>
      <c r="B188" s="116">
        <f>'SGTO POAI -JUNIO-2021'!B452</f>
        <v>1</v>
      </c>
      <c r="C188" s="61" t="str">
        <f>'SGTO POAI -JUNIO-2021'!D452</f>
        <v xml:space="preserve">INCLUSIÓN SOCIAL Y EQUIDAD </v>
      </c>
      <c r="D188" s="61"/>
      <c r="E188" s="481"/>
      <c r="F188" s="471">
        <f t="shared" si="28"/>
        <v>6651616460</v>
      </c>
      <c r="G188" s="471">
        <f t="shared" si="29"/>
        <v>1047130260.64</v>
      </c>
      <c r="H188" s="471">
        <f t="shared" si="29"/>
        <v>4312107593.5500002</v>
      </c>
      <c r="I188" s="471">
        <f t="shared" si="29"/>
        <v>1000000000</v>
      </c>
      <c r="J188" s="471">
        <f t="shared" si="29"/>
        <v>13010854314.189999</v>
      </c>
      <c r="K188" s="833"/>
      <c r="L188" s="3"/>
      <c r="M188" s="3"/>
      <c r="N188" s="3"/>
    </row>
    <row r="189" spans="1:14" ht="24" customHeight="1" x14ac:dyDescent="0.2">
      <c r="A189" s="130"/>
      <c r="B189" s="312"/>
      <c r="C189" s="64">
        <f>'SGTO POAI -JUNIO-2021'!D453</f>
        <v>43</v>
      </c>
      <c r="D189" s="62" t="str">
        <f>'SGTO POAI -JUNIO-2021'!E453</f>
        <v>Deporte y recreación</v>
      </c>
      <c r="E189" s="472"/>
      <c r="F189" s="473">
        <f>SUM(F190:F191)</f>
        <v>6651616460</v>
      </c>
      <c r="G189" s="473">
        <f>SUM(G190:G191)</f>
        <v>1047130260.64</v>
      </c>
      <c r="H189" s="473">
        <f>SUM(H190:H191)</f>
        <v>4312107593.5500002</v>
      </c>
      <c r="I189" s="473">
        <f>SUM(I190:I191)</f>
        <v>1000000000</v>
      </c>
      <c r="J189" s="473">
        <f>SUM(J190:J191)</f>
        <v>13010854314.189999</v>
      </c>
      <c r="K189" s="833"/>
      <c r="L189" s="3"/>
      <c r="M189" s="44"/>
    </row>
    <row r="190" spans="1:14" s="37" customFormat="1" ht="60" customHeight="1" x14ac:dyDescent="0.2">
      <c r="A190" s="311"/>
      <c r="B190" s="69"/>
      <c r="C190" s="69"/>
      <c r="D190" s="69">
        <f>'SGTO POAI -JUNIO-2021'!F454</f>
        <v>4301</v>
      </c>
      <c r="E190" s="820" t="str">
        <f>'SGTO POAI -JUNIO-2021'!G454</f>
        <v>Fomento a la recreación, la actividad física y el deporte para desarrollar entornos de convivencia y paz "Tú y yo en la recreación y en deporte"</v>
      </c>
      <c r="F190" s="820">
        <f>'SGTO POAI -JUNIO-2021'!V442</f>
        <v>2117742469</v>
      </c>
      <c r="G190" s="785">
        <f>'SGTO POAI -JUNIO-2021'!AF442</f>
        <v>136127636</v>
      </c>
      <c r="H190" s="785">
        <f>'SGTO POAI -JUNIO-2021'!AG442</f>
        <v>1978796087.1399999</v>
      </c>
      <c r="I190" s="785">
        <f>'SGTO POAI -JUNIO-2021'!AH442</f>
        <v>1000000000</v>
      </c>
      <c r="J190" s="785">
        <f>G190+H190+I190+F190</f>
        <v>5232666192.1399994</v>
      </c>
      <c r="K190" s="833"/>
      <c r="M190" s="47"/>
    </row>
    <row r="191" spans="1:14" s="37" customFormat="1" ht="37.5" customHeight="1" x14ac:dyDescent="0.2">
      <c r="A191" s="311"/>
      <c r="B191" s="69"/>
      <c r="C191" s="69"/>
      <c r="D191" s="69">
        <f>'SGTO POAI -JUNIO-2021'!F447</f>
        <v>4302</v>
      </c>
      <c r="E191" s="820" t="str">
        <f>'SGTO POAI -JUNIO-2021'!G447</f>
        <v>Formación y preparación de deportistas. "Tú y yo campeones"</v>
      </c>
      <c r="F191" s="820">
        <f>'SGTO POAI -JUNIO-2021'!V447</f>
        <v>4533873991</v>
      </c>
      <c r="G191" s="785">
        <f>'SGTO POAI -JUNIO-2021'!AF447</f>
        <v>911002624.63999999</v>
      </c>
      <c r="H191" s="785">
        <f>'SGTO POAI -JUNIO-2021'!AG447</f>
        <v>2333311506.4100003</v>
      </c>
      <c r="I191" s="785"/>
      <c r="J191" s="785">
        <f>G191+H191+I191+F191</f>
        <v>7778188122.0500002</v>
      </c>
      <c r="K191" s="833"/>
      <c r="M191" s="47"/>
    </row>
    <row r="192" spans="1:14" s="10" customFormat="1" ht="18.75" customHeight="1" x14ac:dyDescent="0.2">
      <c r="A192" s="49"/>
      <c r="B192" s="475"/>
      <c r="C192" s="475"/>
      <c r="D192" s="475"/>
      <c r="E192" s="493"/>
      <c r="F192" s="476"/>
      <c r="G192" s="42"/>
      <c r="H192" s="17"/>
      <c r="I192" s="17"/>
      <c r="J192" s="17"/>
      <c r="K192" s="17"/>
      <c r="L192" s="48"/>
    </row>
    <row r="193" spans="1:12" ht="24" customHeight="1" x14ac:dyDescent="0.2">
      <c r="A193" s="930" t="s">
        <v>5</v>
      </c>
      <c r="B193" s="930" t="s">
        <v>6</v>
      </c>
      <c r="C193" s="930" t="s">
        <v>7</v>
      </c>
      <c r="D193" s="930" t="s">
        <v>1392</v>
      </c>
      <c r="E193" s="921" t="s">
        <v>8</v>
      </c>
      <c r="F193" s="892" t="s">
        <v>1547</v>
      </c>
      <c r="G193" s="893" t="s">
        <v>1405</v>
      </c>
      <c r="H193" s="891" t="s">
        <v>15</v>
      </c>
      <c r="J193" s="44"/>
      <c r="K193" s="1"/>
      <c r="L193" s="1"/>
    </row>
    <row r="194" spans="1:12" ht="24" customHeight="1" x14ac:dyDescent="0.2">
      <c r="A194" s="930"/>
      <c r="B194" s="930"/>
      <c r="C194" s="930"/>
      <c r="D194" s="930"/>
      <c r="E194" s="921"/>
      <c r="F194" s="575" t="s">
        <v>1538</v>
      </c>
      <c r="G194" s="576" t="s">
        <v>1538</v>
      </c>
      <c r="H194" s="576" t="s">
        <v>1538</v>
      </c>
      <c r="J194" s="44"/>
      <c r="K194" s="1"/>
      <c r="L194" s="1"/>
    </row>
    <row r="195" spans="1:12" s="10" customFormat="1" ht="24" customHeight="1" x14ac:dyDescent="0.2">
      <c r="A195" s="38" t="s">
        <v>1334</v>
      </c>
      <c r="B195" s="39"/>
      <c r="C195" s="39"/>
      <c r="D195" s="39"/>
      <c r="E195" s="67"/>
      <c r="F195" s="36">
        <f>F196+F200</f>
        <v>1027674743.01</v>
      </c>
      <c r="G195" s="36">
        <f>G196+G200</f>
        <v>997308456.01999998</v>
      </c>
      <c r="H195" s="36">
        <f>H196+H200</f>
        <v>2024983199.03</v>
      </c>
      <c r="I195" s="17"/>
      <c r="J195" s="48"/>
    </row>
    <row r="196" spans="1:12" s="10" customFormat="1" ht="24" customHeight="1" x14ac:dyDescent="0.2">
      <c r="A196" s="483"/>
      <c r="B196" s="116">
        <f>'SGTO POAI -JUNIO-2021'!B452</f>
        <v>1</v>
      </c>
      <c r="C196" s="61" t="str">
        <f>'SGTO POAI -JUNIO-2021'!D452</f>
        <v xml:space="preserve">INCLUSIÓN SOCIAL Y EQUIDAD </v>
      </c>
      <c r="D196" s="61"/>
      <c r="E196" s="481"/>
      <c r="F196" s="471">
        <f>F197</f>
        <v>616604845.79999995</v>
      </c>
      <c r="G196" s="471">
        <f>G197</f>
        <v>0</v>
      </c>
      <c r="H196" s="471">
        <f>H197</f>
        <v>616604845.79999995</v>
      </c>
      <c r="I196" s="17"/>
      <c r="J196" s="48"/>
    </row>
    <row r="197" spans="1:12" s="10" customFormat="1" ht="24" customHeight="1" x14ac:dyDescent="0.2">
      <c r="A197" s="483"/>
      <c r="B197" s="312"/>
      <c r="C197" s="64">
        <f>'SGTO POAI -JUNIO-2021'!D453</f>
        <v>43</v>
      </c>
      <c r="D197" s="62" t="str">
        <f>'SGTO POAI -JUNIO-2021'!E453</f>
        <v>Deporte y recreación</v>
      </c>
      <c r="E197" s="472"/>
      <c r="F197" s="473">
        <f>SUM(F198:F199)</f>
        <v>616604845.79999995</v>
      </c>
      <c r="G197" s="473">
        <f>SUM(G198:G199)</f>
        <v>0</v>
      </c>
      <c r="H197" s="473">
        <f>SUM(H198:H199)</f>
        <v>616604845.79999995</v>
      </c>
      <c r="I197" s="17"/>
      <c r="J197" s="48"/>
    </row>
    <row r="198" spans="1:12" s="41" customFormat="1" ht="63.75" customHeight="1" x14ac:dyDescent="0.2">
      <c r="A198" s="484"/>
      <c r="B198" s="316"/>
      <c r="C198" s="316"/>
      <c r="D198" s="69">
        <f>'SGTO POAI -JUNIO-2021'!F454</f>
        <v>4301</v>
      </c>
      <c r="E198" s="783" t="str">
        <f>'SGTO POAI -JUNIO-2021'!G454</f>
        <v>Fomento a la recreación, la actividad física y el deporte para desarrollar entornos de convivencia y paz "Tú y yo en la recreación y en deporte"</v>
      </c>
      <c r="F198" s="785">
        <f>'SGTO POAI -JUNIO-2021'!V454</f>
        <v>308302422.89999998</v>
      </c>
      <c r="G198" s="785">
        <f>'SGTO POAI -JUNIO-2021'!AG454</f>
        <v>0</v>
      </c>
      <c r="H198" s="785">
        <f>G198+F198</f>
        <v>308302422.89999998</v>
      </c>
      <c r="J198" s="50"/>
    </row>
    <row r="199" spans="1:12" s="41" customFormat="1" ht="66.75" customHeight="1" x14ac:dyDescent="0.2">
      <c r="A199" s="484"/>
      <c r="B199" s="316"/>
      <c r="C199" s="316"/>
      <c r="D199" s="69">
        <f>'SGTO POAI -JUNIO-2021'!F457</f>
        <v>2201</v>
      </c>
      <c r="E199" s="783" t="str">
        <f>'SGTO POAI -JUNIO-2021'!G457</f>
        <v>Calidad, cobertura y fortalecimiento de la educación inicial, prescolar, básica y media." Tú y yo con educación y de calidad"</v>
      </c>
      <c r="F199" s="785">
        <f>'SGTO POAI -JUNIO-2021'!V457</f>
        <v>308302422.89999998</v>
      </c>
      <c r="G199" s="785">
        <f>'SGTO POAI -JUNIO-2021'!AG457</f>
        <v>0</v>
      </c>
      <c r="H199" s="785">
        <f>G199+F199</f>
        <v>308302422.89999998</v>
      </c>
      <c r="J199" s="50"/>
    </row>
    <row r="200" spans="1:12" s="10" customFormat="1" ht="24" customHeight="1" x14ac:dyDescent="0.2">
      <c r="A200" s="483"/>
      <c r="B200" s="116">
        <f>'SGTO POAI -JUNIO-2021'!B459</f>
        <v>3</v>
      </c>
      <c r="C200" s="61" t="str">
        <f>'SGTO POAI -JUNIO-2021'!D459</f>
        <v xml:space="preserve">TERRITORIO, AMBIENTE Y DESARROLLO SOSTENIBLE </v>
      </c>
      <c r="D200" s="61"/>
      <c r="E200" s="481"/>
      <c r="F200" s="471">
        <f>F201+F203</f>
        <v>411069897.21000004</v>
      </c>
      <c r="G200" s="471">
        <f>G201+G203</f>
        <v>997308456.01999998</v>
      </c>
      <c r="H200" s="471">
        <f>H201+H203</f>
        <v>1408378353.23</v>
      </c>
      <c r="I200" s="17"/>
      <c r="J200" s="48"/>
    </row>
    <row r="201" spans="1:12" s="10" customFormat="1" ht="24" customHeight="1" x14ac:dyDescent="0.2">
      <c r="A201" s="483"/>
      <c r="B201" s="312"/>
      <c r="C201" s="479">
        <f>'SGTO POAI -JUNIO-2021'!D460</f>
        <v>24</v>
      </c>
      <c r="D201" s="62" t="str">
        <f>'SGTO POAI -JUNIO-2021'!E460</f>
        <v>Transporte</v>
      </c>
      <c r="E201" s="478"/>
      <c r="F201" s="473">
        <f>F202</f>
        <v>0</v>
      </c>
      <c r="G201" s="473">
        <f>G202</f>
        <v>199461691.20000002</v>
      </c>
      <c r="H201" s="473">
        <f>H202</f>
        <v>199461691.20000002</v>
      </c>
      <c r="I201" s="17"/>
      <c r="J201" s="48"/>
    </row>
    <row r="202" spans="1:12" s="10" customFormat="1" ht="46.5" customHeight="1" x14ac:dyDescent="0.2">
      <c r="A202" s="483"/>
      <c r="B202" s="76"/>
      <c r="C202" s="76"/>
      <c r="D202" s="69">
        <f>'SGTO POAI -JUNIO-2021'!F461</f>
        <v>2402</v>
      </c>
      <c r="E202" s="827" t="str">
        <f>'SGTO POAI -JUNIO-2021'!G461</f>
        <v>Infraestructura red vial regional. "Tú y yo con movilidad vial"</v>
      </c>
      <c r="F202" s="835">
        <f>'SGTO POAI -JUNIO-2021'!V461</f>
        <v>0</v>
      </c>
      <c r="G202" s="835">
        <f>'SGTO POAI -JUNIO-2021'!AG461</f>
        <v>199461691.20000002</v>
      </c>
      <c r="H202" s="785">
        <f>G202+F202</f>
        <v>199461691.20000002</v>
      </c>
      <c r="I202" s="17"/>
      <c r="J202" s="48"/>
    </row>
    <row r="203" spans="1:12" s="10" customFormat="1" ht="24" customHeight="1" x14ac:dyDescent="0.2">
      <c r="A203" s="483"/>
      <c r="B203" s="230"/>
      <c r="C203" s="477">
        <f>'SGTO POAI -JUNIO-2021'!D463</f>
        <v>40</v>
      </c>
      <c r="D203" s="62" t="str">
        <f>'SGTO POAI -JUNIO-2021'!E463</f>
        <v>Vivienda, Ciudad y Territorio</v>
      </c>
      <c r="E203" s="478"/>
      <c r="F203" s="473">
        <f>F204</f>
        <v>411069897.21000004</v>
      </c>
      <c r="G203" s="473">
        <f>G204</f>
        <v>797846764.81999993</v>
      </c>
      <c r="H203" s="473">
        <f>H204</f>
        <v>1208916662.03</v>
      </c>
      <c r="I203" s="17"/>
      <c r="J203" s="48"/>
    </row>
    <row r="204" spans="1:12" s="10" customFormat="1" ht="44.25" customHeight="1" x14ac:dyDescent="0.2">
      <c r="A204" s="483"/>
      <c r="B204" s="76"/>
      <c r="C204" s="76"/>
      <c r="D204" s="69">
        <f>'SGTO POAI -JUNIO-2021'!F464</f>
        <v>4001</v>
      </c>
      <c r="E204" s="827" t="str">
        <f>'SGTO POAI -JUNIO-2021'!G464</f>
        <v>Acceso a soluciones de vivienda. "Tú y yo con vivienda digna"</v>
      </c>
      <c r="F204" s="835">
        <f>'SGTO POAI -JUNIO-2021'!V464</f>
        <v>411069897.21000004</v>
      </c>
      <c r="G204" s="835">
        <f>'SGTO POAI -JUNIO-2021'!AG464</f>
        <v>797846764.81999993</v>
      </c>
      <c r="H204" s="785">
        <f>G204+F204</f>
        <v>1208916662.03</v>
      </c>
      <c r="I204" s="17"/>
      <c r="J204" s="48"/>
    </row>
    <row r="205" spans="1:12" s="10" customFormat="1" ht="18.75" customHeight="1" x14ac:dyDescent="0.2">
      <c r="A205" s="49"/>
      <c r="B205" s="475"/>
      <c r="C205" s="475"/>
      <c r="D205" s="475"/>
      <c r="E205" s="493"/>
      <c r="F205" s="476"/>
      <c r="G205" s="42"/>
      <c r="H205" s="17"/>
      <c r="I205" s="17"/>
      <c r="J205" s="17"/>
      <c r="K205" s="17"/>
      <c r="L205" s="48"/>
    </row>
    <row r="206" spans="1:12" ht="24" customHeight="1" x14ac:dyDescent="0.2">
      <c r="A206" s="930" t="s">
        <v>5</v>
      </c>
      <c r="B206" s="930" t="s">
        <v>6</v>
      </c>
      <c r="C206" s="930" t="s">
        <v>7</v>
      </c>
      <c r="D206" s="930" t="s">
        <v>1392</v>
      </c>
      <c r="E206" s="993" t="s">
        <v>8</v>
      </c>
      <c r="F206" s="891" t="s">
        <v>1407</v>
      </c>
      <c r="G206" s="3"/>
      <c r="J206" s="44"/>
      <c r="K206" s="1"/>
      <c r="L206" s="1"/>
    </row>
    <row r="207" spans="1:12" ht="24" customHeight="1" x14ac:dyDescent="0.2">
      <c r="A207" s="930"/>
      <c r="B207" s="930"/>
      <c r="C207" s="930"/>
      <c r="D207" s="930"/>
      <c r="E207" s="993"/>
      <c r="F207" s="891" t="s">
        <v>1538</v>
      </c>
      <c r="G207" s="3"/>
      <c r="J207" s="44"/>
      <c r="K207" s="1"/>
      <c r="L207" s="1"/>
    </row>
    <row r="208" spans="1:12" ht="24" customHeight="1" x14ac:dyDescent="0.2">
      <c r="A208" s="38" t="s">
        <v>1369</v>
      </c>
      <c r="B208" s="39"/>
      <c r="C208" s="39"/>
      <c r="D208" s="39"/>
      <c r="E208" s="899"/>
      <c r="F208" s="902">
        <f>F209</f>
        <v>110210000</v>
      </c>
      <c r="G208" s="3"/>
      <c r="J208" s="44"/>
      <c r="K208" s="1"/>
      <c r="L208" s="1"/>
    </row>
    <row r="209" spans="1:12" ht="24" customHeight="1" x14ac:dyDescent="0.2">
      <c r="A209" s="130"/>
      <c r="B209" s="116">
        <f>'SGTO POAI -JUNIO-2021'!B474</f>
        <v>3</v>
      </c>
      <c r="C209" s="61" t="str">
        <f>'SGTO POAI -JUNIO-2021'!C474</f>
        <v xml:space="preserve">TERRITORIO, AMBIENTE Y DESARROLLO SOSTENIBLE </v>
      </c>
      <c r="D209" s="61"/>
      <c r="E209" s="900"/>
      <c r="F209" s="903">
        <f>F210</f>
        <v>110210000</v>
      </c>
      <c r="G209" s="3"/>
      <c r="J209" s="44"/>
      <c r="K209" s="1"/>
      <c r="L209" s="1"/>
    </row>
    <row r="210" spans="1:12" ht="24" customHeight="1" x14ac:dyDescent="0.2">
      <c r="A210" s="130"/>
      <c r="B210" s="312"/>
      <c r="C210" s="64">
        <f>'SGTO POAI -JUNIO-2021'!D475</f>
        <v>24</v>
      </c>
      <c r="D210" s="492" t="str">
        <f>'SGTO POAI -JUNIO-2021'!E475</f>
        <v>Transporte</v>
      </c>
      <c r="E210" s="913"/>
      <c r="F210" s="904">
        <f>F211</f>
        <v>110210000</v>
      </c>
      <c r="G210" s="3"/>
      <c r="J210" s="44"/>
      <c r="K210" s="1"/>
      <c r="L210" s="1"/>
    </row>
    <row r="211" spans="1:12" s="37" customFormat="1" ht="47.25" customHeight="1" x14ac:dyDescent="0.2">
      <c r="A211" s="311"/>
      <c r="B211" s="69"/>
      <c r="C211" s="69"/>
      <c r="D211" s="69">
        <f>'SGTO POAI -JUNIO-2021'!F476</f>
        <v>2409</v>
      </c>
      <c r="E211" s="914" t="str">
        <f>'SGTO POAI -JUNIO-2021'!G476</f>
        <v>Seguridad de Transporte. "Tú y yo seguros en la vía"</v>
      </c>
      <c r="F211" s="905">
        <f>'SGTO POAI -JUNIO-2021'!AG476</f>
        <v>110210000</v>
      </c>
      <c r="J211" s="47"/>
    </row>
    <row r="212" spans="1:12" s="43" customFormat="1" ht="23.25" customHeight="1" x14ac:dyDescent="0.2">
      <c r="A212" s="1"/>
      <c r="B212" s="12"/>
      <c r="C212" s="12"/>
      <c r="D212" s="12"/>
      <c r="E212" s="13"/>
      <c r="F212" s="13"/>
      <c r="G212" s="17"/>
      <c r="H212" s="17"/>
      <c r="I212" s="17"/>
      <c r="J212" s="48"/>
    </row>
    <row r="213" spans="1:12" s="32" customFormat="1" ht="30" customHeight="1" x14ac:dyDescent="0.25">
      <c r="A213" s="499" t="s">
        <v>1387</v>
      </c>
      <c r="B213" s="500"/>
      <c r="C213" s="500"/>
      <c r="D213" s="500"/>
      <c r="E213" s="500"/>
      <c r="F213" s="583">
        <f>J187+H195+F208</f>
        <v>15146047513.219999</v>
      </c>
      <c r="J213" s="52"/>
    </row>
    <row r="214" spans="1:12" s="32" customFormat="1" ht="16.5" thickBot="1" x14ac:dyDescent="0.3">
      <c r="A214" s="29"/>
      <c r="B214" s="30"/>
      <c r="C214" s="30"/>
      <c r="D214" s="30"/>
      <c r="E214" s="31"/>
      <c r="F214" s="31"/>
      <c r="J214" s="52"/>
    </row>
    <row r="215" spans="1:12" s="37" customFormat="1" ht="30" customHeight="1" thickBot="1" x14ac:dyDescent="0.25">
      <c r="A215" s="330" t="s">
        <v>1388</v>
      </c>
      <c r="B215" s="331"/>
      <c r="C215" s="331"/>
      <c r="D215" s="332"/>
      <c r="E215" s="333"/>
      <c r="F215" s="334">
        <f>F213+F183</f>
        <v>306564536920.92999</v>
      </c>
      <c r="J215" s="47"/>
    </row>
  </sheetData>
  <sheetProtection algorithmName="SHA-512" hashValue="7FBU737JWXbNkkav8y8t18CQZGVmLQ+RrUGhtvnkJygfitxo4usxEwzN8exJqpM2M04gvh3t10SiR4qevl9iVg==" saltValue="t3FJ1eT2hnlTPhPyvhyLbw==" spinCount="100000" sheet="1" objects="1" scenarios="1"/>
  <mergeCells count="81">
    <mergeCell ref="B1:F2"/>
    <mergeCell ref="A185:A186"/>
    <mergeCell ref="B185:B186"/>
    <mergeCell ref="C185:C186"/>
    <mergeCell ref="D185:D186"/>
    <mergeCell ref="A159:A160"/>
    <mergeCell ref="B159:B160"/>
    <mergeCell ref="C159:C160"/>
    <mergeCell ref="D159:D160"/>
    <mergeCell ref="E159:E160"/>
    <mergeCell ref="A137:A138"/>
    <mergeCell ref="B137:B138"/>
    <mergeCell ref="C137:C138"/>
    <mergeCell ref="D137:D138"/>
    <mergeCell ref="E137:E138"/>
    <mergeCell ref="A126:A127"/>
    <mergeCell ref="E206:E207"/>
    <mergeCell ref="E193:E194"/>
    <mergeCell ref="E185:E186"/>
    <mergeCell ref="A206:A207"/>
    <mergeCell ref="B206:B207"/>
    <mergeCell ref="C206:C207"/>
    <mergeCell ref="D206:D207"/>
    <mergeCell ref="A193:A194"/>
    <mergeCell ref="B193:B194"/>
    <mergeCell ref="C193:C194"/>
    <mergeCell ref="D193:D194"/>
    <mergeCell ref="B126:B127"/>
    <mergeCell ref="C126:C127"/>
    <mergeCell ref="D126:D127"/>
    <mergeCell ref="E126:E127"/>
    <mergeCell ref="A118:A119"/>
    <mergeCell ref="B118:B119"/>
    <mergeCell ref="C118:C119"/>
    <mergeCell ref="D118:D119"/>
    <mergeCell ref="E118:E119"/>
    <mergeCell ref="A5:A6"/>
    <mergeCell ref="E96:E97"/>
    <mergeCell ref="D96:D97"/>
    <mergeCell ref="C96:C97"/>
    <mergeCell ref="B96:B97"/>
    <mergeCell ref="A96:A97"/>
    <mergeCell ref="E87:E88"/>
    <mergeCell ref="A21:A22"/>
    <mergeCell ref="B21:B22"/>
    <mergeCell ref="C21:C22"/>
    <mergeCell ref="D21:D22"/>
    <mergeCell ref="E21:E22"/>
    <mergeCell ref="A79:A80"/>
    <mergeCell ref="A87:A88"/>
    <mergeCell ref="B87:B88"/>
    <mergeCell ref="A28:A29"/>
    <mergeCell ref="A13:A14"/>
    <mergeCell ref="E28:E29"/>
    <mergeCell ref="D28:D29"/>
    <mergeCell ref="C28:C29"/>
    <mergeCell ref="B28:B29"/>
    <mergeCell ref="B13:B14"/>
    <mergeCell ref="B5:B6"/>
    <mergeCell ref="C5:C6"/>
    <mergeCell ref="D5:D6"/>
    <mergeCell ref="E5:E6"/>
    <mergeCell ref="C13:C14"/>
    <mergeCell ref="D13:D14"/>
    <mergeCell ref="E13:E14"/>
    <mergeCell ref="B79:B80"/>
    <mergeCell ref="E55:E56"/>
    <mergeCell ref="A168:A169"/>
    <mergeCell ref="B168:B169"/>
    <mergeCell ref="C168:C169"/>
    <mergeCell ref="D168:D169"/>
    <mergeCell ref="E168:E169"/>
    <mergeCell ref="C87:C88"/>
    <mergeCell ref="D87:D88"/>
    <mergeCell ref="A55:A56"/>
    <mergeCell ref="B55:B56"/>
    <mergeCell ref="C55:C56"/>
    <mergeCell ref="D55:D56"/>
    <mergeCell ref="E79:E80"/>
    <mergeCell ref="D79:D80"/>
    <mergeCell ref="C79:C8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D65"/>
  <sheetViews>
    <sheetView showGridLines="0" zoomScale="70" zoomScaleNormal="70" workbookViewId="0">
      <selection activeCell="C23" sqref="C23"/>
    </sheetView>
  </sheetViews>
  <sheetFormatPr baseColWidth="10" defaultColWidth="11.42578125" defaultRowHeight="15" x14ac:dyDescent="0.25"/>
  <cols>
    <col min="3" max="3" width="67.7109375" customWidth="1"/>
    <col min="4" max="4" width="30.85546875" customWidth="1"/>
  </cols>
  <sheetData>
    <row r="1" spans="2:4" ht="69.75" customHeight="1" x14ac:dyDescent="0.25">
      <c r="B1" s="1003" t="s">
        <v>1560</v>
      </c>
      <c r="C1" s="1004"/>
      <c r="D1" s="1004"/>
    </row>
    <row r="2" spans="2:4" ht="15.75" x14ac:dyDescent="0.25">
      <c r="B2" s="390" t="s">
        <v>1392</v>
      </c>
      <c r="C2" s="389" t="s">
        <v>7</v>
      </c>
      <c r="D2" s="390" t="s">
        <v>1538</v>
      </c>
    </row>
    <row r="3" spans="2:4" ht="15.75" x14ac:dyDescent="0.25">
      <c r="B3" s="116">
        <f>'UNIDADES + FUENTE'!B171</f>
        <v>1</v>
      </c>
      <c r="C3" s="61" t="str">
        <f>'RESUMEN POR UNIDAD'!B50</f>
        <v xml:space="preserve">INCLUSIÓN SOCIAL Y EQUIDAD </v>
      </c>
      <c r="D3" s="395">
        <f>SUM(D4:D21)</f>
        <v>266176734111.85004</v>
      </c>
    </row>
    <row r="4" spans="2:4" ht="21" customHeight="1" x14ac:dyDescent="0.25">
      <c r="B4" s="392">
        <v>1202</v>
      </c>
      <c r="C4" s="397" t="str">
        <f>'RESUMEN POR UNIDAD'!D27</f>
        <v>Promoción al acceso a la justicia. "Tú y yo con justicia"</v>
      </c>
      <c r="D4" s="394">
        <f>'RESUMEN POR UNIDAD'!E27+'RESUMEN POR UNIDAD'!E52</f>
        <v>173750000</v>
      </c>
    </row>
    <row r="5" spans="2:4" ht="36.75" customHeight="1" x14ac:dyDescent="0.25">
      <c r="B5" s="392">
        <v>1203</v>
      </c>
      <c r="C5" s="397" t="str">
        <f>'RESUMEN POR UNIDAD'!D53</f>
        <v>Promoción de los métodos de resolución de conflictos. "Tú y yo resolvemos los conflictos"</v>
      </c>
      <c r="D5" s="394">
        <f>'RESUMEN POR UNIDAD'!E53</f>
        <v>69028401</v>
      </c>
    </row>
    <row r="6" spans="2:4" ht="40.5" customHeight="1" x14ac:dyDescent="0.25">
      <c r="B6" s="392">
        <v>1206</v>
      </c>
      <c r="C6" s="398" t="str">
        <f>'RESUMEN POR UNIDAD'!D54</f>
        <v>Sistema penitenciario y carcelario en el marco de los derechos humanos. "Quindío respeta derechos penitenciarios"</v>
      </c>
      <c r="D6" s="394">
        <f>'RESUMEN POR UNIDAD'!E54</f>
        <v>36000000</v>
      </c>
    </row>
    <row r="7" spans="2:4" ht="27.75" customHeight="1" x14ac:dyDescent="0.25">
      <c r="B7" s="392">
        <v>1903</v>
      </c>
      <c r="C7" s="397" t="str">
        <f>'UNIDADES + FUENTE'!E164</f>
        <v xml:space="preserve">Inspección, vigilancia y control. "Tú y yo con salud certificada" </v>
      </c>
      <c r="D7" s="394">
        <f>'RESUMEN POR UNIDAD'!E142</f>
        <v>3182666735.21</v>
      </c>
    </row>
    <row r="8" spans="2:4" ht="25.5" customHeight="1" x14ac:dyDescent="0.25">
      <c r="B8" s="392">
        <v>1905</v>
      </c>
      <c r="C8" s="397" t="str">
        <f>'RESUMEN POR UNIDAD'!D122</f>
        <v>Salud Pública, "Tú y yo con salud de calidad"</v>
      </c>
      <c r="D8" s="394">
        <f>'RESUMEN POR UNIDAD'!E122+'RESUMEN POR UNIDAD'!E143</f>
        <v>5459498045.4899998</v>
      </c>
    </row>
    <row r="9" spans="2:4" ht="38.25" customHeight="1" x14ac:dyDescent="0.25">
      <c r="B9" s="392">
        <v>1906</v>
      </c>
      <c r="C9" s="398" t="str">
        <f>'RESUMEN POR UNIDAD'!D29</f>
        <v>Aseguramiento y Prestación integral de servicios de salud "Tú y yo con servicios de salud"</v>
      </c>
      <c r="D9" s="394">
        <f>'RESUMEN POR UNIDAD'!E29+'RESUMEN POR UNIDAD'!E144</f>
        <v>46089445731.830002</v>
      </c>
    </row>
    <row r="10" spans="2:4" ht="39" customHeight="1" x14ac:dyDescent="0.25">
      <c r="B10" s="392">
        <v>2201</v>
      </c>
      <c r="C10" s="397" t="str">
        <f>'RESUMEN POR UNIDAD'!D31</f>
        <v>Calidad, cobertura y fortalecimiento de la educación inicial, prescolar, básica y media." Tú y yo con educación y  calidad"</v>
      </c>
      <c r="D10" s="394">
        <f>'RESUMEN POR UNIDAD'!E31+'RESUMEN POR UNIDAD'!E56+'RESUMEN POR UNIDAD'!E113</f>
        <v>192798784585.30008</v>
      </c>
    </row>
    <row r="11" spans="2:4" ht="37.5" customHeight="1" x14ac:dyDescent="0.25">
      <c r="B11" s="392">
        <v>2202</v>
      </c>
      <c r="C11" s="398" t="str">
        <f>'RESUMEN POR UNIDAD'!D114</f>
        <v>Calidad y fomento de la Educación "Tú y yo preparados para la educación superior"</v>
      </c>
      <c r="D11" s="394">
        <f>'RESUMEN POR UNIDAD'!E114</f>
        <v>100000000</v>
      </c>
    </row>
    <row r="12" spans="2:4" ht="49.5" customHeight="1" x14ac:dyDescent="0.25">
      <c r="B12" s="392">
        <v>2301</v>
      </c>
      <c r="C12" s="397" t="str">
        <f>'RESUMEN POR UNIDAD'!D149</f>
        <v>Facilitar en acceso y uso de las Tecnologías de la Información y las Comunicaciones (TIC)  en todo el territorio nacional.  "Tú y yo somos ciudadanos TIC"</v>
      </c>
      <c r="D12" s="394">
        <f>'RESUMEN POR UNIDAD'!E149</f>
        <v>674000000</v>
      </c>
    </row>
    <row r="13" spans="2:4" ht="63" customHeight="1" x14ac:dyDescent="0.25">
      <c r="B13" s="392">
        <v>2302</v>
      </c>
      <c r="C13" s="398" t="str">
        <f>'RESUMEN POR UNIDAD'!D150</f>
        <v>Fomento del desarrollo de aplicaciones, software y contenidos para impulsar la apropiación de las Tecnologías de la Información y las Comunicaciones (TIC) "Quindío paraíso empresarial TIC-Quindío TIC"</v>
      </c>
      <c r="D13" s="394">
        <f>'RESUMEN POR UNIDAD'!E150</f>
        <v>146000000</v>
      </c>
    </row>
    <row r="14" spans="2:4" ht="39" customHeight="1" x14ac:dyDescent="0.25">
      <c r="B14" s="392">
        <v>3301</v>
      </c>
      <c r="C14" s="398" t="str">
        <f>'RESUMEN POR UNIDAD'!D33</f>
        <v>Promoción y acceso efectivo a procesos culturales y artísticos. "Tú y yo somos cultura Quindiana"</v>
      </c>
      <c r="D14" s="394">
        <f>'RESUMEN POR UNIDAD'!E33+'RESUMEN POR UNIDAD'!E74+'RESUMEN POR UNIDAD'!E124</f>
        <v>3826569083.02</v>
      </c>
    </row>
    <row r="15" spans="2:4" ht="37.5" customHeight="1" x14ac:dyDescent="0.25">
      <c r="B15" s="392">
        <v>3302</v>
      </c>
      <c r="C15" s="398" t="str">
        <f>'RESUMEN POR UNIDAD'!D75</f>
        <v>Gestión, protección y salvaguardia del patrimonio cultural colombiano. "Tú y yo protectores del patrimonio cultural"</v>
      </c>
      <c r="D15" s="394">
        <f>'RESUMEN POR UNIDAD'!E75</f>
        <v>396072575.30000001</v>
      </c>
    </row>
    <row r="16" spans="2:4" ht="38.25" customHeight="1" x14ac:dyDescent="0.25">
      <c r="B16" s="392">
        <v>4101</v>
      </c>
      <c r="C16" s="398" t="str">
        <f>'RESUMEN POR UNIDAD'!D58</f>
        <v>Atención, asistencia y reparación integral a las víctimas. "Tú y yo con reparación integral"</v>
      </c>
      <c r="D16" s="394">
        <f>'RESUMEN POR UNIDAD'!E58</f>
        <v>547707113</v>
      </c>
    </row>
    <row r="17" spans="2:4" ht="57.75" customHeight="1" x14ac:dyDescent="0.25">
      <c r="B17" s="392">
        <v>4102</v>
      </c>
      <c r="C17" s="398" t="str">
        <f>'RESUMEN POR UNIDAD'!D126</f>
        <v>Desarrollo Integral de Niños, Niñas, Adolescentes y sus Familias. "Tú y yo niños, niñas y adolescentes con desarrollo integral"</v>
      </c>
      <c r="D17" s="394">
        <f>'RESUMEN POR UNIDAD'!E126</f>
        <v>847562889</v>
      </c>
    </row>
    <row r="18" spans="2:4" ht="42.75" customHeight="1" x14ac:dyDescent="0.25">
      <c r="B18" s="392">
        <v>4103</v>
      </c>
      <c r="C18" s="398" t="str">
        <f>'RESUMEN POR UNIDAD'!D127</f>
        <v>Inclusión social y productiva para la población en situación de vulnerabilidad. "Tú y yo, población vulnerable incluida"</v>
      </c>
      <c r="D18" s="394">
        <f>'RESUMEN POR UNIDAD'!E59+'RESUMEN POR UNIDAD'!E127</f>
        <v>267821343</v>
      </c>
    </row>
    <row r="19" spans="2:4" ht="30" x14ac:dyDescent="0.25">
      <c r="B19" s="392">
        <v>4104</v>
      </c>
      <c r="C19" s="398" t="str">
        <f>'RESUMEN POR UNIDAD'!D128</f>
        <v>Atención integral de población en situación permanente de desprotección social y/o familiar "Tú y yo con atención integral"</v>
      </c>
      <c r="D19" s="394">
        <f>'RESUMEN POR UNIDAD'!E128</f>
        <v>4227165007.0100002</v>
      </c>
    </row>
    <row r="20" spans="2:4" ht="52.5" customHeight="1" x14ac:dyDescent="0.25">
      <c r="B20" s="392">
        <v>4301</v>
      </c>
      <c r="C20" s="398" t="str">
        <f>'RESUMEN POR UNIDAD'!D35</f>
        <v>Fomento a la recreación, la actividad física y el deporte para desarrollar entornos de convivencia y paz "Tú y yo en la recreación y en deporte"</v>
      </c>
      <c r="D20" s="394">
        <f>'RESUMEN POR UNIDAD'!E35</f>
        <v>2885783074.3600001</v>
      </c>
    </row>
    <row r="21" spans="2:4" ht="41.25" customHeight="1" x14ac:dyDescent="0.25">
      <c r="B21" s="392">
        <v>4501</v>
      </c>
      <c r="C21" s="398" t="str">
        <f>'RESUMEN POR UNIDAD'!D61</f>
        <v>Fortalecimiento de la convivencia y la seguridad ciudadana. "Tú y yo seguros"</v>
      </c>
      <c r="D21" s="394">
        <f>'RESUMEN POR UNIDAD'!E61</f>
        <v>4448879528.3299999</v>
      </c>
    </row>
    <row r="22" spans="2:4" ht="15.75" x14ac:dyDescent="0.25">
      <c r="B22" s="116">
        <f>'UNIDADES + FUENTE'!B90</f>
        <v>2</v>
      </c>
      <c r="C22" s="61" t="str">
        <f>'UNIDADES + FUENTE'!C90</f>
        <v>PRODUCTIVIDAD Y COMPETITIVIDAD</v>
      </c>
      <c r="D22" s="395">
        <f>SUM(D23:D34)</f>
        <v>5624941822.2399998</v>
      </c>
    </row>
    <row r="23" spans="2:4" ht="41.25" customHeight="1" x14ac:dyDescent="0.25">
      <c r="B23" s="392">
        <v>1702</v>
      </c>
      <c r="C23" s="398" t="str">
        <f>'RESUMEN POR UNIDAD'!D87</f>
        <v>Inclusión productiva de pequeños productores rurales. "Tú y yo con oportunidades para el pequeño campesino"</v>
      </c>
      <c r="D23" s="394">
        <f>'RESUMEN POR UNIDAD'!E87</f>
        <v>1574659112.6300001</v>
      </c>
    </row>
    <row r="24" spans="2:4" ht="36.75" customHeight="1" x14ac:dyDescent="0.25">
      <c r="B24" s="392">
        <v>1703</v>
      </c>
      <c r="C24" s="398" t="str">
        <f>'RESUMEN POR UNIDAD'!D88</f>
        <v>Servicios financieros y gestión del riesgo para las actividades agropecuarias y rurales. "Tú y yo con un campo protegido"</v>
      </c>
      <c r="D24" s="394">
        <f>'RESUMEN POR UNIDAD'!E88+'RESUMEN POR UNIDAD'!E131</f>
        <v>343000000</v>
      </c>
    </row>
    <row r="25" spans="2:4" ht="36.75" customHeight="1" x14ac:dyDescent="0.25">
      <c r="B25" s="392">
        <v>1704</v>
      </c>
      <c r="C25" s="398" t="str">
        <f>'RESUMEN POR UNIDAD'!D89</f>
        <v>Ordenamiento social y uso productivo del territorio rural. "Tú y yo con un campo planificado"</v>
      </c>
      <c r="D25" s="394">
        <f>'RESUMEN POR UNIDAD'!E89</f>
        <v>70000000</v>
      </c>
    </row>
    <row r="26" spans="2:4" ht="43.5" customHeight="1" x14ac:dyDescent="0.25">
      <c r="B26" s="392">
        <v>1706</v>
      </c>
      <c r="C26" s="398" t="str">
        <f>'RESUMEN POR UNIDAD'!D90</f>
        <v>Aprovechamiento de mercados externos. "Tú y yo a los mercados internacionales"</v>
      </c>
      <c r="D26" s="394">
        <f>'RESUMEN POR UNIDAD'!E90</f>
        <v>20000000</v>
      </c>
    </row>
    <row r="27" spans="2:4" ht="39.75" customHeight="1" x14ac:dyDescent="0.25">
      <c r="B27" s="392">
        <v>1707</v>
      </c>
      <c r="C27" s="398" t="str">
        <f>'RESUMEN POR UNIDAD'!D91</f>
        <v>Sanidad agropecuaria e inocuidad agroalimentaria. "Tú y yo con un agro saludable"</v>
      </c>
      <c r="D27" s="394">
        <f>'RESUMEN POR UNIDAD'!E91</f>
        <v>43000000</v>
      </c>
    </row>
    <row r="28" spans="2:4" ht="40.5" customHeight="1" x14ac:dyDescent="0.25">
      <c r="B28" s="392">
        <v>1708</v>
      </c>
      <c r="C28" s="398" t="str">
        <f>'RESUMEN POR UNIDAD'!D92</f>
        <v>Ciencia, tecnología e innovación agropecuaria. "Tú y yo con un agro interconectado"</v>
      </c>
      <c r="D28" s="394">
        <f>'RESUMEN POR UNIDAD'!E92</f>
        <v>40000000</v>
      </c>
    </row>
    <row r="29" spans="2:4" ht="38.25" customHeight="1" x14ac:dyDescent="0.25">
      <c r="B29" s="392">
        <v>1709</v>
      </c>
      <c r="C29" s="398" t="str">
        <f>'RESUMEN POR UNIDAD'!D93</f>
        <v>Infraestructura productiva y comercialización. "Tú y yo con agro competitivo"</v>
      </c>
      <c r="D29" s="394">
        <f>'RESUMEN POR UNIDAD'!E93</f>
        <v>108000000</v>
      </c>
    </row>
    <row r="30" spans="2:4" ht="39" customHeight="1" x14ac:dyDescent="0.25">
      <c r="B30" s="392">
        <v>3502</v>
      </c>
      <c r="C30" s="398" t="str">
        <f>'RESUMEN POR UNIDAD'!D80</f>
        <v xml:space="preserve">Productividad y competitividad de las empresas colombianas. "Tú y yo con empresas competitivas" </v>
      </c>
      <c r="D30" s="394">
        <f>'RESUMEN POR UNIDAD'!E80+'RESUMEN POR UNIDAD'!E95</f>
        <v>3065087709.6100001</v>
      </c>
    </row>
    <row r="31" spans="2:4" ht="39" customHeight="1" x14ac:dyDescent="0.25">
      <c r="B31" s="392">
        <v>3602</v>
      </c>
      <c r="C31" s="398" t="str">
        <f>'RESUMEN POR UNIDAD'!D82</f>
        <v>Generación y formalización del empleo. "Tú y yo con empleo de calidad"</v>
      </c>
      <c r="D31" s="394">
        <f>'RESUMEN POR UNIDAD'!E82</f>
        <v>237500000</v>
      </c>
    </row>
    <row r="32" spans="2:4" ht="35.25" customHeight="1" x14ac:dyDescent="0.25">
      <c r="B32" s="392">
        <v>3604</v>
      </c>
      <c r="C32" s="397" t="str">
        <f>'RESUMEN POR UNIDAD'!D133</f>
        <v>Derechos fundamentales del trabajo y fortalecimiento del diálogo social. "Tú y yo con una niñez protegida"</v>
      </c>
      <c r="D32" s="394">
        <f>'RESUMEN POR UNIDAD'!E133</f>
        <v>38195000</v>
      </c>
    </row>
    <row r="33" spans="2:4" ht="37.5" customHeight="1" x14ac:dyDescent="0.25">
      <c r="B33" s="392">
        <v>3903</v>
      </c>
      <c r="C33" s="398" t="str">
        <f>'RESUMEN POR UNIDAD'!D153</f>
        <v xml:space="preserve">Desarrollo tecnológico e innovación para el crecimiento empresarial </v>
      </c>
      <c r="D33" s="394">
        <f>'RESUMEN POR UNIDAD'!E153</f>
        <v>60000000</v>
      </c>
    </row>
    <row r="34" spans="2:4" ht="41.25" customHeight="1" x14ac:dyDescent="0.25">
      <c r="B34" s="392">
        <v>3904</v>
      </c>
      <c r="C34" s="398" t="str">
        <f>'RESUMEN POR UNIDAD'!D154</f>
        <v>Generación de una cultura qué valora y gestiona en conocimiento y la innovación.</v>
      </c>
      <c r="D34" s="394">
        <f>'RESUMEN POR UNIDAD'!E154+'RESUMEN POR UNIDAD'!E117</f>
        <v>25500000</v>
      </c>
    </row>
    <row r="35" spans="2:4" ht="15.75" x14ac:dyDescent="0.25">
      <c r="B35" s="116">
        <f>'UNIDADES + FUENTE'!B42</f>
        <v>3</v>
      </c>
      <c r="C35" s="61" t="str">
        <f>'UNIDADES + FUENTE'!C42</f>
        <v xml:space="preserve">TERRITORIO, AMBIENTE Y DESARROLLO SOSTENIBLE </v>
      </c>
      <c r="D35" s="395">
        <f>SUM(D36:D44)</f>
        <v>13095806049.780001</v>
      </c>
    </row>
    <row r="36" spans="2:4" ht="21.75" customHeight="1" x14ac:dyDescent="0.25">
      <c r="B36" s="392">
        <v>2402</v>
      </c>
      <c r="C36" s="398" t="str">
        <f>'RESUMEN POR UNIDAD'!D38</f>
        <v>Infraestructura red vial regional. "Tú y yo con movilidad vial"</v>
      </c>
      <c r="D36" s="394">
        <f>'RESUMEN POR UNIDAD'!E38</f>
        <v>4783689004</v>
      </c>
    </row>
    <row r="37" spans="2:4" ht="36" customHeight="1" x14ac:dyDescent="0.25">
      <c r="B37" s="392">
        <v>3201</v>
      </c>
      <c r="C37" s="398" t="str">
        <f>'RESUMEN POR UNIDAD'!D98</f>
        <v>Fortalecimiento del desempeño ambiental de los sectores productivos. "Tú y yo guardianes de la biodiversidad.</v>
      </c>
      <c r="D37" s="394">
        <f>'RESUMEN POR UNIDAD'!E98</f>
        <v>82000000</v>
      </c>
    </row>
    <row r="38" spans="2:4" ht="35.25" customHeight="1" x14ac:dyDescent="0.25">
      <c r="B38" s="392">
        <v>3202</v>
      </c>
      <c r="C38" s="398" t="str">
        <f>'RESUMEN POR UNIDAD'!D99</f>
        <v>Conservación de la biodiversidad y sus servicios ecosistémicos. "Tú y yo en territorios biodiversos"</v>
      </c>
      <c r="D38" s="394">
        <f>'RESUMEN POR UNIDAD'!E99</f>
        <v>1235631389</v>
      </c>
    </row>
    <row r="39" spans="2:4" ht="43.5" customHeight="1" x14ac:dyDescent="0.25">
      <c r="B39" s="392">
        <v>3204</v>
      </c>
      <c r="C39" s="398" t="str">
        <f>'RESUMEN POR UNIDAD'!D100</f>
        <v>Gestión de la información y en conocimiento ambiental. "Tú y yo conscientes con la naturaleza"</v>
      </c>
      <c r="D39" s="394">
        <f>'RESUMEN POR UNIDAD'!E100</f>
        <v>120000000</v>
      </c>
    </row>
    <row r="40" spans="2:4" ht="36" customHeight="1" x14ac:dyDescent="0.25">
      <c r="B40" s="392">
        <v>3205</v>
      </c>
      <c r="C40" s="398" t="str">
        <f>'RESUMEN POR UNIDAD'!D101</f>
        <v>Ordenamiento Ambiental Territorial. "Tú y yo planificamos con sentido ambiental"</v>
      </c>
      <c r="D40" s="394">
        <f>'RESUMEN POR UNIDAD'!E101+'RESUMEN POR UNIDAD'!E40+'RESUMEN POR UNIDAD'!E64</f>
        <v>2588958067</v>
      </c>
    </row>
    <row r="41" spans="2:4" ht="45" x14ac:dyDescent="0.25">
      <c r="B41" s="392">
        <v>3206</v>
      </c>
      <c r="C41" s="398" t="str">
        <f>'RESUMEN POR UNIDAD'!D102</f>
        <v>Gestión del cambio climático para un desarrollo bajo en carbono y resiliente al clima. "Tú y yo preparados para el cambio climático"</v>
      </c>
      <c r="D41" s="394">
        <f>'RESUMEN POR UNIDAD'!E102</f>
        <v>118000000</v>
      </c>
    </row>
    <row r="42" spans="2:4" ht="24" customHeight="1" x14ac:dyDescent="0.25">
      <c r="B42" s="392">
        <v>4001</v>
      </c>
      <c r="C42" s="398" t="str">
        <f>'RESUMEN POR UNIDAD'!D42</f>
        <v>Acceso a soluciones de vivienda. "Tú y yo con vivienda digna"</v>
      </c>
      <c r="D42" s="394">
        <f>'RESUMEN POR UNIDAD'!E42</f>
        <v>120000000.09999999</v>
      </c>
    </row>
    <row r="43" spans="2:4" ht="34.5" customHeight="1" x14ac:dyDescent="0.25">
      <c r="B43" s="392">
        <v>4003</v>
      </c>
      <c r="C43" s="398" t="str">
        <f>'RESUMEN POR UNIDAD'!D43</f>
        <v>Acceso de la población a los servicios de agua potable y saneamiento básico. "Tú y yo con calidad del agua"</v>
      </c>
      <c r="D43" s="394">
        <f>'RESUMEN POR UNIDAD'!E43</f>
        <v>3500159641.6800003</v>
      </c>
    </row>
    <row r="44" spans="2:4" ht="33" customHeight="1" x14ac:dyDescent="0.25">
      <c r="B44" s="392">
        <v>4503</v>
      </c>
      <c r="C44" s="398" t="str">
        <f>'RESUMEN POR UNIDAD'!D66</f>
        <v>Gestión del riesgo de desastres y emergencias. "Tú y yo preparados en gestión del riesgo"</v>
      </c>
      <c r="D44" s="394">
        <f>'RESUMEN POR UNIDAD'!E66</f>
        <v>547367948</v>
      </c>
    </row>
    <row r="45" spans="2:4" ht="15.75" x14ac:dyDescent="0.25">
      <c r="B45" s="116">
        <f>'UNIDADES + FUENTE'!B8</f>
        <v>4</v>
      </c>
      <c r="C45" s="61" t="str">
        <f>'UNIDADES + FUENTE'!C154</f>
        <v xml:space="preserve">LIDERAZGO, GOBERNABILIDAD Y TRANSPARENCIA </v>
      </c>
      <c r="D45" s="395">
        <f>SUM(D46:D48)</f>
        <v>6521007423.8400002</v>
      </c>
    </row>
    <row r="46" spans="2:4" ht="74.25" customHeight="1" x14ac:dyDescent="0.25">
      <c r="B46" s="392">
        <v>2302</v>
      </c>
      <c r="C46" s="398" t="str">
        <f>'RESUMEN POR UNIDAD'!D157</f>
        <v>Fomento del desarrollo de aplicaciones, software y contenidos para impulsar la apropiación de las Tecnologías de la Información y las Comunicaciones (TIC) "Quindío paraíso empresarial TIC-Quindío TIC"</v>
      </c>
      <c r="D46" s="394">
        <f>'RESUMEN POR UNIDAD'!E157</f>
        <v>298000000</v>
      </c>
    </row>
    <row r="47" spans="2:4" ht="39.75" customHeight="1" x14ac:dyDescent="0.25">
      <c r="B47" s="392">
        <v>4502</v>
      </c>
      <c r="C47" s="398" t="str">
        <f>'RESUMEN POR UNIDAD'!D11</f>
        <v>Fortalecimiento del buen gobierno para el respeto y garantía de los derechos humanos. "Quindío integrado y participativo"</v>
      </c>
      <c r="D47" s="394">
        <f>'RESUMEN POR UNIDAD'!E11+'RESUMEN POR UNIDAD'!E16+'RESUMEN POR UNIDAD'!E47+'RESUMEN POR UNIDAD'!E69+'RESUMEN POR UNIDAD'!E108+'RESUMEN POR UNIDAD'!E136</f>
        <v>1084826930</v>
      </c>
    </row>
    <row r="48" spans="2:4" ht="54.75" customHeight="1" x14ac:dyDescent="0.25">
      <c r="B48" s="392">
        <v>4599</v>
      </c>
      <c r="C48" s="397" t="str">
        <f>'RESUMEN POR UNIDAD'!D10</f>
        <v>Fortalecimiento a la gestión y dirección de la administración pública territorial "Quindío con una administración al servicio de la ciudadanía "</v>
      </c>
      <c r="D48" s="394">
        <f>'RESUMEN POR UNIDAD'!E10+'RESUMEN POR UNIDAD'!E17+'RESUMEN POR UNIDAD'!E22+'RESUMEN POR UNIDAD'!E46+'RESUMEN POR UNIDAD'!E107+'RESUMEN POR UNIDAD'!E137</f>
        <v>5138180493.8400002</v>
      </c>
    </row>
    <row r="49" spans="2:4" ht="15.75" x14ac:dyDescent="0.25">
      <c r="B49" s="361"/>
      <c r="C49" s="33" t="s">
        <v>1409</v>
      </c>
      <c r="D49" s="391">
        <f>D45+D35+D22+D3</f>
        <v>291418489407.71002</v>
      </c>
    </row>
    <row r="51" spans="2:4" ht="45.75" customHeight="1" x14ac:dyDescent="0.25">
      <c r="B51" s="1003" t="s">
        <v>1557</v>
      </c>
      <c r="C51" s="1004"/>
      <c r="D51" s="1004"/>
    </row>
    <row r="52" spans="2:4" ht="15.75" x14ac:dyDescent="0.25">
      <c r="B52" s="116">
        <v>1</v>
      </c>
      <c r="C52" s="61" t="s">
        <v>148</v>
      </c>
      <c r="D52" s="395">
        <f>SUM(D53:D55)</f>
        <v>13627459159.989998</v>
      </c>
    </row>
    <row r="53" spans="2:4" ht="30" x14ac:dyDescent="0.25">
      <c r="B53" s="392">
        <f>'RESUMEN POR UNIDAD'!C172</f>
        <v>2201</v>
      </c>
      <c r="C53" s="397" t="str">
        <f>'RESUMEN POR UNIDAD'!D172</f>
        <v>Calidad, cobertura y fortalecimiento de la educación inicial, prescolar, básica y media." Tú y yo con educación y de calidad"</v>
      </c>
      <c r="D53" s="394">
        <f>'RESUMEN POR UNIDAD'!E172</f>
        <v>308302422.89999998</v>
      </c>
    </row>
    <row r="54" spans="2:4" ht="51.75" customHeight="1" x14ac:dyDescent="0.25">
      <c r="B54" s="392">
        <f>'RESUMEN POR UNIDAD'!C170</f>
        <v>4301</v>
      </c>
      <c r="C54" s="397" t="str">
        <f>'RESUMEN POR UNIDAD'!D170</f>
        <v>Fomento a la recreación, la actividad física y el deporte para desarrollar entornos de convivencia y paz "Tú y yo en la recreación y en deporte"</v>
      </c>
      <c r="D54" s="394">
        <f>'RESUMEN POR UNIDAD'!E170+'RESUMEN POR UNIDAD'!E164</f>
        <v>5540968615.039999</v>
      </c>
    </row>
    <row r="55" spans="2:4" ht="32.25" customHeight="1" x14ac:dyDescent="0.25">
      <c r="B55" s="392">
        <f>'RESUMEN POR UNIDAD'!C165</f>
        <v>4302</v>
      </c>
      <c r="C55" s="397" t="str">
        <f>'RESUMEN POR UNIDAD'!D165</f>
        <v>Formación y preparación de deportistas. "Tú y yo campeones"</v>
      </c>
      <c r="D55" s="394">
        <f>'RESUMEN POR UNIDAD'!E165</f>
        <v>7778188122.0500002</v>
      </c>
    </row>
    <row r="56" spans="2:4" ht="15.75" x14ac:dyDescent="0.25">
      <c r="B56" s="116">
        <v>3</v>
      </c>
      <c r="C56" s="61" t="s">
        <v>199</v>
      </c>
      <c r="D56" s="395">
        <f>SUM(D57:D59)</f>
        <v>1518588353.23</v>
      </c>
    </row>
    <row r="57" spans="2:4" ht="24" customHeight="1" x14ac:dyDescent="0.25">
      <c r="B57" s="392">
        <f>'RESUMEN POR UNIDAD'!C175</f>
        <v>2402</v>
      </c>
      <c r="C57" s="396" t="str">
        <f>'RESUMEN POR UNIDAD'!D175</f>
        <v>Infraestructura red vial regional. "Tú y yo con movilidad vial"</v>
      </c>
      <c r="D57" s="394">
        <f>'RESUMEN POR UNIDAD'!E175</f>
        <v>199461691.20000002</v>
      </c>
    </row>
    <row r="58" spans="2:4" ht="23.25" customHeight="1" x14ac:dyDescent="0.25">
      <c r="B58" s="392">
        <f>'RESUMEN POR UNIDAD'!C182</f>
        <v>2409</v>
      </c>
      <c r="C58" s="393" t="str">
        <f>'RESUMEN POR UNIDAD'!D182</f>
        <v>Seguridad de Transporte. "Tú y yo seguros en la vía"</v>
      </c>
      <c r="D58" s="394">
        <f>'RESUMEN POR UNIDAD'!E182</f>
        <v>110210000</v>
      </c>
    </row>
    <row r="59" spans="2:4" ht="23.25" customHeight="1" x14ac:dyDescent="0.25">
      <c r="B59" s="392">
        <f>'RESUMEN POR UNIDAD'!C177</f>
        <v>4001</v>
      </c>
      <c r="C59" s="393" t="str">
        <f>'RESUMEN POR UNIDAD'!D177</f>
        <v>Acceso a soluciones de vivienda. "Tú y yo con vivienda digna"</v>
      </c>
      <c r="D59" s="394">
        <f>'RESUMEN POR UNIDAD'!E177</f>
        <v>1208916662.03</v>
      </c>
    </row>
    <row r="60" spans="2:4" ht="15.75" x14ac:dyDescent="0.25">
      <c r="B60" s="361"/>
      <c r="C60" s="33" t="s">
        <v>1410</v>
      </c>
      <c r="D60" s="391">
        <f>D52+D56</f>
        <v>15146047513.219997</v>
      </c>
    </row>
    <row r="62" spans="2:4" ht="15.75" x14ac:dyDescent="0.25">
      <c r="B62" s="1001" t="s">
        <v>1411</v>
      </c>
      <c r="C62" s="1002"/>
      <c r="D62" s="399">
        <f>D60+D49</f>
        <v>306564536920.92999</v>
      </c>
    </row>
    <row r="65" spans="4:4" x14ac:dyDescent="0.25">
      <c r="D65" s="749"/>
    </row>
  </sheetData>
  <sheetProtection algorithmName="SHA-512" hashValue="ivhYQ5GBH49b3XZoKstElWZLnYNRX0OvbgkrAJpEEapc/7ug0QLw6X3Y9WP4z59WzQll1wPuVt7FuP/ssTdiCw==" saltValue="L4PoTo44xLh/u8dZTpncSA==" spinCount="100000" sheet="1" objects="1" scenarios="1"/>
  <mergeCells count="3">
    <mergeCell ref="B62:C62"/>
    <mergeCell ref="B1:D1"/>
    <mergeCell ref="B51:D51"/>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E36"/>
  <sheetViews>
    <sheetView showGridLines="0" zoomScale="70" zoomScaleNormal="70" workbookViewId="0">
      <selection activeCell="C41" sqref="C41"/>
    </sheetView>
  </sheetViews>
  <sheetFormatPr baseColWidth="10" defaultColWidth="11.42578125" defaultRowHeight="15" x14ac:dyDescent="0.25"/>
  <cols>
    <col min="3" max="3" width="64.42578125" customWidth="1"/>
    <col min="4" max="4" width="32.7109375" customWidth="1"/>
    <col min="5" max="5" width="31.7109375" customWidth="1"/>
  </cols>
  <sheetData>
    <row r="1" spans="2:5" ht="67.5" customHeight="1" x14ac:dyDescent="0.25">
      <c r="B1" s="1005" t="s">
        <v>1561</v>
      </c>
      <c r="C1" s="1005"/>
      <c r="D1" s="1005"/>
      <c r="E1" s="1005"/>
    </row>
    <row r="2" spans="2:5" ht="15.75" x14ac:dyDescent="0.25">
      <c r="B2" s="390" t="s">
        <v>1408</v>
      </c>
      <c r="C2" s="389" t="s">
        <v>1390</v>
      </c>
      <c r="D2" s="390" t="s">
        <v>1538</v>
      </c>
      <c r="E2" s="390" t="s">
        <v>1572</v>
      </c>
    </row>
    <row r="3" spans="2:5" ht="15.75" x14ac:dyDescent="0.25">
      <c r="B3" s="501">
        <f>'UNIDADES + FUENTE'!B171</f>
        <v>1</v>
      </c>
      <c r="C3" s="502" t="str">
        <f>'RESUMEN POR UNIDAD'!B50</f>
        <v xml:space="preserve">INCLUSIÓN SOCIAL Y EQUIDAD </v>
      </c>
      <c r="D3" s="584">
        <f>PROGRAMAS!D3</f>
        <v>266176734111.85004</v>
      </c>
      <c r="E3" s="897">
        <f>D3/D7</f>
        <v>0.91338313726365705</v>
      </c>
    </row>
    <row r="4" spans="2:5" ht="15.75" x14ac:dyDescent="0.25">
      <c r="B4" s="501">
        <f>'UNIDADES + FUENTE'!B90</f>
        <v>2</v>
      </c>
      <c r="C4" s="502" t="str">
        <f>'UNIDADES + FUENTE'!C90</f>
        <v>PRODUCTIVIDAD Y COMPETITIVIDAD</v>
      </c>
      <c r="D4" s="584">
        <f>PROGRAMAS!D22</f>
        <v>5624941822.2399998</v>
      </c>
      <c r="E4" s="897">
        <f>D4/D7</f>
        <v>1.9301938712510465E-2</v>
      </c>
    </row>
    <row r="5" spans="2:5" ht="15.75" x14ac:dyDescent="0.25">
      <c r="B5" s="501">
        <f>'UNIDADES + FUENTE'!B42</f>
        <v>3</v>
      </c>
      <c r="C5" s="502" t="str">
        <f>'UNIDADES + FUENTE'!C42</f>
        <v xml:space="preserve">TERRITORIO, AMBIENTE Y DESARROLLO SOSTENIBLE </v>
      </c>
      <c r="D5" s="584">
        <f>PROGRAMAS!D35</f>
        <v>13095806049.780001</v>
      </c>
      <c r="E5" s="897">
        <f>D5/D7</f>
        <v>4.4938144029215206E-2</v>
      </c>
    </row>
    <row r="6" spans="2:5" ht="15.75" x14ac:dyDescent="0.25">
      <c r="B6" s="501">
        <f>'UNIDADES + FUENTE'!B8</f>
        <v>4</v>
      </c>
      <c r="C6" s="502" t="str">
        <f>PROGRAMAS!C45</f>
        <v xml:space="preserve">LIDERAZGO, GOBERNABILIDAD Y TRANSPARENCIA </v>
      </c>
      <c r="D6" s="584">
        <f>PROGRAMAS!D45</f>
        <v>6521007423.8400002</v>
      </c>
      <c r="E6" s="897">
        <f>D6/D7</f>
        <v>2.2376779994617162E-2</v>
      </c>
    </row>
    <row r="7" spans="2:5" ht="15.75" x14ac:dyDescent="0.25">
      <c r="B7" s="361"/>
      <c r="C7" s="33" t="s">
        <v>1412</v>
      </c>
      <c r="D7" s="585">
        <f>SUM(D3:D6)</f>
        <v>291418489407.71008</v>
      </c>
      <c r="E7" s="898">
        <f>D7/D7</f>
        <v>1</v>
      </c>
    </row>
    <row r="14" spans="2:5" ht="81.75" customHeight="1" x14ac:dyDescent="0.25">
      <c r="B14" s="1005" t="s">
        <v>1562</v>
      </c>
      <c r="C14" s="1005"/>
      <c r="D14" s="1005"/>
      <c r="E14" s="1005"/>
    </row>
    <row r="15" spans="2:5" ht="15.75" x14ac:dyDescent="0.25">
      <c r="B15" s="390" t="s">
        <v>1408</v>
      </c>
      <c r="C15" s="389" t="s">
        <v>1390</v>
      </c>
      <c r="D15" s="390" t="s">
        <v>1538</v>
      </c>
      <c r="E15" s="390" t="s">
        <v>1572</v>
      </c>
    </row>
    <row r="16" spans="2:5" ht="15.75" x14ac:dyDescent="0.25">
      <c r="B16" s="501">
        <v>1</v>
      </c>
      <c r="C16" s="502" t="s">
        <v>148</v>
      </c>
      <c r="D16" s="584">
        <f>PROGRAMAS!D52</f>
        <v>13627459159.989998</v>
      </c>
      <c r="E16" s="897">
        <f>D16/D18</f>
        <v>0.89973698736224594</v>
      </c>
    </row>
    <row r="17" spans="2:5" ht="15.75" x14ac:dyDescent="0.25">
      <c r="B17" s="501">
        <v>3</v>
      </c>
      <c r="C17" s="502" t="s">
        <v>199</v>
      </c>
      <c r="D17" s="584">
        <f>PROGRAMAS!D56</f>
        <v>1518588353.23</v>
      </c>
      <c r="E17" s="897">
        <f>D17/D18</f>
        <v>0.10026301263775406</v>
      </c>
    </row>
    <row r="18" spans="2:5" ht="15.75" x14ac:dyDescent="0.25">
      <c r="B18" s="361"/>
      <c r="C18" s="33" t="s">
        <v>1412</v>
      </c>
      <c r="D18" s="585">
        <f>SUM(D16:D17)</f>
        <v>15146047513.219997</v>
      </c>
      <c r="E18" s="898">
        <f>SUM(E16:E17)</f>
        <v>1</v>
      </c>
    </row>
    <row r="30" spans="2:5" ht="60.75" customHeight="1" x14ac:dyDescent="0.25">
      <c r="B30" s="1005" t="s">
        <v>1563</v>
      </c>
      <c r="C30" s="1005"/>
      <c r="D30" s="1005"/>
      <c r="E30" s="1005"/>
    </row>
    <row r="31" spans="2:5" ht="15.75" x14ac:dyDescent="0.25">
      <c r="B31" s="390" t="s">
        <v>1408</v>
      </c>
      <c r="C31" s="389" t="s">
        <v>1390</v>
      </c>
      <c r="D31" s="390" t="s">
        <v>1538</v>
      </c>
      <c r="E31" s="390" t="s">
        <v>1572</v>
      </c>
    </row>
    <row r="32" spans="2:5" ht="15.75" x14ac:dyDescent="0.25">
      <c r="B32" s="501">
        <v>1</v>
      </c>
      <c r="C32" s="502" t="s">
        <v>148</v>
      </c>
      <c r="D32" s="584">
        <f>D3+D16</f>
        <v>279804193271.84003</v>
      </c>
      <c r="E32" s="897">
        <f>D32/D36</f>
        <v>0.91270893914258544</v>
      </c>
    </row>
    <row r="33" spans="2:5" ht="15.75" x14ac:dyDescent="0.25">
      <c r="B33" s="501">
        <v>2</v>
      </c>
      <c r="C33" s="502" t="s">
        <v>417</v>
      </c>
      <c r="D33" s="584">
        <f>D4</f>
        <v>5624941822.2399998</v>
      </c>
      <c r="E33" s="897">
        <f>D33/D36</f>
        <v>1.8348312165313498E-2</v>
      </c>
    </row>
    <row r="34" spans="2:5" ht="15.75" x14ac:dyDescent="0.25">
      <c r="B34" s="501">
        <v>3</v>
      </c>
      <c r="C34" s="502" t="s">
        <v>199</v>
      </c>
      <c r="D34" s="584">
        <f>D5+D17</f>
        <v>14614394403.01</v>
      </c>
      <c r="E34" s="897">
        <f>D34/D36</f>
        <v>4.7671510050685949E-2</v>
      </c>
    </row>
    <row r="35" spans="2:5" ht="15.75" x14ac:dyDescent="0.25">
      <c r="B35" s="501">
        <v>4</v>
      </c>
      <c r="C35" s="502" t="s">
        <v>42</v>
      </c>
      <c r="D35" s="584">
        <f>D6</f>
        <v>6521007423.8400002</v>
      </c>
      <c r="E35" s="897">
        <f>D35/D36</f>
        <v>2.1271238641415058E-2</v>
      </c>
    </row>
    <row r="36" spans="2:5" ht="15.75" x14ac:dyDescent="0.25">
      <c r="B36" s="361"/>
      <c r="C36" s="33" t="s">
        <v>1412</v>
      </c>
      <c r="D36" s="585">
        <f>SUM(D32:D35)</f>
        <v>306564536920.93005</v>
      </c>
      <c r="E36" s="898">
        <f>D36/D36</f>
        <v>1</v>
      </c>
    </row>
  </sheetData>
  <sheetProtection algorithmName="SHA-512" hashValue="jsS93CEVh7qESGMBdMFx7Swkb++xXfZoszdFvc7WNCiS2UxMd54SYE+bXlJrFzhNHMzqnx/EfCLXS7BE2Cy9OQ==" saltValue="OR8cbTYJWzOGPXM42IqtbQ==" spinCount="100000" sheet="1" objects="1" scenarios="1"/>
  <mergeCells count="3">
    <mergeCell ref="B14:E14"/>
    <mergeCell ref="B30:E30"/>
    <mergeCell ref="B1:E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C165"/>
  <sheetViews>
    <sheetView showGridLines="0" zoomScale="70" zoomScaleNormal="70" workbookViewId="0">
      <selection activeCell="A5" sqref="A5"/>
    </sheetView>
  </sheetViews>
  <sheetFormatPr baseColWidth="10" defaultColWidth="11.42578125" defaultRowHeight="15" x14ac:dyDescent="0.2"/>
  <cols>
    <col min="1" max="1" width="20.5703125" style="10" customWidth="1"/>
    <col min="2" max="2" width="80.140625" style="10" customWidth="1"/>
    <col min="3" max="3" width="25.7109375" style="469" customWidth="1"/>
    <col min="4" max="16384" width="11.42578125" style="10"/>
  </cols>
  <sheetData>
    <row r="1" spans="1:3" ht="91.5" customHeight="1" thickBot="1" x14ac:dyDescent="0.25">
      <c r="A1" s="1006" t="s">
        <v>1577</v>
      </c>
      <c r="B1" s="1007"/>
      <c r="C1" s="1008"/>
    </row>
    <row r="2" spans="1:3" s="748" customFormat="1" ht="24" customHeight="1" x14ac:dyDescent="0.25">
      <c r="A2" s="1021" t="s">
        <v>27</v>
      </c>
      <c r="B2" s="1023" t="s">
        <v>28</v>
      </c>
      <c r="C2" s="1019" t="s">
        <v>1413</v>
      </c>
    </row>
    <row r="3" spans="1:3" s="748" customFormat="1" ht="24" customHeight="1" thickBot="1" x14ac:dyDescent="0.3">
      <c r="A3" s="1022"/>
      <c r="B3" s="1024"/>
      <c r="C3" s="1020"/>
    </row>
    <row r="4" spans="1:3" ht="20.100000000000001" customHeight="1" thickBot="1" x14ac:dyDescent="0.25">
      <c r="A4" s="1017" t="s">
        <v>41</v>
      </c>
      <c r="B4" s="1018"/>
      <c r="C4" s="465">
        <f>SUM(C5:C8)</f>
        <v>176000000</v>
      </c>
    </row>
    <row r="5" spans="1:3" ht="90" customHeight="1" thickBot="1" x14ac:dyDescent="0.25">
      <c r="A5" s="452" t="s">
        <v>52</v>
      </c>
      <c r="B5" s="459" t="s">
        <v>1414</v>
      </c>
      <c r="C5" s="466">
        <f>'SGTO POAI -JUNIO-2021'!AJ13</f>
        <v>36000000</v>
      </c>
    </row>
    <row r="6" spans="1:3" ht="90" customHeight="1" thickBot="1" x14ac:dyDescent="0.25">
      <c r="A6" s="452" t="s">
        <v>60</v>
      </c>
      <c r="B6" s="459" t="s">
        <v>61</v>
      </c>
      <c r="C6" s="466">
        <f>'SGTO POAI -JUNIO-2021'!AJ14</f>
        <v>50000000</v>
      </c>
    </row>
    <row r="7" spans="1:3" ht="90" customHeight="1" thickBot="1" x14ac:dyDescent="0.25">
      <c r="A7" s="453" t="s">
        <v>68</v>
      </c>
      <c r="B7" s="459" t="s">
        <v>1415</v>
      </c>
      <c r="C7" s="466">
        <f>'SGTO POAI -JUNIO-2021'!AJ15</f>
        <v>50000000</v>
      </c>
    </row>
    <row r="8" spans="1:3" ht="90" customHeight="1" thickBot="1" x14ac:dyDescent="0.25">
      <c r="A8" s="454" t="s">
        <v>76</v>
      </c>
      <c r="B8" s="459" t="s">
        <v>77</v>
      </c>
      <c r="C8" s="466">
        <f>'SGTO POAI -JUNIO-2021'!AJ17</f>
        <v>40000000</v>
      </c>
    </row>
    <row r="9" spans="1:3" ht="16.5" thickBot="1" x14ac:dyDescent="0.25">
      <c r="A9" s="1013" t="s">
        <v>79</v>
      </c>
      <c r="B9" s="1014"/>
      <c r="C9" s="465">
        <f>SUM(C10:C16)</f>
        <v>986333529</v>
      </c>
    </row>
    <row r="10" spans="1:3" ht="90" customHeight="1" thickBot="1" x14ac:dyDescent="0.25">
      <c r="A10" s="454" t="s">
        <v>85</v>
      </c>
      <c r="B10" s="459" t="s">
        <v>1416</v>
      </c>
      <c r="C10" s="466">
        <f>'SGTO POAI -JUNIO-2021'!AJ23</f>
        <v>143333529</v>
      </c>
    </row>
    <row r="11" spans="1:3" ht="90" customHeight="1" thickBot="1" x14ac:dyDescent="0.25">
      <c r="A11" s="454" t="s">
        <v>91</v>
      </c>
      <c r="B11" s="459" t="s">
        <v>1417</v>
      </c>
      <c r="C11" s="466">
        <f>'SGTO POAI -JUNIO-2021'!AJ24</f>
        <v>35000000</v>
      </c>
    </row>
    <row r="12" spans="1:3" ht="90" customHeight="1" thickBot="1" x14ac:dyDescent="0.25">
      <c r="A12" s="454" t="s">
        <v>98</v>
      </c>
      <c r="B12" s="459" t="s">
        <v>1418</v>
      </c>
      <c r="C12" s="466">
        <f>'SGTO POAI -JUNIO-2021'!AJ26</f>
        <v>144000000</v>
      </c>
    </row>
    <row r="13" spans="1:3" ht="90" customHeight="1" thickBot="1" x14ac:dyDescent="0.25">
      <c r="A13" s="454" t="s">
        <v>105</v>
      </c>
      <c r="B13" s="459" t="s">
        <v>1419</v>
      </c>
      <c r="C13" s="466">
        <f>'SGTO POAI -JUNIO-2021'!AJ27</f>
        <v>72000000</v>
      </c>
    </row>
    <row r="14" spans="1:3" ht="90" customHeight="1" thickBot="1" x14ac:dyDescent="0.25">
      <c r="A14" s="454" t="s">
        <v>109</v>
      </c>
      <c r="B14" s="459" t="s">
        <v>1420</v>
      </c>
      <c r="C14" s="466">
        <f>'SGTO POAI -JUNIO-2021'!AJ28</f>
        <v>280000000</v>
      </c>
    </row>
    <row r="15" spans="1:3" ht="90" customHeight="1" thickBot="1" x14ac:dyDescent="0.25">
      <c r="A15" s="454" t="s">
        <v>117</v>
      </c>
      <c r="B15" s="459" t="s">
        <v>1421</v>
      </c>
      <c r="C15" s="466">
        <f>'SGTO POAI -JUNIO-2021'!AJ29+'SGTO POAI -JUNIO-2021'!AJ30+'SGTO POAI -JUNIO-2021'!AJ31+'SGTO POAI -JUNIO-2021'!AJ32+'SGTO POAI -JUNIO-2021'!AJ33+'SGTO POAI -JUNIO-2021'!AJ34</f>
        <v>240000000</v>
      </c>
    </row>
    <row r="16" spans="1:3" ht="90" customHeight="1" thickBot="1" x14ac:dyDescent="0.25">
      <c r="A16" s="453" t="s">
        <v>129</v>
      </c>
      <c r="B16" s="459" t="s">
        <v>1422</v>
      </c>
      <c r="C16" s="466">
        <f>'SGTO POAI -JUNIO-2021'!AJ35</f>
        <v>72000000</v>
      </c>
    </row>
    <row r="17" spans="1:3" ht="20.100000000000001" customHeight="1" thickBot="1" x14ac:dyDescent="0.25">
      <c r="A17" s="1013" t="s">
        <v>132</v>
      </c>
      <c r="B17" s="1014"/>
      <c r="C17" s="465">
        <f>SUM(C18:C19)</f>
        <v>2847625342.8400002</v>
      </c>
    </row>
    <row r="18" spans="1:3" ht="90" customHeight="1" thickBot="1" x14ac:dyDescent="0.25">
      <c r="A18" s="454" t="s">
        <v>137</v>
      </c>
      <c r="B18" s="460" t="s">
        <v>138</v>
      </c>
      <c r="C18" s="466">
        <f>'SGTO POAI -JUNIO-2021'!AJ41</f>
        <v>2569625342.8400002</v>
      </c>
    </row>
    <row r="19" spans="1:3" ht="90" customHeight="1" thickBot="1" x14ac:dyDescent="0.25">
      <c r="A19" s="454" t="s">
        <v>144</v>
      </c>
      <c r="B19" s="460" t="s">
        <v>1423</v>
      </c>
      <c r="C19" s="466">
        <f>'SGTO POAI -JUNIO-2021'!AJ42</f>
        <v>278000000</v>
      </c>
    </row>
    <row r="20" spans="1:3" ht="20.100000000000001" customHeight="1" thickBot="1" x14ac:dyDescent="0.25">
      <c r="A20" s="1013" t="s">
        <v>147</v>
      </c>
      <c r="B20" s="1014"/>
      <c r="C20" s="465">
        <f>SUM(C21:C33)</f>
        <v>15986154634.140001</v>
      </c>
    </row>
    <row r="21" spans="1:3" ht="90" customHeight="1" thickBot="1" x14ac:dyDescent="0.25">
      <c r="A21" s="452" t="s">
        <v>156</v>
      </c>
      <c r="B21" s="461" t="s">
        <v>1424</v>
      </c>
      <c r="C21" s="466">
        <f>'SGTO POAI -JUNIO-2021'!AJ48</f>
        <v>24750000</v>
      </c>
    </row>
    <row r="22" spans="1:3" ht="90" customHeight="1" thickBot="1" x14ac:dyDescent="0.25">
      <c r="A22" s="452" t="s">
        <v>166</v>
      </c>
      <c r="B22" s="459" t="s">
        <v>1425</v>
      </c>
      <c r="C22" s="466">
        <f>'SGTO POAI -JUNIO-2021'!AJ51</f>
        <v>96746979</v>
      </c>
    </row>
    <row r="23" spans="1:3" ht="90" customHeight="1" thickBot="1" x14ac:dyDescent="0.25">
      <c r="A23" s="454" t="s">
        <v>176</v>
      </c>
      <c r="B23" s="459" t="s">
        <v>1426</v>
      </c>
      <c r="C23" s="466">
        <f>'SGTO POAI -JUNIO-2021'!AJ54</f>
        <v>2083257220</v>
      </c>
    </row>
    <row r="24" spans="1:3" ht="90" customHeight="1" thickBot="1" x14ac:dyDescent="0.25">
      <c r="A24" s="454" t="s">
        <v>186</v>
      </c>
      <c r="B24" s="459" t="s">
        <v>187</v>
      </c>
      <c r="C24" s="466">
        <f>'SGTO POAI -JUNIO-2021'!AJ57</f>
        <v>90000000</v>
      </c>
    </row>
    <row r="25" spans="1:3" ht="90" customHeight="1" thickBot="1" x14ac:dyDescent="0.25">
      <c r="A25" s="454" t="s">
        <v>196</v>
      </c>
      <c r="B25" s="459" t="s">
        <v>1427</v>
      </c>
      <c r="C25" s="466">
        <f>'SGTO POAI -JUNIO-2021'!AJ60</f>
        <v>2885783074.3600001</v>
      </c>
    </row>
    <row r="26" spans="1:3" ht="90" customHeight="1" thickBot="1" x14ac:dyDescent="0.25">
      <c r="A26" s="454" t="s">
        <v>207</v>
      </c>
      <c r="B26" s="459" t="s">
        <v>1428</v>
      </c>
      <c r="C26" s="466">
        <f>'SGTO POAI -JUNIO-2021'!AJ64+'SGTO POAI -JUNIO-2021'!AJ65</f>
        <v>4743689004</v>
      </c>
    </row>
    <row r="27" spans="1:3" ht="90" customHeight="1" thickBot="1" x14ac:dyDescent="0.25">
      <c r="A27" s="454" t="s">
        <v>218</v>
      </c>
      <c r="B27" s="459" t="s">
        <v>219</v>
      </c>
      <c r="C27" s="466">
        <f>'SGTO POAI -JUNIO-2021'!AJ66</f>
        <v>40000000</v>
      </c>
    </row>
    <row r="28" spans="1:3" ht="90" customHeight="1" thickBot="1" x14ac:dyDescent="0.25">
      <c r="A28" s="454" t="s">
        <v>227</v>
      </c>
      <c r="B28" s="459" t="s">
        <v>1429</v>
      </c>
      <c r="C28" s="466">
        <f>'SGTO POAI -JUNIO-2021'!AJ69</f>
        <v>1418800000</v>
      </c>
    </row>
    <row r="29" spans="1:3" ht="90" customHeight="1" thickBot="1" x14ac:dyDescent="0.25">
      <c r="A29" s="454" t="s">
        <v>233</v>
      </c>
      <c r="B29" s="459" t="s">
        <v>1430</v>
      </c>
      <c r="C29" s="466">
        <f>'SGTO POAI -JUNIO-2021'!AJ70</f>
        <v>844308067</v>
      </c>
    </row>
    <row r="30" spans="1:3" ht="90" customHeight="1" thickBot="1" x14ac:dyDescent="0.25">
      <c r="A30" s="454" t="s">
        <v>242</v>
      </c>
      <c r="B30" s="459" t="s">
        <v>243</v>
      </c>
      <c r="C30" s="466">
        <f>'SGTO POAI -JUNIO-2021'!AJ73</f>
        <v>120000000.09999999</v>
      </c>
    </row>
    <row r="31" spans="1:3" ht="90" customHeight="1" thickBot="1" x14ac:dyDescent="0.25">
      <c r="A31" s="452" t="s">
        <v>251</v>
      </c>
      <c r="B31" s="461" t="s">
        <v>252</v>
      </c>
      <c r="C31" s="466">
        <f>'SGTO POAI -JUNIO-2021'!AJ75+'SGTO POAI -JUNIO-2021'!AJ76+'SGTO POAI -JUNIO-2021'!AJ77+'SGTO POAI -JUNIO-2021'!AJ78+'SGTO POAI -JUNIO-2021'!AJ79+'SGTO POAI -JUNIO-2021'!AJ80</f>
        <v>3500159641.6800003</v>
      </c>
    </row>
    <row r="32" spans="1:3" ht="90" customHeight="1" thickBot="1" x14ac:dyDescent="0.25">
      <c r="A32" s="454" t="s">
        <v>269</v>
      </c>
      <c r="B32" s="459" t="s">
        <v>1431</v>
      </c>
      <c r="C32" s="466">
        <f>'SGTO POAI -JUNIO-2021'!AJ84</f>
        <v>100660648</v>
      </c>
    </row>
    <row r="33" spans="1:3" ht="90" customHeight="1" thickBot="1" x14ac:dyDescent="0.25">
      <c r="A33" s="454" t="s">
        <v>273</v>
      </c>
      <c r="B33" s="459" t="s">
        <v>274</v>
      </c>
      <c r="C33" s="466">
        <f>'SGTO POAI -JUNIO-2021'!AJ86</f>
        <v>38000000</v>
      </c>
    </row>
    <row r="34" spans="1:3" ht="20.100000000000001" customHeight="1" thickBot="1" x14ac:dyDescent="0.25">
      <c r="A34" s="1013" t="s">
        <v>1432</v>
      </c>
      <c r="B34" s="1014"/>
      <c r="C34" s="465">
        <f>SUM(C35:C46)</f>
        <v>6632641520.3299999</v>
      </c>
    </row>
    <row r="35" spans="1:3" ht="90" customHeight="1" thickBot="1" x14ac:dyDescent="0.25">
      <c r="A35" s="454" t="s">
        <v>278</v>
      </c>
      <c r="B35" s="461" t="s">
        <v>1433</v>
      </c>
      <c r="C35" s="466">
        <f>'SGTO POAI -JUNIO-2021'!AJ92</f>
        <v>149000000</v>
      </c>
    </row>
    <row r="36" spans="1:3" ht="90" customHeight="1" thickBot="1" x14ac:dyDescent="0.25">
      <c r="A36" s="454" t="s">
        <v>284</v>
      </c>
      <c r="B36" s="461" t="s">
        <v>1434</v>
      </c>
      <c r="C36" s="466">
        <f>'SGTO POAI -JUNIO-2021'!AJ94</f>
        <v>69028401</v>
      </c>
    </row>
    <row r="37" spans="1:3" ht="90" customHeight="1" thickBot="1" x14ac:dyDescent="0.25">
      <c r="A37" s="454" t="s">
        <v>290</v>
      </c>
      <c r="B37" s="461" t="s">
        <v>1435</v>
      </c>
      <c r="C37" s="466">
        <f>'SGTO POAI -JUNIO-2021'!AJ96</f>
        <v>36000000</v>
      </c>
    </row>
    <row r="38" spans="1:3" ht="90" customHeight="1" thickBot="1" x14ac:dyDescent="0.25">
      <c r="A38" s="454" t="s">
        <v>297</v>
      </c>
      <c r="B38" s="459" t="s">
        <v>1436</v>
      </c>
      <c r="C38" s="466">
        <f>'SGTO POAI -JUNIO-2021'!AJ99</f>
        <v>124287500</v>
      </c>
    </row>
    <row r="39" spans="1:3" ht="90" customHeight="1" thickBot="1" x14ac:dyDescent="0.25">
      <c r="A39" s="454" t="s">
        <v>305</v>
      </c>
      <c r="B39" s="460" t="s">
        <v>306</v>
      </c>
      <c r="C39" s="466">
        <f>'SGTO POAI -JUNIO-2021'!AJ102+'SGTO POAI -JUNIO-2021'!AJ103+'SGTO POAI -JUNIO-2021'!AJ104+'SGTO POAI -JUNIO-2021'!AJ105+'SGTO POAI -JUNIO-2021'!AJ106</f>
        <v>547707113</v>
      </c>
    </row>
    <row r="40" spans="1:3" ht="90" customHeight="1" thickBot="1" x14ac:dyDescent="0.25">
      <c r="A40" s="454" t="s">
        <v>324</v>
      </c>
      <c r="B40" s="459" t="s">
        <v>1437</v>
      </c>
      <c r="C40" s="466">
        <f>'SGTO POAI -JUNIO-2021'!AJ108</f>
        <v>34027629</v>
      </c>
    </row>
    <row r="41" spans="1:3" ht="90" customHeight="1" thickBot="1" x14ac:dyDescent="0.25">
      <c r="A41" s="454" t="s">
        <v>332</v>
      </c>
      <c r="B41" s="459" t="s">
        <v>1438</v>
      </c>
      <c r="C41" s="466">
        <f>'SGTO POAI -JUNIO-2021'!AJ111</f>
        <v>4387879528.3299999</v>
      </c>
    </row>
    <row r="42" spans="1:3" ht="90" customHeight="1" thickBot="1" x14ac:dyDescent="0.25">
      <c r="A42" s="454" t="s">
        <v>359</v>
      </c>
      <c r="B42" s="459" t="s">
        <v>1439</v>
      </c>
      <c r="C42" s="466">
        <f>'SGTO POAI -JUNIO-2021'!AJ125</f>
        <v>89000000</v>
      </c>
    </row>
    <row r="43" spans="1:3" ht="90" customHeight="1" thickBot="1" x14ac:dyDescent="0.25">
      <c r="A43" s="454" t="s">
        <v>336</v>
      </c>
      <c r="B43" s="459" t="s">
        <v>1440</v>
      </c>
      <c r="C43" s="466">
        <f>'SGTO POAI -JUNIO-2021'!AJ112</f>
        <v>61000000</v>
      </c>
    </row>
    <row r="44" spans="1:3" ht="90" customHeight="1" thickBot="1" x14ac:dyDescent="0.25">
      <c r="A44" s="454" t="s">
        <v>341</v>
      </c>
      <c r="B44" s="460" t="s">
        <v>1441</v>
      </c>
      <c r="C44" s="466">
        <f>'SGTO POAI -JUNIO-2021'!AJ116</f>
        <v>243850000</v>
      </c>
    </row>
    <row r="45" spans="1:3" ht="90" customHeight="1" thickBot="1" x14ac:dyDescent="0.25">
      <c r="A45" s="454" t="s">
        <v>347</v>
      </c>
      <c r="B45" s="460" t="s">
        <v>348</v>
      </c>
      <c r="C45" s="466">
        <f>'SGTO POAI -JUNIO-2021'!AJ119+'SGTO POAI -JUNIO-2021'!AJ120+'SGTO POAI -JUNIO-2021'!AJ121</f>
        <v>547367948</v>
      </c>
    </row>
    <row r="46" spans="1:3" ht="90" customHeight="1" thickBot="1" x14ac:dyDescent="0.25">
      <c r="A46" s="454" t="s">
        <v>363</v>
      </c>
      <c r="B46" s="461" t="s">
        <v>1442</v>
      </c>
      <c r="C46" s="466">
        <f>'SGTO POAI -JUNIO-2021'!AJ126+'SGTO POAI -JUNIO-2021'!AJ127+'SGTO POAI -JUNIO-2021'!AJ128+'SGTO POAI -JUNIO-2021'!AJ129</f>
        <v>343493401</v>
      </c>
    </row>
    <row r="47" spans="1:3" ht="20.100000000000001" customHeight="1" thickBot="1" x14ac:dyDescent="0.25">
      <c r="A47" s="1013" t="s">
        <v>375</v>
      </c>
      <c r="B47" s="1014"/>
      <c r="C47" s="465">
        <f>SUM(C48:C51)</f>
        <v>4118391658.3200002</v>
      </c>
    </row>
    <row r="48" spans="1:3" ht="90" customHeight="1" thickBot="1" x14ac:dyDescent="0.25">
      <c r="A48" s="452" t="s">
        <v>378</v>
      </c>
      <c r="B48" s="459" t="s">
        <v>1443</v>
      </c>
      <c r="C48" s="466">
        <f>'SGTO POAI -JUNIO-2021'!AJ135+'SGTO POAI -JUNIO-2021'!AJ136+'SGTO POAI -JUNIO-2021'!AJ137+'SGTO POAI -JUNIO-2021'!AJ138+'SGTO POAI -JUNIO-2021'!AJ139</f>
        <v>1964078703.8999999</v>
      </c>
    </row>
    <row r="49" spans="1:3" ht="90" customHeight="1" thickBot="1" x14ac:dyDescent="0.25">
      <c r="A49" s="452" t="s">
        <v>394</v>
      </c>
      <c r="B49" s="460" t="s">
        <v>1444</v>
      </c>
      <c r="C49" s="466">
        <f>'SGTO POAI -JUNIO-2021'!AJ140+'SGTO POAI -JUNIO-2021'!AJ141</f>
        <v>337013297.60000002</v>
      </c>
    </row>
    <row r="50" spans="1:3" ht="90" customHeight="1" thickBot="1" x14ac:dyDescent="0.25">
      <c r="A50" s="454" t="s">
        <v>403</v>
      </c>
      <c r="B50" s="461" t="s">
        <v>1445</v>
      </c>
      <c r="C50" s="466">
        <f>'SGTO POAI -JUNIO-2021'!AJ142</f>
        <v>1421227081.52</v>
      </c>
    </row>
    <row r="51" spans="1:3" ht="90" customHeight="1" thickBot="1" x14ac:dyDescent="0.25">
      <c r="A51" s="454" t="s">
        <v>411</v>
      </c>
      <c r="B51" s="461" t="s">
        <v>412</v>
      </c>
      <c r="C51" s="466">
        <f>'SGTO POAI -JUNIO-2021'!AJ144+'SGTO POAI -JUNIO-2021'!AJ145</f>
        <v>396072575.30000001</v>
      </c>
    </row>
    <row r="52" spans="1:3" ht="20.100000000000001" customHeight="1" thickBot="1" x14ac:dyDescent="0.25">
      <c r="A52" s="1013" t="s">
        <v>416</v>
      </c>
      <c r="B52" s="1014"/>
      <c r="C52" s="465">
        <f>SUM(C53:C57)</f>
        <v>3266587709.6100001</v>
      </c>
    </row>
    <row r="53" spans="1:3" ht="90" customHeight="1" thickBot="1" x14ac:dyDescent="0.25">
      <c r="A53" s="454" t="s">
        <v>424</v>
      </c>
      <c r="B53" s="461" t="s">
        <v>1446</v>
      </c>
      <c r="C53" s="466">
        <f>'SGTO POAI -JUNIO-2021'!AJ151+'SGTO POAI -JUNIO-2021'!AJ152</f>
        <v>77000000</v>
      </c>
    </row>
    <row r="54" spans="1:3" ht="90" customHeight="1" thickBot="1" x14ac:dyDescent="0.25">
      <c r="A54" s="454" t="s">
        <v>433</v>
      </c>
      <c r="B54" s="459" t="s">
        <v>1447</v>
      </c>
      <c r="C54" s="466">
        <f>'SGTO POAI -JUNIO-2021'!AJ153+'SGTO POAI -JUNIO-2021'!AJ154</f>
        <v>250000000</v>
      </c>
    </row>
    <row r="55" spans="1:3" ht="90" customHeight="1" thickBot="1" x14ac:dyDescent="0.25">
      <c r="A55" s="454" t="s">
        <v>441</v>
      </c>
      <c r="B55" s="459" t="s">
        <v>1448</v>
      </c>
      <c r="C55" s="466">
        <f>'SGTO POAI -JUNIO-2021'!AJ155+'SGTO POAI -JUNIO-2021'!AJ156+'SGTO POAI -JUNIO-2021'!AJ157</f>
        <v>1696856036</v>
      </c>
    </row>
    <row r="56" spans="1:3" ht="90" customHeight="1" thickBot="1" x14ac:dyDescent="0.25">
      <c r="A56" s="454" t="s">
        <v>448</v>
      </c>
      <c r="B56" s="459" t="s">
        <v>1449</v>
      </c>
      <c r="C56" s="466">
        <f>'SGTO POAI -JUNIO-2021'!AJ158</f>
        <v>1005231673.61</v>
      </c>
    </row>
    <row r="57" spans="1:3" ht="90" customHeight="1" thickBot="1" x14ac:dyDescent="0.25">
      <c r="A57" s="454" t="s">
        <v>456</v>
      </c>
      <c r="B57" s="460" t="s">
        <v>457</v>
      </c>
      <c r="C57" s="466">
        <f>'SGTO POAI -JUNIO-2021'!AJ161+'SGTO POAI -JUNIO-2021'!AJ162+'SGTO POAI -JUNIO-2021'!AJ163+'SGTO POAI -JUNIO-2021'!AJ164</f>
        <v>237500000</v>
      </c>
    </row>
    <row r="58" spans="1:3" ht="20.100000000000001" customHeight="1" thickBot="1" x14ac:dyDescent="0.25">
      <c r="A58" s="1013" t="s">
        <v>468</v>
      </c>
      <c r="B58" s="1014"/>
      <c r="C58" s="465">
        <f>SUM(C59:C77)</f>
        <v>3854290501.6300001</v>
      </c>
    </row>
    <row r="59" spans="1:3" ht="90" customHeight="1" thickBot="1" x14ac:dyDescent="0.25">
      <c r="A59" s="454" t="s">
        <v>475</v>
      </c>
      <c r="B59" s="460" t="s">
        <v>476</v>
      </c>
      <c r="C59" s="466">
        <f>'SGTO POAI -JUNIO-2021'!AJ170+'SGTO POAI -JUNIO-2021'!AJ171+'SGTO POAI -JUNIO-2021'!AJ172</f>
        <v>739000000</v>
      </c>
    </row>
    <row r="60" spans="1:3" ht="90" customHeight="1" thickBot="1" x14ac:dyDescent="0.25">
      <c r="A60" s="452" t="s">
        <v>489</v>
      </c>
      <c r="B60" s="460" t="s">
        <v>490</v>
      </c>
      <c r="C60" s="466">
        <f>'SGTO POAI -JUNIO-2021'!AJ173+'SGTO POAI -JUNIO-2021'!AJ174+'SGTO POAI -JUNIO-2021'!AJ175</f>
        <v>530052526.97000003</v>
      </c>
    </row>
    <row r="61" spans="1:3" ht="90" customHeight="1" thickBot="1" x14ac:dyDescent="0.25">
      <c r="A61" s="454" t="s">
        <v>501</v>
      </c>
      <c r="B61" s="460" t="s">
        <v>1450</v>
      </c>
      <c r="C61" s="466">
        <f>'SGTO POAI -JUNIO-2021'!AJ176+'SGTO POAI -JUNIO-2021'!AJ177</f>
        <v>188606585.66</v>
      </c>
    </row>
    <row r="62" spans="1:3" ht="90" customHeight="1" thickBot="1" x14ac:dyDescent="0.25">
      <c r="A62" s="452" t="s">
        <v>508</v>
      </c>
      <c r="B62" s="459" t="s">
        <v>509</v>
      </c>
      <c r="C62" s="466">
        <f>'SGTO POAI -JUNIO-2021'!AJ178+'SGTO POAI -JUNIO-2021'!AJ179</f>
        <v>90000000</v>
      </c>
    </row>
    <row r="63" spans="1:3" ht="90" customHeight="1" thickBot="1" x14ac:dyDescent="0.25">
      <c r="A63" s="454" t="s">
        <v>517</v>
      </c>
      <c r="B63" s="460" t="s">
        <v>1451</v>
      </c>
      <c r="C63" s="466">
        <f>'SGTO POAI -JUNIO-2021'!AJ180</f>
        <v>27000000</v>
      </c>
    </row>
    <row r="64" spans="1:3" ht="90" customHeight="1" thickBot="1" x14ac:dyDescent="0.25">
      <c r="A64" s="454" t="s">
        <v>524</v>
      </c>
      <c r="B64" s="459" t="s">
        <v>525</v>
      </c>
      <c r="C64" s="466">
        <f>'SGTO POAI -JUNIO-2021'!AJ182</f>
        <v>325000000</v>
      </c>
    </row>
    <row r="65" spans="1:3" ht="90" customHeight="1" thickBot="1" x14ac:dyDescent="0.25">
      <c r="A65" s="452" t="s">
        <v>530</v>
      </c>
      <c r="B65" s="460" t="s">
        <v>531</v>
      </c>
      <c r="C65" s="466">
        <f>'SGTO POAI -JUNIO-2021'!AJ184+'SGTO POAI -JUNIO-2021'!AJ185</f>
        <v>70000000</v>
      </c>
    </row>
    <row r="66" spans="1:3" ht="90" customHeight="1" thickBot="1" x14ac:dyDescent="0.25">
      <c r="A66" s="454" t="s">
        <v>540</v>
      </c>
      <c r="B66" s="460" t="s">
        <v>1452</v>
      </c>
      <c r="C66" s="466">
        <f>'SGTO POAI -JUNIO-2021'!AJ187</f>
        <v>20000000</v>
      </c>
    </row>
    <row r="67" spans="1:3" ht="90" customHeight="1" thickBot="1" x14ac:dyDescent="0.25">
      <c r="A67" s="454" t="s">
        <v>547</v>
      </c>
      <c r="B67" s="459" t="s">
        <v>1453</v>
      </c>
      <c r="C67" s="466">
        <f>'SGTO POAI -JUNIO-2021'!AJ189</f>
        <v>43000000</v>
      </c>
    </row>
    <row r="68" spans="1:3" ht="90" customHeight="1" thickBot="1" x14ac:dyDescent="0.25">
      <c r="A68" s="452" t="s">
        <v>553</v>
      </c>
      <c r="B68" s="460" t="s">
        <v>554</v>
      </c>
      <c r="C68" s="466">
        <f>'SGTO POAI -JUNIO-2021'!AJ191+'SGTO POAI -JUNIO-2021'!AJ192</f>
        <v>40000000</v>
      </c>
    </row>
    <row r="69" spans="1:3" ht="90" customHeight="1" thickBot="1" x14ac:dyDescent="0.25">
      <c r="A69" s="455" t="s">
        <v>561</v>
      </c>
      <c r="B69" s="459" t="s">
        <v>562</v>
      </c>
      <c r="C69" s="466">
        <f>'SGTO POAI -JUNIO-2021'!AJ194+'SGTO POAI -JUNIO-2021'!AJ195+'SGTO POAI -JUNIO-2021'!AJ196</f>
        <v>108000000</v>
      </c>
    </row>
    <row r="70" spans="1:3" ht="90" customHeight="1" thickBot="1" x14ac:dyDescent="0.25">
      <c r="A70" s="454" t="s">
        <v>573</v>
      </c>
      <c r="B70" s="460" t="s">
        <v>1454</v>
      </c>
      <c r="C70" s="466">
        <f>'SGTO POAI -JUNIO-2021'!AJ199+'SGTO POAI -JUNIO-2021'!AJ200</f>
        <v>36000000</v>
      </c>
    </row>
    <row r="71" spans="1:3" ht="90" customHeight="1" thickBot="1" x14ac:dyDescent="0.25">
      <c r="A71" s="455" t="s">
        <v>582</v>
      </c>
      <c r="B71" s="460" t="s">
        <v>1455</v>
      </c>
      <c r="C71" s="466">
        <f>'SGTO POAI -JUNIO-2021'!AJ204+'SGTO POAI -JUNIO-2021'!AJ205</f>
        <v>82000000</v>
      </c>
    </row>
    <row r="72" spans="1:3" ht="90" customHeight="1" thickBot="1" x14ac:dyDescent="0.25">
      <c r="A72" s="454" t="s">
        <v>593</v>
      </c>
      <c r="B72" s="460" t="s">
        <v>594</v>
      </c>
      <c r="C72" s="466">
        <f>'SGTO POAI -JUNIO-2021'!AJ207+'SGTO POAI -JUNIO-2021'!AJ208+'SGTO POAI -JUNIO-2021'!AJ209+'SGTO POAI -JUNIO-2021'!AJ210</f>
        <v>1145631389</v>
      </c>
    </row>
    <row r="73" spans="1:3" ht="90" customHeight="1" thickBot="1" x14ac:dyDescent="0.25">
      <c r="A73" s="452" t="s">
        <v>610</v>
      </c>
      <c r="B73" s="460" t="s">
        <v>1456</v>
      </c>
      <c r="C73" s="466">
        <f>'SGTO POAI -JUNIO-2021'!AJ211</f>
        <v>36000000</v>
      </c>
    </row>
    <row r="74" spans="1:3" ht="90" customHeight="1" thickBot="1" x14ac:dyDescent="0.25">
      <c r="A74" s="452" t="s">
        <v>615</v>
      </c>
      <c r="B74" s="460" t="s">
        <v>1457</v>
      </c>
      <c r="C74" s="466">
        <f>'SGTO POAI -JUNIO-2021'!AJ212</f>
        <v>54000000</v>
      </c>
    </row>
    <row r="75" spans="1:3" ht="90" customHeight="1" thickBot="1" x14ac:dyDescent="0.25">
      <c r="A75" s="452" t="s">
        <v>623</v>
      </c>
      <c r="B75" s="460" t="s">
        <v>624</v>
      </c>
      <c r="C75" s="466">
        <f>'SGTO POAI -JUNIO-2021'!AJ214</f>
        <v>120000000</v>
      </c>
    </row>
    <row r="76" spans="1:3" ht="90" customHeight="1" thickBot="1" x14ac:dyDescent="0.25">
      <c r="A76" s="452" t="s">
        <v>630</v>
      </c>
      <c r="B76" s="460" t="s">
        <v>631</v>
      </c>
      <c r="C76" s="466">
        <f>'SGTO POAI -JUNIO-2021'!AJ216+'SGTO POAI -JUNIO-2021'!AJ217+'SGTO POAI -JUNIO-2021'!AJ218</f>
        <v>82000000</v>
      </c>
    </row>
    <row r="77" spans="1:3" ht="90" customHeight="1" thickBot="1" x14ac:dyDescent="0.25">
      <c r="A77" s="454" t="s">
        <v>643</v>
      </c>
      <c r="B77" s="460" t="s">
        <v>1458</v>
      </c>
      <c r="C77" s="466">
        <f>'SGTO POAI -JUNIO-2021'!AJ220+'SGTO POAI -JUNIO-2021'!AJ221+'SGTO POAI -JUNIO-2021'!AJ222</f>
        <v>118000000</v>
      </c>
    </row>
    <row r="78" spans="1:3" ht="20.100000000000001" customHeight="1" thickBot="1" x14ac:dyDescent="0.25">
      <c r="A78" s="1013" t="s">
        <v>653</v>
      </c>
      <c r="B78" s="1014"/>
      <c r="C78" s="465">
        <f>SUM(C79:C81)</f>
        <v>1177000000</v>
      </c>
    </row>
    <row r="79" spans="1:3" ht="90" customHeight="1" thickBot="1" x14ac:dyDescent="0.25">
      <c r="A79" s="454" t="s">
        <v>658</v>
      </c>
      <c r="B79" s="462" t="s">
        <v>1459</v>
      </c>
      <c r="C79" s="466">
        <f>'SGTO POAI -JUNIO-2021'!AJ228</f>
        <v>250000000</v>
      </c>
    </row>
    <row r="80" spans="1:3" ht="90" customHeight="1" thickBot="1" x14ac:dyDescent="0.25">
      <c r="A80" s="454" t="s">
        <v>664</v>
      </c>
      <c r="B80" s="460" t="s">
        <v>1460</v>
      </c>
      <c r="C80" s="466">
        <f>'SGTO POAI -JUNIO-2021'!AJ229</f>
        <v>782000000</v>
      </c>
    </row>
    <row r="81" spans="1:3" ht="90" customHeight="1" thickBot="1" x14ac:dyDescent="0.25">
      <c r="A81" s="455" t="s">
        <v>669</v>
      </c>
      <c r="B81" s="459" t="s">
        <v>1461</v>
      </c>
      <c r="C81" s="466">
        <f>'SGTO POAI -JUNIO-2021'!AJ231</f>
        <v>145000000</v>
      </c>
    </row>
    <row r="82" spans="1:3" ht="20.100000000000001" customHeight="1" thickBot="1" x14ac:dyDescent="0.25">
      <c r="A82" s="1013" t="s">
        <v>672</v>
      </c>
      <c r="B82" s="1014"/>
      <c r="C82" s="465">
        <f>SUM(C83:C91)</f>
        <v>190698739865.29999</v>
      </c>
    </row>
    <row r="83" spans="1:3" ht="90" customHeight="1" thickBot="1" x14ac:dyDescent="0.25">
      <c r="A83" s="454" t="s">
        <v>676</v>
      </c>
      <c r="B83" s="461" t="s">
        <v>677</v>
      </c>
      <c r="C83" s="466">
        <f>'SGTO POAI -JUNIO-2021'!AJ237+'SGTO POAI -JUNIO-2021'!AJ238+'SGTO POAI -JUNIO-2021'!AJ239+'SGTO POAI -JUNIO-2021'!AJ240+'SGTO POAI -JUNIO-2021'!AJ241+'SGTO POAI -JUNIO-2021'!AJ242+'SGTO POAI -JUNIO-2021'!AJ243+'SGTO POAI -JUNIO-2021'!AJ244+'SGTO POAI -JUNIO-2021'!AJ245+'SGTO POAI -JUNIO-2021'!AJ246</f>
        <v>15580197253.17</v>
      </c>
    </row>
    <row r="84" spans="1:3" ht="90" customHeight="1" thickBot="1" x14ac:dyDescent="0.25">
      <c r="A84" s="454" t="s">
        <v>707</v>
      </c>
      <c r="B84" s="461" t="s">
        <v>708</v>
      </c>
      <c r="C84" s="466">
        <f>'SGTO POAI -JUNIO-2021'!AJ247+'SGTO POAI -JUNIO-2021'!AJ248</f>
        <v>16000000</v>
      </c>
    </row>
    <row r="85" spans="1:3" ht="90" customHeight="1" thickBot="1" x14ac:dyDescent="0.25">
      <c r="A85" s="454" t="s">
        <v>716</v>
      </c>
      <c r="B85" s="461" t="s">
        <v>717</v>
      </c>
      <c r="C85" s="466">
        <f>'SGTO POAI -JUNIO-2021'!AJ249+'SGTO POAI -JUNIO-2021'!AJ250+'SGTO POAI -JUNIO-2021'!AJ251+'SGTO POAI -JUNIO-2021'!AJ252+'SGTO POAI -JUNIO-2021'!AJ253+'SGTO POAI -JUNIO-2021'!AJ254+'SGTO POAI -JUNIO-2021'!AJ255+'SGTO POAI -JUNIO-2021'!AJ256+'SGTO POAI -JUNIO-2021'!AJ257+'SGTO POAI -JUNIO-2021'!AJ258</f>
        <v>161433653.47999999</v>
      </c>
    </row>
    <row r="86" spans="1:3" ht="90" customHeight="1" thickBot="1" x14ac:dyDescent="0.25">
      <c r="A86" s="452" t="s">
        <v>742</v>
      </c>
      <c r="B86" s="461" t="s">
        <v>743</v>
      </c>
      <c r="C86" s="466">
        <f>'SGTO POAI -JUNIO-2021'!AJ259+'SGTO POAI -JUNIO-2021'!AJ260+'SGTO POAI -JUNIO-2021'!AJ261+'SGTO POAI -JUNIO-2021'!AJ262</f>
        <v>174173663351.63</v>
      </c>
    </row>
    <row r="87" spans="1:3" ht="90" customHeight="1" thickBot="1" x14ac:dyDescent="0.25">
      <c r="A87" s="454" t="s">
        <v>754</v>
      </c>
      <c r="B87" s="460" t="s">
        <v>1462</v>
      </c>
      <c r="C87" s="466">
        <f>'SGTO POAI -JUNIO-2021'!AJ263+'SGTO POAI -JUNIO-2021'!AJ264+'SGTO POAI -JUNIO-2021'!AJ265</f>
        <v>611945607.01999998</v>
      </c>
    </row>
    <row r="88" spans="1:3" ht="90" customHeight="1" thickBot="1" x14ac:dyDescent="0.25">
      <c r="A88" s="452" t="s">
        <v>764</v>
      </c>
      <c r="B88" s="461" t="s">
        <v>765</v>
      </c>
      <c r="C88" s="466">
        <f>'SGTO POAI -JUNIO-2021'!AJ266+'SGTO POAI -JUNIO-2021'!AJ267+'SGTO POAI -JUNIO-2021'!AJ268</f>
        <v>30000000</v>
      </c>
    </row>
    <row r="89" spans="1:3" ht="90" customHeight="1" thickBot="1" x14ac:dyDescent="0.25">
      <c r="A89" s="454" t="s">
        <v>771</v>
      </c>
      <c r="B89" s="461" t="s">
        <v>772</v>
      </c>
      <c r="C89" s="466">
        <f>'SGTO POAI -JUNIO-2021'!AJ269+'SGTO POAI -JUNIO-2021'!AJ270</f>
        <v>18000000</v>
      </c>
    </row>
    <row r="90" spans="1:3" ht="90" customHeight="1" thickBot="1" x14ac:dyDescent="0.25">
      <c r="A90" s="454" t="s">
        <v>780</v>
      </c>
      <c r="B90" s="461" t="s">
        <v>1463</v>
      </c>
      <c r="C90" s="466">
        <f>'SGTO POAI -JUNIO-2021'!AJ272</f>
        <v>100000000</v>
      </c>
    </row>
    <row r="91" spans="1:3" ht="90" customHeight="1" thickBot="1" x14ac:dyDescent="0.25">
      <c r="A91" s="454" t="s">
        <v>788</v>
      </c>
      <c r="B91" s="461" t="s">
        <v>1464</v>
      </c>
      <c r="C91" s="466">
        <f>'SGTO POAI -JUNIO-2021'!AJ276</f>
        <v>7500000</v>
      </c>
    </row>
    <row r="92" spans="1:3" ht="20.100000000000001" customHeight="1" thickBot="1" x14ac:dyDescent="0.25">
      <c r="A92" s="1013" t="s">
        <v>791</v>
      </c>
      <c r="B92" s="1014"/>
      <c r="C92" s="465">
        <f>SUM(C93:C120)</f>
        <v>6018861113.0100002</v>
      </c>
    </row>
    <row r="93" spans="1:3" ht="90" customHeight="1" thickBot="1" x14ac:dyDescent="0.25">
      <c r="A93" s="453" t="s">
        <v>796</v>
      </c>
      <c r="B93" s="461" t="s">
        <v>1465</v>
      </c>
      <c r="C93" s="466">
        <f>'SGTO POAI -JUNIO-2021'!AJ282+'SGTO POAI -JUNIO-2021'!AJ283</f>
        <v>175000000</v>
      </c>
    </row>
    <row r="94" spans="1:3" ht="90" customHeight="1" thickBot="1" x14ac:dyDescent="0.25">
      <c r="A94" s="454" t="s">
        <v>807</v>
      </c>
      <c r="B94" s="460" t="s">
        <v>1466</v>
      </c>
      <c r="C94" s="466">
        <f>'SGTO POAI -JUNIO-2021'!AJ286</f>
        <v>14250000</v>
      </c>
    </row>
    <row r="95" spans="1:3" ht="90" customHeight="1" thickBot="1" x14ac:dyDescent="0.25">
      <c r="A95" s="454" t="s">
        <v>815</v>
      </c>
      <c r="B95" s="460" t="s">
        <v>1467</v>
      </c>
      <c r="C95" s="466">
        <f>'SGTO POAI -JUNIO-2021'!AJ289+'SGTO POAI -JUNIO-2021'!AJ290</f>
        <v>101930000</v>
      </c>
    </row>
    <row r="96" spans="1:3" ht="90" customHeight="1" thickBot="1" x14ac:dyDescent="0.25">
      <c r="A96" s="454" t="s">
        <v>829</v>
      </c>
      <c r="B96" s="460" t="s">
        <v>1468</v>
      </c>
      <c r="C96" s="466">
        <f>'SGTO POAI -JUNIO-2021'!AJ291</f>
        <v>135000000</v>
      </c>
    </row>
    <row r="97" spans="1:3" ht="90" customHeight="1" thickBot="1" x14ac:dyDescent="0.25">
      <c r="A97" s="454" t="s">
        <v>838</v>
      </c>
      <c r="B97" s="460" t="s">
        <v>1469</v>
      </c>
      <c r="C97" s="466">
        <f>'SGTO POAI -JUNIO-2021'!AJ292+'SGTO POAI -JUNIO-2021'!AJ293</f>
        <v>294647889</v>
      </c>
    </row>
    <row r="98" spans="1:3" ht="90" customHeight="1" thickBot="1" x14ac:dyDescent="0.25">
      <c r="A98" s="454" t="s">
        <v>849</v>
      </c>
      <c r="B98" s="460" t="s">
        <v>1470</v>
      </c>
      <c r="C98" s="466">
        <f>'SGTO POAI -JUNIO-2021'!AJ294</f>
        <v>210000000</v>
      </c>
    </row>
    <row r="99" spans="1:3" ht="90" customHeight="1" thickBot="1" x14ac:dyDescent="0.25">
      <c r="A99" s="454" t="s">
        <v>857</v>
      </c>
      <c r="B99" s="460" t="s">
        <v>1471</v>
      </c>
      <c r="C99" s="466">
        <f>'SGTO POAI -JUNIO-2021'!AJ295</f>
        <v>18000000</v>
      </c>
    </row>
    <row r="100" spans="1:3" ht="90" customHeight="1" thickBot="1" x14ac:dyDescent="0.25">
      <c r="A100" s="454" t="s">
        <v>865</v>
      </c>
      <c r="B100" s="460" t="s">
        <v>866</v>
      </c>
      <c r="C100" s="466">
        <f>'SGTO POAI -JUNIO-2021'!AJ296+'SGTO POAI -JUNIO-2021'!AJ297</f>
        <v>50985000</v>
      </c>
    </row>
    <row r="101" spans="1:3" ht="90" customHeight="1" thickBot="1" x14ac:dyDescent="0.25">
      <c r="A101" s="454" t="s">
        <v>877</v>
      </c>
      <c r="B101" s="460" t="s">
        <v>1472</v>
      </c>
      <c r="C101" s="466">
        <f>'SGTO POAI -JUNIO-2021'!AJ298</f>
        <v>37000000</v>
      </c>
    </row>
    <row r="102" spans="1:3" ht="90" customHeight="1" thickBot="1" x14ac:dyDescent="0.25">
      <c r="A102" s="454" t="s">
        <v>883</v>
      </c>
      <c r="B102" s="459" t="s">
        <v>1473</v>
      </c>
      <c r="C102" s="466">
        <f>'SGTO POAI -JUNIO-2021'!AJ300</f>
        <v>15000000</v>
      </c>
    </row>
    <row r="103" spans="1:3" ht="90" customHeight="1" thickBot="1" x14ac:dyDescent="0.25">
      <c r="A103" s="454" t="s">
        <v>888</v>
      </c>
      <c r="B103" s="459" t="s">
        <v>1474</v>
      </c>
      <c r="C103" s="466">
        <f>'SGTO POAI -JUNIO-2021'!AJ301</f>
        <v>20000000</v>
      </c>
    </row>
    <row r="104" spans="1:3" ht="90" customHeight="1" thickBot="1" x14ac:dyDescent="0.25">
      <c r="A104" s="454" t="s">
        <v>893</v>
      </c>
      <c r="B104" s="459" t="s">
        <v>1475</v>
      </c>
      <c r="C104" s="466">
        <f>'SGTO POAI -JUNIO-2021'!AJ302</f>
        <v>25000000</v>
      </c>
    </row>
    <row r="105" spans="1:3" ht="90" customHeight="1" thickBot="1" x14ac:dyDescent="0.25">
      <c r="A105" s="454" t="s">
        <v>899</v>
      </c>
      <c r="B105" s="459" t="s">
        <v>1476</v>
      </c>
      <c r="C105" s="466">
        <f>'SGTO POAI -JUNIO-2021'!AJ303</f>
        <v>75112368</v>
      </c>
    </row>
    <row r="106" spans="1:3" ht="90" customHeight="1" thickBot="1" x14ac:dyDescent="0.25">
      <c r="A106" s="454" t="s">
        <v>907</v>
      </c>
      <c r="B106" s="459" t="s">
        <v>1477</v>
      </c>
      <c r="C106" s="466">
        <f>'SGTO POAI -JUNIO-2021'!AJ304+'SGTO POAI -JUNIO-2021'!AJ305</f>
        <v>47000000</v>
      </c>
    </row>
    <row r="107" spans="1:3" ht="90" customHeight="1" thickBot="1" x14ac:dyDescent="0.25">
      <c r="A107" s="454" t="s">
        <v>916</v>
      </c>
      <c r="B107" s="459" t="s">
        <v>917</v>
      </c>
      <c r="C107" s="466">
        <f>'SGTO POAI -JUNIO-2021'!AJ306</f>
        <v>51681346</v>
      </c>
    </row>
    <row r="108" spans="1:3" ht="90" customHeight="1" thickBot="1" x14ac:dyDescent="0.25">
      <c r="A108" s="454" t="s">
        <v>925</v>
      </c>
      <c r="B108" s="460" t="s">
        <v>926</v>
      </c>
      <c r="C108" s="466">
        <f>'SGTO POAI -JUNIO-2021'!AJ308+'SGTO POAI -JUNIO-2021'!AJ309</f>
        <v>102080000</v>
      </c>
    </row>
    <row r="109" spans="1:3" ht="90" customHeight="1" thickBot="1" x14ac:dyDescent="0.25">
      <c r="A109" s="453" t="s">
        <v>935</v>
      </c>
      <c r="B109" s="459" t="s">
        <v>1478</v>
      </c>
      <c r="C109" s="466">
        <f>'SGTO POAI -JUNIO-2021'!AJ310</f>
        <v>35000000</v>
      </c>
    </row>
    <row r="110" spans="1:3" ht="90" customHeight="1" thickBot="1" x14ac:dyDescent="0.25">
      <c r="A110" s="454" t="s">
        <v>982</v>
      </c>
      <c r="B110" s="459" t="s">
        <v>1479</v>
      </c>
      <c r="C110" s="466">
        <f>'SGTO POAI -JUNIO-2021'!AJ325</f>
        <v>90000000</v>
      </c>
    </row>
    <row r="111" spans="1:3" ht="90" customHeight="1" thickBot="1" x14ac:dyDescent="0.25">
      <c r="A111" s="454" t="s">
        <v>976</v>
      </c>
      <c r="B111" s="459" t="s">
        <v>977</v>
      </c>
      <c r="C111" s="466">
        <f>'SGTO POAI -JUNIO-2021'!AJ324</f>
        <v>77000000</v>
      </c>
    </row>
    <row r="112" spans="1:3" ht="90" customHeight="1" thickBot="1" x14ac:dyDescent="0.25">
      <c r="A112" s="454" t="s">
        <v>943</v>
      </c>
      <c r="B112" s="460" t="s">
        <v>1480</v>
      </c>
      <c r="C112" s="466">
        <f>'SGTO POAI -JUNIO-2021'!AJ311+'SGTO POAI -JUNIO-2021'!AJ312</f>
        <v>4090085007.0100002</v>
      </c>
    </row>
    <row r="113" spans="1:3" ht="90" customHeight="1" thickBot="1" x14ac:dyDescent="0.25">
      <c r="A113" s="454" t="s">
        <v>1009</v>
      </c>
      <c r="B113" s="459" t="s">
        <v>1481</v>
      </c>
      <c r="C113" s="466">
        <f>'SGTO POAI -JUNIO-2021'!AJ331</f>
        <v>145894503</v>
      </c>
    </row>
    <row r="114" spans="1:3" ht="90" customHeight="1" thickBot="1" x14ac:dyDescent="0.25">
      <c r="A114" s="454" t="s">
        <v>988</v>
      </c>
      <c r="B114" s="459" t="s">
        <v>1482</v>
      </c>
      <c r="C114" s="466">
        <f>'SGTO POAI -JUNIO-2021'!AJ326</f>
        <v>33000000</v>
      </c>
    </row>
    <row r="115" spans="1:3" ht="90" customHeight="1" thickBot="1" x14ac:dyDescent="0.25">
      <c r="A115" s="454" t="s">
        <v>992</v>
      </c>
      <c r="B115" s="460" t="s">
        <v>993</v>
      </c>
      <c r="C115" s="466">
        <f>'SGTO POAI -JUNIO-2021'!AJ327</f>
        <v>33000000</v>
      </c>
    </row>
    <row r="116" spans="1:3" ht="90" customHeight="1" thickBot="1" x14ac:dyDescent="0.25">
      <c r="A116" s="454" t="s">
        <v>955</v>
      </c>
      <c r="B116" s="460" t="s">
        <v>1483</v>
      </c>
      <c r="C116" s="466">
        <f>'SGTO POAI -JUNIO-2021'!AJ316</f>
        <v>18000000</v>
      </c>
    </row>
    <row r="117" spans="1:3" ht="90" customHeight="1" thickBot="1" x14ac:dyDescent="0.25">
      <c r="A117" s="454" t="s">
        <v>961</v>
      </c>
      <c r="B117" s="460" t="s">
        <v>1484</v>
      </c>
      <c r="C117" s="466">
        <f>'SGTO POAI -JUNIO-2021'!AJ319</f>
        <v>38195000</v>
      </c>
    </row>
    <row r="118" spans="1:3" ht="90" customHeight="1" thickBot="1" x14ac:dyDescent="0.25">
      <c r="A118" s="454" t="s">
        <v>968</v>
      </c>
      <c r="B118" s="460" t="s">
        <v>1485</v>
      </c>
      <c r="C118" s="466">
        <f>'SGTO POAI -JUNIO-2021'!AJ323</f>
        <v>18000000</v>
      </c>
    </row>
    <row r="119" spans="1:3" ht="90" customHeight="1" thickBot="1" x14ac:dyDescent="0.25">
      <c r="A119" s="586" t="str">
        <f>'SGTO POAI -JUNIO-2021'!S329</f>
        <v>202000363-0150</v>
      </c>
      <c r="B119" s="461" t="s">
        <v>1486</v>
      </c>
      <c r="C119" s="466">
        <f>'SGTO POAI -JUNIO-2021'!AJ329</f>
        <v>50000000</v>
      </c>
    </row>
    <row r="120" spans="1:3" ht="90" customHeight="1" thickBot="1" x14ac:dyDescent="0.25">
      <c r="A120" s="587" t="str">
        <f>'SGTO POAI -JUNIO-2021'!S330</f>
        <v>202000363-0151</v>
      </c>
      <c r="B120" s="459" t="s">
        <v>1005</v>
      </c>
      <c r="C120" s="466">
        <f>'SGTO POAI -JUNIO-2021'!AJ330</f>
        <v>18000000</v>
      </c>
    </row>
    <row r="121" spans="1:3" ht="20.100000000000001" customHeight="1" thickBot="1" x14ac:dyDescent="0.25">
      <c r="A121" s="1013" t="s">
        <v>1012</v>
      </c>
      <c r="B121" s="1014"/>
      <c r="C121" s="465">
        <f>SUM(C122:C144)</f>
        <v>54459863533.529999</v>
      </c>
    </row>
    <row r="122" spans="1:3" ht="90" customHeight="1" thickBot="1" x14ac:dyDescent="0.25">
      <c r="A122" s="454" t="s">
        <v>1018</v>
      </c>
      <c r="B122" s="461" t="s">
        <v>1019</v>
      </c>
      <c r="C122" s="466">
        <f>'SGTO POAI -JUNIO-2021'!AJ337+'SGTO POAI -JUNIO-2021'!AJ338+'SGTO POAI -JUNIO-2021'!AJ339+'SGTO POAI -JUNIO-2021'!AJ340+'SGTO POAI -JUNIO-2021'!AJ341+'SGTO POAI -JUNIO-2021'!AJ342+'SGTO POAI -JUNIO-2021'!AJ343+'SGTO POAI -JUNIO-2021'!AJ344</f>
        <v>1689281421.21</v>
      </c>
    </row>
    <row r="123" spans="1:3" ht="90" customHeight="1" thickBot="1" x14ac:dyDescent="0.25">
      <c r="A123" s="454" t="s">
        <v>1047</v>
      </c>
      <c r="B123" s="460" t="s">
        <v>1487</v>
      </c>
      <c r="C123" s="466">
        <f>'SGTO POAI -JUNIO-2021'!AJ345+'SGTO POAI -JUNIO-2021'!AJ346</f>
        <v>293000000</v>
      </c>
    </row>
    <row r="124" spans="1:3" ht="90" customHeight="1" thickBot="1" x14ac:dyDescent="0.25">
      <c r="A124" s="454" t="s">
        <v>1056</v>
      </c>
      <c r="B124" s="460" t="s">
        <v>1488</v>
      </c>
      <c r="C124" s="466">
        <f>'SGTO POAI -JUNIO-2021'!AJ347+'SGTO POAI -JUNIO-2021'!AJ348+'SGTO POAI -JUNIO-2021'!AJ349</f>
        <v>947714309</v>
      </c>
    </row>
    <row r="125" spans="1:3" ht="90" customHeight="1" thickBot="1" x14ac:dyDescent="0.25">
      <c r="A125" s="454" t="s">
        <v>1064</v>
      </c>
      <c r="B125" s="460" t="s">
        <v>1065</v>
      </c>
      <c r="C125" s="466">
        <f>'SGTO POAI -JUNIO-2021'!AJ350</f>
        <v>96954000</v>
      </c>
    </row>
    <row r="126" spans="1:3" ht="90" customHeight="1" thickBot="1" x14ac:dyDescent="0.25">
      <c r="A126" s="454" t="s">
        <v>1070</v>
      </c>
      <c r="B126" s="460" t="s">
        <v>1071</v>
      </c>
      <c r="C126" s="466">
        <f>'SGTO POAI -JUNIO-2021'!AJ351+'SGTO POAI -JUNIO-2021'!AJ352+'SGTO POAI -JUNIO-2021'!AJ353+'SGTO POAI -JUNIO-2021'!AJ354</f>
        <v>64636000</v>
      </c>
    </row>
    <row r="127" spans="1:3" ht="90" customHeight="1" thickBot="1" x14ac:dyDescent="0.25">
      <c r="A127" s="454" t="s">
        <v>1080</v>
      </c>
      <c r="B127" s="460" t="s">
        <v>1081</v>
      </c>
      <c r="C127" s="466">
        <f>'SGTO POAI -JUNIO-2021'!AJ355+'SGTO POAI -JUNIO-2021'!AJ356+'SGTO POAI -JUNIO-2021'!AJ357+'SGTO POAI -JUNIO-2021'!AJ358</f>
        <v>91081005</v>
      </c>
    </row>
    <row r="128" spans="1:3" ht="90" customHeight="1" thickBot="1" x14ac:dyDescent="0.25">
      <c r="A128" s="454" t="s">
        <v>1093</v>
      </c>
      <c r="B128" s="460" t="s">
        <v>1489</v>
      </c>
      <c r="C128" s="466">
        <f>'SGTO POAI -JUNIO-2021'!AJ360+'SGTO POAI -JUNIO-2021'!AJ361</f>
        <v>76000000</v>
      </c>
    </row>
    <row r="129" spans="1:3" ht="90" customHeight="1" thickBot="1" x14ac:dyDescent="0.25">
      <c r="A129" s="454" t="s">
        <v>1100</v>
      </c>
      <c r="B129" s="460" t="s">
        <v>1490</v>
      </c>
      <c r="C129" s="466">
        <f>'SGTO POAI -JUNIO-2021'!AJ362+'SGTO POAI -JUNIO-2021'!AJ363+'SGTO POAI -JUNIO-2021'!AJ364+'SGTO POAI -JUNIO-2021'!AJ365+'SGTO POAI -JUNIO-2021'!AJ366+'SGTO POAI -JUNIO-2021'!AJ367+'SGTO POAI -JUNIO-2021'!AJ368</f>
        <v>200000000</v>
      </c>
    </row>
    <row r="130" spans="1:3" ht="90" customHeight="1" thickBot="1" x14ac:dyDescent="0.25">
      <c r="A130" s="454" t="s">
        <v>1124</v>
      </c>
      <c r="B130" s="460" t="s">
        <v>1125</v>
      </c>
      <c r="C130" s="466">
        <f>'SGTO POAI -JUNIO-2021'!AJ369+'SGTO POAI -JUNIO-2021'!AJ370</f>
        <v>161000000</v>
      </c>
    </row>
    <row r="131" spans="1:3" ht="90" customHeight="1" thickBot="1" x14ac:dyDescent="0.25">
      <c r="A131" s="453" t="s">
        <v>1132</v>
      </c>
      <c r="B131" s="459" t="s">
        <v>1133</v>
      </c>
      <c r="C131" s="466">
        <f>'SGTO POAI -JUNIO-2021'!AJ371+'SGTO POAI -JUNIO-2021'!AJ372+'SGTO POAI -JUNIO-2021'!AJ373</f>
        <v>153000000</v>
      </c>
    </row>
    <row r="132" spans="1:3" ht="90" customHeight="1" thickBot="1" x14ac:dyDescent="0.25">
      <c r="A132" s="453" t="s">
        <v>1142</v>
      </c>
      <c r="B132" s="459" t="s">
        <v>1143</v>
      </c>
      <c r="C132" s="466">
        <f>'SGTO POAI -JUNIO-2021'!AJ374+'SGTO POAI -JUNIO-2021'!AJ375</f>
        <v>181000000</v>
      </c>
    </row>
    <row r="133" spans="1:3" ht="90" customHeight="1" thickBot="1" x14ac:dyDescent="0.25">
      <c r="A133" s="453" t="s">
        <v>1147</v>
      </c>
      <c r="B133" s="459" t="s">
        <v>1148</v>
      </c>
      <c r="C133" s="466">
        <f>'SGTO POAI -JUNIO-2021'!AJ376+'SGTO POAI -JUNIO-2021'!AJ377+'SGTO POAI -JUNIO-2021'!AJ378</f>
        <v>153000000</v>
      </c>
    </row>
    <row r="134" spans="1:3" ht="90" customHeight="1" thickBot="1" x14ac:dyDescent="0.25">
      <c r="A134" s="454" t="s">
        <v>1158</v>
      </c>
      <c r="B134" s="459" t="s">
        <v>1159</v>
      </c>
      <c r="C134" s="466">
        <f>'SGTO POAI -JUNIO-2021'!AJ379+'SGTO POAI -JUNIO-2021'!AJ380</f>
        <v>531707393</v>
      </c>
    </row>
    <row r="135" spans="1:3" ht="90" customHeight="1" thickBot="1" x14ac:dyDescent="0.25">
      <c r="A135" s="453" t="s">
        <v>1161</v>
      </c>
      <c r="B135" s="459" t="s">
        <v>1162</v>
      </c>
      <c r="C135" s="466">
        <f>'SGTO POAI -JUNIO-2021'!AJ381+'SGTO POAI -JUNIO-2021'!AJ382</f>
        <v>221605851</v>
      </c>
    </row>
    <row r="136" spans="1:3" ht="90" customHeight="1" thickBot="1" x14ac:dyDescent="0.25">
      <c r="A136" s="454" t="s">
        <v>1165</v>
      </c>
      <c r="B136" s="459" t="s">
        <v>1166</v>
      </c>
      <c r="C136" s="466">
        <f>'SGTO POAI -JUNIO-2021'!AJ383</f>
        <v>1100000000</v>
      </c>
    </row>
    <row r="137" spans="1:3" ht="90" customHeight="1" thickBot="1" x14ac:dyDescent="0.25">
      <c r="A137" s="454" t="s">
        <v>1171</v>
      </c>
      <c r="B137" s="459" t="s">
        <v>1172</v>
      </c>
      <c r="C137" s="466">
        <f>'SGTO POAI -JUNIO-2021'!AJ384</f>
        <v>20000000</v>
      </c>
    </row>
    <row r="138" spans="1:3" ht="90" customHeight="1" thickBot="1" x14ac:dyDescent="0.25">
      <c r="A138" s="454" t="s">
        <v>1176</v>
      </c>
      <c r="B138" s="459" t="s">
        <v>1177</v>
      </c>
      <c r="C138" s="466">
        <f>'SGTO POAI -JUNIO-2021'!AJ385</f>
        <v>84414100</v>
      </c>
    </row>
    <row r="139" spans="1:3" ht="90" customHeight="1" thickBot="1" x14ac:dyDescent="0.25">
      <c r="A139" s="454" t="s">
        <v>1180</v>
      </c>
      <c r="B139" s="459" t="s">
        <v>1181</v>
      </c>
      <c r="C139" s="466">
        <f>'SGTO POAI -JUNIO-2021'!AJ386</f>
        <v>320000000</v>
      </c>
    </row>
    <row r="140" spans="1:3" ht="90" customHeight="1" thickBot="1" x14ac:dyDescent="0.25">
      <c r="A140" s="454" t="s">
        <v>1190</v>
      </c>
      <c r="B140" s="460" t="s">
        <v>1191</v>
      </c>
      <c r="C140" s="466">
        <f>'SGTO POAI -JUNIO-2021'!AJ387</f>
        <v>321904376</v>
      </c>
    </row>
    <row r="141" spans="1:3" ht="90" customHeight="1" thickBot="1" x14ac:dyDescent="0.25">
      <c r="A141" s="454" t="s">
        <v>1193</v>
      </c>
      <c r="B141" s="460" t="s">
        <v>1194</v>
      </c>
      <c r="C141" s="466">
        <f>'SGTO POAI -JUNIO-2021'!AJ388</f>
        <v>1760866325.49</v>
      </c>
    </row>
    <row r="142" spans="1:3" ht="90" customHeight="1" thickBot="1" x14ac:dyDescent="0.25">
      <c r="A142" s="453" t="s">
        <v>1198</v>
      </c>
      <c r="B142" s="459" t="s">
        <v>1199</v>
      </c>
      <c r="C142" s="466">
        <f>'SGTO POAI -JUNIO-2021'!AJ390+'SGTO POAI -JUNIO-2021'!AJ391</f>
        <v>31351259122</v>
      </c>
    </row>
    <row r="143" spans="1:3" ht="90" customHeight="1" thickBot="1" x14ac:dyDescent="0.25">
      <c r="A143" s="453" t="s">
        <v>1209</v>
      </c>
      <c r="B143" s="459" t="s">
        <v>1491</v>
      </c>
      <c r="C143" s="466">
        <f>'SGTO POAI -JUNIO-2021'!AJ392+'SGTO POAI -JUNIO-2021'!AJ393+'SGTO POAI -JUNIO-2021'!AJ394</f>
        <v>13633483743.709999</v>
      </c>
    </row>
    <row r="144" spans="1:3" ht="90" customHeight="1" thickBot="1" x14ac:dyDescent="0.25">
      <c r="A144" s="454" t="s">
        <v>1221</v>
      </c>
      <c r="B144" s="460" t="s">
        <v>1222</v>
      </c>
      <c r="C144" s="466">
        <f>'SGTO POAI -JUNIO-2021'!AJ395+'SGTO POAI -JUNIO-2021'!AJ396+'SGTO POAI -JUNIO-2021'!AJ397+'SGTO POAI -JUNIO-2021'!AJ398+'SGTO POAI -JUNIO-2021'!AJ399</f>
        <v>1007955887.12</v>
      </c>
    </row>
    <row r="145" spans="1:3" ht="20.100000000000001" customHeight="1" thickBot="1" x14ac:dyDescent="0.25">
      <c r="A145" s="1013" t="s">
        <v>1492</v>
      </c>
      <c r="B145" s="1014"/>
      <c r="C145" s="465">
        <f>SUM(C146:C151)</f>
        <v>1196000000</v>
      </c>
    </row>
    <row r="146" spans="1:3" ht="90" customHeight="1" thickBot="1" x14ac:dyDescent="0.25">
      <c r="A146" s="453" t="s">
        <v>1236</v>
      </c>
      <c r="B146" s="461" t="s">
        <v>1493</v>
      </c>
      <c r="C146" s="466">
        <f>'SGTO POAI -JUNIO-2021'!AJ405+'SGTO POAI -JUNIO-2021'!AJ406+'SGTO POAI -JUNIO-2021'!AJ407+'SGTO POAI -JUNIO-2021'!AJ408</f>
        <v>325460000</v>
      </c>
    </row>
    <row r="147" spans="1:3" ht="90" customHeight="1" thickBot="1" x14ac:dyDescent="0.25">
      <c r="A147" s="456" t="s">
        <v>1251</v>
      </c>
      <c r="B147" s="459" t="s">
        <v>1252</v>
      </c>
      <c r="C147" s="466">
        <f>'SGTO POAI -JUNIO-2021'!AJ409+'SGTO POAI -JUNIO-2021'!AJ410+'SGTO POAI -JUNIO-2021'!AJ411+'SGTO POAI -JUNIO-2021'!AJ412+'SGTO POAI -JUNIO-2021'!AJ413</f>
        <v>348540000</v>
      </c>
    </row>
    <row r="148" spans="1:3" ht="90" customHeight="1" thickBot="1" x14ac:dyDescent="0.25">
      <c r="A148" s="455" t="s">
        <v>1262</v>
      </c>
      <c r="B148" s="460" t="s">
        <v>1263</v>
      </c>
      <c r="C148" s="466">
        <f>'SGTO POAI -JUNIO-2021'!AJ415+'SGTO POAI -JUNIO-2021'!AJ416+'SGTO POAI -JUNIO-2021'!AJ417+'SGTO POAI -JUNIO-2021'!AJ418+'SGTO POAI -JUNIO-2021'!AJ419</f>
        <v>146000000</v>
      </c>
    </row>
    <row r="149" spans="1:3" ht="90" customHeight="1" thickBot="1" x14ac:dyDescent="0.25">
      <c r="A149" s="455" t="s">
        <v>1280</v>
      </c>
      <c r="B149" s="459" t="s">
        <v>1281</v>
      </c>
      <c r="C149" s="466">
        <f>'SGTO POAI -JUNIO-2021'!AJ423+'SGTO POAI -JUNIO-2021'!AJ424+'SGTO POAI -JUNIO-2021'!AJ425</f>
        <v>60000000</v>
      </c>
    </row>
    <row r="150" spans="1:3" ht="90" customHeight="1" thickBot="1" x14ac:dyDescent="0.25">
      <c r="A150" s="455" t="s">
        <v>1290</v>
      </c>
      <c r="B150" s="459" t="s">
        <v>1494</v>
      </c>
      <c r="C150" s="466">
        <f>'SGTO POAI -JUNIO-2021'!AJ427</f>
        <v>18000000</v>
      </c>
    </row>
    <row r="151" spans="1:3" ht="90" customHeight="1" thickBot="1" x14ac:dyDescent="0.25">
      <c r="A151" s="455" t="s">
        <v>1296</v>
      </c>
      <c r="B151" s="460" t="s">
        <v>1495</v>
      </c>
      <c r="C151" s="466">
        <f>'SGTO POAI -JUNIO-2021'!AJ431+'SGTO POAI -JUNIO-2021'!AJ432+'SGTO POAI -JUNIO-2021'!AJ433+'SGTO POAI -JUNIO-2021'!AJ434+'SGTO POAI -JUNIO-2021'!AJ435+'SGTO POAI -JUNIO-2021'!AJ436</f>
        <v>298000000</v>
      </c>
    </row>
    <row r="152" spans="1:3" s="469" customFormat="1" ht="20.100000000000001" customHeight="1" thickBot="1" x14ac:dyDescent="0.3">
      <c r="A152" s="1011" t="s">
        <v>1496</v>
      </c>
      <c r="B152" s="1012"/>
      <c r="C152" s="468">
        <f>C145+C121+C92+C82+C78+C58+C52+C47+C34+C20+C17+C9+C4</f>
        <v>291418489407.71002</v>
      </c>
    </row>
    <row r="153" spans="1:3" ht="20.100000000000001" customHeight="1" thickBot="1" x14ac:dyDescent="0.25">
      <c r="A153" s="1013" t="s">
        <v>1308</v>
      </c>
      <c r="B153" s="1014"/>
      <c r="C153" s="465">
        <f>SUM(C154:C156)</f>
        <v>13010854314.189999</v>
      </c>
    </row>
    <row r="154" spans="1:3" ht="90" customHeight="1" thickBot="1" x14ac:dyDescent="0.25">
      <c r="A154" s="457" t="s">
        <v>1497</v>
      </c>
      <c r="B154" s="460" t="s">
        <v>1312</v>
      </c>
      <c r="C154" s="466">
        <f>'SGTO POAI -JUNIO-2021'!AJ443+'SGTO POAI -JUNIO-2021'!AJ444+'SGTO POAI -JUNIO-2021'!AJ445+'SGTO POAI -JUNIO-2021'!AJ446</f>
        <v>5232666192.1399994</v>
      </c>
    </row>
    <row r="155" spans="1:3" ht="90" customHeight="1" thickBot="1" x14ac:dyDescent="0.25">
      <c r="A155" s="457" t="s">
        <v>1498</v>
      </c>
      <c r="B155" s="459" t="s">
        <v>1326</v>
      </c>
      <c r="C155" s="466">
        <f>'SGTO POAI -JUNIO-2021'!AJ448</f>
        <v>7651306047.4099998</v>
      </c>
    </row>
    <row r="156" spans="1:3" ht="90" customHeight="1" thickBot="1" x14ac:dyDescent="0.25">
      <c r="A156" s="458" t="s">
        <v>1499</v>
      </c>
      <c r="B156" s="459" t="s">
        <v>1500</v>
      </c>
      <c r="C156" s="466">
        <f>'SGTO POAI -JUNIO-2021'!AJ449</f>
        <v>126882074.64</v>
      </c>
    </row>
    <row r="157" spans="1:3" ht="20.100000000000001" customHeight="1" thickBot="1" x14ac:dyDescent="0.25">
      <c r="A157" s="1013" t="s">
        <v>1334</v>
      </c>
      <c r="B157" s="1014"/>
      <c r="C157" s="465">
        <f>SUM(C158:C161)</f>
        <v>2024983199.03</v>
      </c>
    </row>
    <row r="158" spans="1:3" ht="90" customHeight="1" thickBot="1" x14ac:dyDescent="0.25">
      <c r="A158" s="455" t="s">
        <v>1337</v>
      </c>
      <c r="B158" s="460" t="s">
        <v>1501</v>
      </c>
      <c r="C158" s="466">
        <f>'SGTO POAI -JUNIO-2021'!AJ455</f>
        <v>308302422.89999998</v>
      </c>
    </row>
    <row r="159" spans="1:3" ht="90" customHeight="1" thickBot="1" x14ac:dyDescent="0.25">
      <c r="A159" s="455" t="s">
        <v>1341</v>
      </c>
      <c r="B159" s="460" t="s">
        <v>1342</v>
      </c>
      <c r="C159" s="466">
        <f>'SGTO POAI -JUNIO-2021'!AJ458</f>
        <v>308302422.89999998</v>
      </c>
    </row>
    <row r="160" spans="1:3" ht="90" customHeight="1" thickBot="1" x14ac:dyDescent="0.25">
      <c r="A160" s="455" t="s">
        <v>1345</v>
      </c>
      <c r="B160" s="460" t="s">
        <v>1502</v>
      </c>
      <c r="C160" s="466">
        <f>'SGTO POAI -JUNIO-2021'!AJ462</f>
        <v>199461691.20000002</v>
      </c>
    </row>
    <row r="161" spans="1:3" ht="90" customHeight="1" thickBot="1" x14ac:dyDescent="0.25">
      <c r="A161" s="455" t="s">
        <v>1351</v>
      </c>
      <c r="B161" s="460" t="s">
        <v>1503</v>
      </c>
      <c r="C161" s="466">
        <f>'SGTO POAI -JUNIO-2021'!AJ465+'SGTO POAI -JUNIO-2021'!AJ466+'SGTO POAI -JUNIO-2021'!AJ467+'SGTO POAI -JUNIO-2021'!AJ468+'SGTO POAI -JUNIO-2021'!AJ469+'SGTO POAI -JUNIO-2021'!AJ470+'SGTO POAI -JUNIO-2021'!AJ471</f>
        <v>1208916662.03</v>
      </c>
    </row>
    <row r="162" spans="1:3" ht="20.100000000000001" customHeight="1" thickBot="1" x14ac:dyDescent="0.25">
      <c r="A162" s="1015" t="s">
        <v>1369</v>
      </c>
      <c r="B162" s="1016"/>
      <c r="C162" s="465">
        <f>SUM(C163)</f>
        <v>110210000</v>
      </c>
    </row>
    <row r="163" spans="1:3" ht="90" customHeight="1" thickBot="1" x14ac:dyDescent="0.25">
      <c r="A163" s="463" t="s">
        <v>1504</v>
      </c>
      <c r="B163" s="464" t="s">
        <v>1505</v>
      </c>
      <c r="C163" s="467">
        <f>'SGTO POAI -JUNIO-2021'!AJ477+'SGTO POAI -JUNIO-2021'!AJ478+'SGTO POAI -JUNIO-2021'!AJ479+'SGTO POAI -JUNIO-2021'!AJ480</f>
        <v>110210000</v>
      </c>
    </row>
    <row r="164" spans="1:3" s="469" customFormat="1" ht="20.100000000000001" customHeight="1" thickBot="1" x14ac:dyDescent="0.3">
      <c r="A164" s="1011" t="s">
        <v>1506</v>
      </c>
      <c r="B164" s="1012"/>
      <c r="C164" s="468">
        <f>C162+C157+C153</f>
        <v>15146047513.219999</v>
      </c>
    </row>
    <row r="165" spans="1:3" s="469" customFormat="1" ht="20.100000000000001" customHeight="1" thickBot="1" x14ac:dyDescent="0.3">
      <c r="A165" s="1009" t="s">
        <v>1507</v>
      </c>
      <c r="B165" s="1010"/>
      <c r="C165" s="470">
        <f>C164+C152</f>
        <v>306564536920.92999</v>
      </c>
    </row>
  </sheetData>
  <sheetProtection algorithmName="SHA-512" hashValue="czTRBlua1HpJvxs0aL7PlrjM8zvlr8fvH1lzArr4p9Yx91ESDJeAlJqJF24+Gjpu8WC/1DgQWn+j5k043QFMlA==" saltValue="bRb7E6Pv5fE2U/jxHheoAQ==" spinCount="100000" sheet="1" objects="1" scenarios="1"/>
  <mergeCells count="23">
    <mergeCell ref="A2:A3"/>
    <mergeCell ref="B2:B3"/>
    <mergeCell ref="A20:B20"/>
    <mergeCell ref="A34:B34"/>
    <mergeCell ref="A47:B47"/>
    <mergeCell ref="A52:B52"/>
    <mergeCell ref="A58:B58"/>
    <mergeCell ref="A1:C1"/>
    <mergeCell ref="A165:B165"/>
    <mergeCell ref="A152:B152"/>
    <mergeCell ref="A164:B164"/>
    <mergeCell ref="A145:B145"/>
    <mergeCell ref="A153:B153"/>
    <mergeCell ref="A157:B157"/>
    <mergeCell ref="A162:B162"/>
    <mergeCell ref="A92:B92"/>
    <mergeCell ref="A121:B121"/>
    <mergeCell ref="A4:B4"/>
    <mergeCell ref="A9:B9"/>
    <mergeCell ref="A17:B17"/>
    <mergeCell ref="A78:B78"/>
    <mergeCell ref="C2:C3"/>
    <mergeCell ref="A82:B82"/>
  </mergeCells>
  <phoneticPr fontId="9"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SGTO POAI -JUNIO-2021</vt:lpstr>
      <vt:lpstr>RESUMEN POR UNIDAD</vt:lpstr>
      <vt:lpstr>UNIDADES + FUENTE</vt:lpstr>
      <vt:lpstr>PROGRAMAS</vt:lpstr>
      <vt:lpstr>EJE ESTRATEGICO</vt:lpstr>
      <vt:lpstr>PROYECTOS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Lucia</dc:creator>
  <cp:lastModifiedBy>AUXPLANEACION03</cp:lastModifiedBy>
  <cp:revision/>
  <dcterms:created xsi:type="dcterms:W3CDTF">2020-08-12T15:20:51Z</dcterms:created>
  <dcterms:modified xsi:type="dcterms:W3CDTF">2021-08-30T17:04:43Z</dcterms:modified>
</cp:coreProperties>
</file>