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2\"/>
    </mc:Choice>
  </mc:AlternateContent>
  <xr:revisionPtr revIDLastSave="0" documentId="13_ncr:1_{30A31FC8-2F66-4C09-8281-76356E78F59B}" xr6:coauthVersionLast="47" xr6:coauthVersionMax="47" xr10:uidLastSave="{00000000-0000-0000-0000-000000000000}"/>
  <bookViews>
    <workbookView xWindow="-120" yWindow="-120" windowWidth="20730" windowHeight="11040" activeTab="1" xr2:uid="{00000000-000D-0000-FFFF-FFFF00000000}"/>
  </bookViews>
  <sheets>
    <sheet name="SGTO POAI 2022" sheetId="14" r:id="rId1"/>
    <sheet name="RELACIÓN PROYECTOS" sheetId="15" r:id="rId2"/>
  </sheet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'RELACIÓN PROYECTOS'!$A$2:$C$5</definedName>
    <definedName name="_xlnm._FilterDatabase" localSheetId="0" hidden="1">'SGTO POAI 2022'!$A$6:$AM$301</definedName>
    <definedName name="aa" localSheetId="1">#REF!</definedName>
    <definedName name="aa">#REF!</definedName>
    <definedName name="CODIGO_DIVIPOLA" localSheetId="1">#REF!</definedName>
    <definedName name="CODIGO_DIVIPOLA">#REF!</definedName>
    <definedName name="DboREGISTRO_LEY_617" localSheetId="1">#REF!</definedName>
    <definedName name="DboREGISTRO_LEY_617">#REF!</definedName>
    <definedName name="ññ" localSheetId="1">#REF!</definedName>
    <definedName name="ññ">#REF!</definedName>
  </definedNames>
  <calcPr calcId="191029"/>
</workbook>
</file>

<file path=xl/calcChain.xml><?xml version="1.0" encoding="utf-8"?>
<calcChain xmlns="http://schemas.openxmlformats.org/spreadsheetml/2006/main">
  <c r="C6" i="15" l="1"/>
  <c r="AC297" i="14" l="1"/>
  <c r="AC296" i="14"/>
  <c r="AC298" i="14"/>
  <c r="AC295" i="14"/>
  <c r="Z153" i="14" l="1"/>
  <c r="AF295" i="14" l="1"/>
  <c r="AF296" i="14"/>
  <c r="AF297" i="14"/>
  <c r="AF298" i="14"/>
  <c r="AF284" i="14"/>
  <c r="AF285" i="14"/>
  <c r="AF287" i="14"/>
  <c r="AF288" i="14"/>
  <c r="AF289" i="14"/>
  <c r="AF294" i="14"/>
  <c r="AF281" i="14"/>
  <c r="AF283" i="14"/>
  <c r="AF254" i="14"/>
  <c r="AF260" i="14"/>
  <c r="AF262" i="14"/>
  <c r="AF266" i="14"/>
  <c r="AF267" i="14"/>
  <c r="AF268" i="14"/>
  <c r="AF270" i="14"/>
  <c r="AF275" i="14"/>
  <c r="AF277" i="14"/>
  <c r="AF198" i="14"/>
  <c r="AF199" i="14"/>
  <c r="AF207" i="14"/>
  <c r="AF208" i="14"/>
  <c r="AF210" i="14"/>
  <c r="AF211" i="14"/>
  <c r="AF212" i="14"/>
  <c r="AF213" i="14"/>
  <c r="AF214" i="14"/>
  <c r="AF215" i="14"/>
  <c r="AF220" i="14"/>
  <c r="AF221" i="14"/>
  <c r="AF222" i="14"/>
  <c r="AF223" i="14"/>
  <c r="AF224" i="14"/>
  <c r="AF225" i="14"/>
  <c r="AF226" i="14"/>
  <c r="AF227" i="14"/>
  <c r="AF236" i="14"/>
  <c r="AF239" i="14"/>
  <c r="AF241" i="14"/>
  <c r="AF252" i="14"/>
  <c r="AF253" i="14"/>
  <c r="AF174" i="14"/>
  <c r="AF188" i="14"/>
  <c r="AF192" i="14"/>
  <c r="AF132" i="14"/>
  <c r="AF136" i="14"/>
  <c r="AF139" i="14"/>
  <c r="AF141" i="14"/>
  <c r="AF152" i="14"/>
  <c r="AF157" i="14"/>
  <c r="AF158" i="14"/>
  <c r="AF161" i="14"/>
  <c r="AF103" i="14"/>
  <c r="AF105" i="14"/>
  <c r="AF108" i="14"/>
  <c r="AF110" i="14"/>
  <c r="AF112" i="14"/>
  <c r="AF113" i="14"/>
  <c r="AF121" i="14"/>
  <c r="AF122" i="14"/>
  <c r="AF71" i="14"/>
  <c r="AF72" i="14"/>
  <c r="AF58" i="14"/>
  <c r="AF38" i="14"/>
  <c r="AF39" i="14"/>
  <c r="AF42" i="14"/>
  <c r="AF43" i="14"/>
  <c r="AF12" i="14"/>
  <c r="AF17" i="14"/>
  <c r="AF19" i="14"/>
  <c r="AF20" i="14"/>
  <c r="AF21" i="14"/>
  <c r="AF22" i="14"/>
  <c r="AB107" i="14"/>
  <c r="AF107" i="14" s="1"/>
  <c r="AB106" i="14"/>
  <c r="AF106" i="14" s="1"/>
  <c r="AB88" i="14"/>
  <c r="AF88" i="14" s="1"/>
  <c r="AB90" i="14"/>
  <c r="AF90" i="14" s="1"/>
  <c r="AB300" i="14"/>
  <c r="AA300" i="14"/>
  <c r="Z300" i="14"/>
  <c r="X300" i="14"/>
  <c r="R298" i="14"/>
  <c r="R297" i="14"/>
  <c r="R296" i="14"/>
  <c r="R295" i="14"/>
  <c r="AC293" i="14"/>
  <c r="AF293" i="14" s="1"/>
  <c r="R293" i="14"/>
  <c r="AC292" i="14"/>
  <c r="AF292" i="14" s="1"/>
  <c r="R292" i="14"/>
  <c r="AC291" i="14"/>
  <c r="AF291" i="14" s="1"/>
  <c r="R291" i="14"/>
  <c r="AC290" i="14"/>
  <c r="AF290" i="14" s="1"/>
  <c r="R290" i="14"/>
  <c r="R289" i="14"/>
  <c r="R288" i="14"/>
  <c r="R287" i="14"/>
  <c r="AC286" i="14"/>
  <c r="AF286" i="14" s="1"/>
  <c r="R286" i="14"/>
  <c r="R285" i="14"/>
  <c r="R284" i="14"/>
  <c r="R283" i="14"/>
  <c r="Y282" i="14"/>
  <c r="Y300" i="14" s="1"/>
  <c r="W282" i="14"/>
  <c r="V282" i="14"/>
  <c r="R282" i="14"/>
  <c r="R281" i="14"/>
  <c r="AE280" i="14"/>
  <c r="W280" i="14"/>
  <c r="V280" i="14"/>
  <c r="R280" i="14"/>
  <c r="AE279" i="14"/>
  <c r="W279" i="14"/>
  <c r="R279" i="14"/>
  <c r="AE278" i="14"/>
  <c r="AC278" i="14"/>
  <c r="W278" i="14"/>
  <c r="V278" i="14"/>
  <c r="R278" i="14"/>
  <c r="R277" i="14"/>
  <c r="AB276" i="14"/>
  <c r="AF276" i="14" s="1"/>
  <c r="R276" i="14"/>
  <c r="R275" i="14"/>
  <c r="AB274" i="14"/>
  <c r="AF274" i="14" s="1"/>
  <c r="R274" i="14"/>
  <c r="AB273" i="14"/>
  <c r="AF273" i="14" s="1"/>
  <c r="R273" i="14"/>
  <c r="AB272" i="14"/>
  <c r="AF272" i="14" s="1"/>
  <c r="R272" i="14"/>
  <c r="AB271" i="14"/>
  <c r="AF271" i="14" s="1"/>
  <c r="R271" i="14"/>
  <c r="R270" i="14"/>
  <c r="AB269" i="14"/>
  <c r="AF269" i="14" s="1"/>
  <c r="R269" i="14"/>
  <c r="R268" i="14"/>
  <c r="R267" i="14"/>
  <c r="R266" i="14"/>
  <c r="AB265" i="14"/>
  <c r="AF265" i="14" s="1"/>
  <c r="R265" i="14"/>
  <c r="AB264" i="14"/>
  <c r="AF264" i="14" s="1"/>
  <c r="R264" i="14"/>
  <c r="AB263" i="14"/>
  <c r="AF263" i="14" s="1"/>
  <c r="R263" i="14"/>
  <c r="R262" i="14"/>
  <c r="AB261" i="14"/>
  <c r="AF261" i="14" s="1"/>
  <c r="R261" i="14"/>
  <c r="R260" i="14"/>
  <c r="AB259" i="14"/>
  <c r="AF259" i="14" s="1"/>
  <c r="R259" i="14"/>
  <c r="AB258" i="14"/>
  <c r="AF258" i="14" s="1"/>
  <c r="R258" i="14"/>
  <c r="AB257" i="14"/>
  <c r="AF257" i="14" s="1"/>
  <c r="R257" i="14"/>
  <c r="AB256" i="14"/>
  <c r="AF256" i="14" s="1"/>
  <c r="R256" i="14"/>
  <c r="AB255" i="14"/>
  <c r="R255" i="14"/>
  <c r="R254" i="14"/>
  <c r="R253" i="14"/>
  <c r="R252" i="14"/>
  <c r="AB251" i="14"/>
  <c r="AF251" i="14" s="1"/>
  <c r="R251" i="14"/>
  <c r="AB250" i="14"/>
  <c r="AF250" i="14" s="1"/>
  <c r="R250" i="14"/>
  <c r="Y249" i="14"/>
  <c r="X249" i="14"/>
  <c r="W249" i="14"/>
  <c r="R249" i="14"/>
  <c r="X248" i="14"/>
  <c r="W248" i="14"/>
  <c r="R248" i="14"/>
  <c r="AE247" i="14"/>
  <c r="AF247" i="14" s="1"/>
  <c r="R247" i="14"/>
  <c r="Y246" i="14"/>
  <c r="W246" i="14"/>
  <c r="R246" i="14"/>
  <c r="X245" i="14"/>
  <c r="AF245" i="14" s="1"/>
  <c r="R245" i="14"/>
  <c r="AB244" i="14"/>
  <c r="AF244" i="14" s="1"/>
  <c r="R244" i="14"/>
  <c r="X243" i="14"/>
  <c r="AF243" i="14" s="1"/>
  <c r="R243" i="14"/>
  <c r="X242" i="14"/>
  <c r="AF242" i="14" s="1"/>
  <c r="R242" i="14"/>
  <c r="R241" i="14"/>
  <c r="AB240" i="14"/>
  <c r="AF240" i="14" s="1"/>
  <c r="R240" i="14"/>
  <c r="R239" i="14"/>
  <c r="X238" i="14"/>
  <c r="AF238" i="14" s="1"/>
  <c r="R238" i="14"/>
  <c r="X237" i="14"/>
  <c r="AF237" i="14" s="1"/>
  <c r="R237" i="14"/>
  <c r="R236" i="14"/>
  <c r="X235" i="14"/>
  <c r="AF235" i="14" s="1"/>
  <c r="R235" i="14"/>
  <c r="X234" i="14"/>
  <c r="AF234" i="14" s="1"/>
  <c r="R234" i="14"/>
  <c r="X233" i="14"/>
  <c r="AF233" i="14" s="1"/>
  <c r="R233" i="14"/>
  <c r="X232" i="14"/>
  <c r="AF232" i="14" s="1"/>
  <c r="R232" i="14"/>
  <c r="X231" i="14"/>
  <c r="AF231" i="14" s="1"/>
  <c r="R231" i="14"/>
  <c r="X230" i="14"/>
  <c r="AF230" i="14" s="1"/>
  <c r="R230" i="14"/>
  <c r="X229" i="14"/>
  <c r="AF229" i="14" s="1"/>
  <c r="R229" i="14"/>
  <c r="AE228" i="14"/>
  <c r="X228" i="14"/>
  <c r="R228" i="14"/>
  <c r="R227" i="14"/>
  <c r="R226" i="14"/>
  <c r="R225" i="14"/>
  <c r="R224" i="14"/>
  <c r="R223" i="14"/>
  <c r="R222" i="14"/>
  <c r="R221" i="14"/>
  <c r="R220" i="14"/>
  <c r="X219" i="14"/>
  <c r="AF219" i="14" s="1"/>
  <c r="R219" i="14"/>
  <c r="X218" i="14"/>
  <c r="AF218" i="14" s="1"/>
  <c r="R218" i="14"/>
  <c r="X217" i="14"/>
  <c r="AF217" i="14" s="1"/>
  <c r="R217" i="14"/>
  <c r="Y216" i="14"/>
  <c r="R216" i="14"/>
  <c r="R215" i="14"/>
  <c r="R214" i="14"/>
  <c r="R213" i="14"/>
  <c r="R212" i="14"/>
  <c r="R211" i="14"/>
  <c r="R210" i="14"/>
  <c r="AB209" i="14"/>
  <c r="AF209" i="14" s="1"/>
  <c r="R209" i="14"/>
  <c r="R208" i="14"/>
  <c r="R207" i="14"/>
  <c r="X206" i="14"/>
  <c r="AF206" i="14" s="1"/>
  <c r="R206" i="14"/>
  <c r="AB205" i="14"/>
  <c r="X205" i="14"/>
  <c r="R205" i="14"/>
  <c r="X204" i="14"/>
  <c r="AF204" i="14" s="1"/>
  <c r="R204" i="14"/>
  <c r="X203" i="14"/>
  <c r="AF203" i="14" s="1"/>
  <c r="R203" i="14"/>
  <c r="X202" i="14"/>
  <c r="AF202" i="14" s="1"/>
  <c r="R202" i="14"/>
  <c r="X201" i="14"/>
  <c r="AF201" i="14" s="1"/>
  <c r="R201" i="14"/>
  <c r="X200" i="14"/>
  <c r="AF200" i="14" s="1"/>
  <c r="R200" i="14"/>
  <c r="R199" i="14"/>
  <c r="R198" i="14"/>
  <c r="X197" i="14"/>
  <c r="AF197" i="14" s="1"/>
  <c r="R197" i="14"/>
  <c r="X196" i="14"/>
  <c r="R196" i="14"/>
  <c r="X195" i="14"/>
  <c r="AF195" i="14" s="1"/>
  <c r="R195" i="14"/>
  <c r="AB194" i="14"/>
  <c r="AF194" i="14" s="1"/>
  <c r="R194" i="14"/>
  <c r="AB193" i="14"/>
  <c r="AF193" i="14" s="1"/>
  <c r="R193" i="14"/>
  <c r="R192" i="14"/>
  <c r="AB191" i="14"/>
  <c r="AF191" i="14" s="1"/>
  <c r="R191" i="14"/>
  <c r="AB190" i="14"/>
  <c r="AF190" i="14" s="1"/>
  <c r="R190" i="14"/>
  <c r="AB189" i="14"/>
  <c r="AF189" i="14" s="1"/>
  <c r="R189" i="14"/>
  <c r="R188" i="14"/>
  <c r="V187" i="14"/>
  <c r="R187" i="14"/>
  <c r="AB186" i="14"/>
  <c r="AF186" i="14" s="1"/>
  <c r="R186" i="14"/>
  <c r="AB185" i="14"/>
  <c r="AF185" i="14" s="1"/>
  <c r="R185" i="14"/>
  <c r="AB184" i="14"/>
  <c r="AF184" i="14" s="1"/>
  <c r="R184" i="14"/>
  <c r="AB183" i="14"/>
  <c r="AF183" i="14" s="1"/>
  <c r="R183" i="14"/>
  <c r="AB182" i="14"/>
  <c r="AF182" i="14" s="1"/>
  <c r="R182" i="14"/>
  <c r="AB181" i="14"/>
  <c r="AF181" i="14" s="1"/>
  <c r="R181" i="14"/>
  <c r="AB180" i="14"/>
  <c r="AF180" i="14" s="1"/>
  <c r="R180" i="14"/>
  <c r="AB179" i="14"/>
  <c r="AF179" i="14" s="1"/>
  <c r="R179" i="14"/>
  <c r="AB178" i="14"/>
  <c r="AF178" i="14" s="1"/>
  <c r="R178" i="14"/>
  <c r="AB177" i="14"/>
  <c r="AF177" i="14" s="1"/>
  <c r="R177" i="14"/>
  <c r="AB176" i="14"/>
  <c r="AF176" i="14" s="1"/>
  <c r="R176" i="14"/>
  <c r="AB175" i="14"/>
  <c r="AF175" i="14" s="1"/>
  <c r="R175" i="14"/>
  <c r="R174" i="14"/>
  <c r="AB173" i="14"/>
  <c r="AF173" i="14" s="1"/>
  <c r="R173" i="14"/>
  <c r="AB172" i="14"/>
  <c r="AF172" i="14" s="1"/>
  <c r="R172" i="14"/>
  <c r="AB171" i="14"/>
  <c r="AF171" i="14" s="1"/>
  <c r="R171" i="14"/>
  <c r="AB170" i="14"/>
  <c r="AF170" i="14" s="1"/>
  <c r="R170" i="14"/>
  <c r="AB169" i="14"/>
  <c r="AF169" i="14" s="1"/>
  <c r="R169" i="14"/>
  <c r="AB168" i="14"/>
  <c r="AF168" i="14" s="1"/>
  <c r="R168" i="14"/>
  <c r="AB167" i="14"/>
  <c r="AF167" i="14" s="1"/>
  <c r="R167" i="14"/>
  <c r="AB166" i="14"/>
  <c r="AF166" i="14" s="1"/>
  <c r="R166" i="14"/>
  <c r="AB165" i="14"/>
  <c r="AF165" i="14" s="1"/>
  <c r="R165" i="14"/>
  <c r="AB164" i="14"/>
  <c r="AF164" i="14" s="1"/>
  <c r="R164" i="14"/>
  <c r="AB163" i="14"/>
  <c r="W163" i="14"/>
  <c r="R163" i="14"/>
  <c r="AB162" i="14"/>
  <c r="AF162" i="14" s="1"/>
  <c r="R162" i="14"/>
  <c r="R161" i="14"/>
  <c r="AB160" i="14"/>
  <c r="AF160" i="14" s="1"/>
  <c r="R160" i="14"/>
  <c r="AB159" i="14"/>
  <c r="AF159" i="14" s="1"/>
  <c r="R159" i="14"/>
  <c r="R158" i="14"/>
  <c r="R157" i="14"/>
  <c r="AB156" i="14"/>
  <c r="AF156" i="14" s="1"/>
  <c r="R156" i="14"/>
  <c r="Z155" i="14"/>
  <c r="AF155" i="14" s="1"/>
  <c r="R155" i="14"/>
  <c r="AB154" i="14"/>
  <c r="Z154" i="14"/>
  <c r="R154" i="14"/>
  <c r="AB153" i="14"/>
  <c r="W153" i="14"/>
  <c r="R153" i="14"/>
  <c r="R152" i="14"/>
  <c r="AB151" i="14"/>
  <c r="AF151" i="14" s="1"/>
  <c r="R151" i="14"/>
  <c r="AB150" i="14"/>
  <c r="AF150" i="14" s="1"/>
  <c r="R150" i="14"/>
  <c r="AB149" i="14"/>
  <c r="AF149" i="14" s="1"/>
  <c r="R149" i="14"/>
  <c r="AB148" i="14"/>
  <c r="AF148" i="14" s="1"/>
  <c r="R148" i="14"/>
  <c r="AB147" i="14"/>
  <c r="AF147" i="14" s="1"/>
  <c r="R147" i="14"/>
  <c r="AB146" i="14"/>
  <c r="AF146" i="14" s="1"/>
  <c r="R146" i="14"/>
  <c r="AB145" i="14"/>
  <c r="AF145" i="14" s="1"/>
  <c r="R145" i="14"/>
  <c r="AB144" i="14"/>
  <c r="AF144" i="14" s="1"/>
  <c r="R144" i="14"/>
  <c r="AB143" i="14"/>
  <c r="AF143" i="14" s="1"/>
  <c r="R143" i="14"/>
  <c r="Z142" i="14"/>
  <c r="AF142" i="14" s="1"/>
  <c r="R142" i="14"/>
  <c r="R141" i="14"/>
  <c r="AB140" i="14"/>
  <c r="AF140" i="14" s="1"/>
  <c r="R140" i="14"/>
  <c r="R139" i="14"/>
  <c r="AB138" i="14"/>
  <c r="AF138" i="14" s="1"/>
  <c r="R138" i="14"/>
  <c r="Z137" i="14"/>
  <c r="W137" i="14"/>
  <c r="R137" i="14"/>
  <c r="R136" i="14"/>
  <c r="AB135" i="14"/>
  <c r="AF135" i="14" s="1"/>
  <c r="R135" i="14"/>
  <c r="AB134" i="14"/>
  <c r="W134" i="14"/>
  <c r="R134" i="14"/>
  <c r="AE133" i="14"/>
  <c r="AB133" i="14"/>
  <c r="Z133" i="14"/>
  <c r="R133" i="14"/>
  <c r="R132" i="14"/>
  <c r="Z131" i="14"/>
  <c r="AF131" i="14" s="1"/>
  <c r="R131" i="14"/>
  <c r="AB130" i="14"/>
  <c r="AF130" i="14" s="1"/>
  <c r="R130" i="14"/>
  <c r="AB129" i="14"/>
  <c r="AF129" i="14" s="1"/>
  <c r="R129" i="14"/>
  <c r="Z128" i="14"/>
  <c r="R128" i="14"/>
  <c r="AB127" i="14"/>
  <c r="AF127" i="14" s="1"/>
  <c r="R127" i="14"/>
  <c r="AB126" i="14"/>
  <c r="AF126" i="14" s="1"/>
  <c r="R126" i="14"/>
  <c r="AB125" i="14"/>
  <c r="R125" i="14"/>
  <c r="AB124" i="14"/>
  <c r="AF124" i="14" s="1"/>
  <c r="R124" i="14"/>
  <c r="AB123" i="14"/>
  <c r="AF123" i="14" s="1"/>
  <c r="R123" i="14"/>
  <c r="R122" i="14"/>
  <c r="R121" i="14"/>
  <c r="AB120" i="14"/>
  <c r="AF120" i="14" s="1"/>
  <c r="R120" i="14"/>
  <c r="AB119" i="14"/>
  <c r="AF119" i="14" s="1"/>
  <c r="R119" i="14"/>
  <c r="AB118" i="14"/>
  <c r="AF118" i="14" s="1"/>
  <c r="R118" i="14"/>
  <c r="AB117" i="14"/>
  <c r="AF117" i="14" s="1"/>
  <c r="R117" i="14"/>
  <c r="AB116" i="14"/>
  <c r="AF116" i="14" s="1"/>
  <c r="R116" i="14"/>
  <c r="AB115" i="14"/>
  <c r="AF115" i="14" s="1"/>
  <c r="R115" i="14"/>
  <c r="AB114" i="14"/>
  <c r="AF114" i="14" s="1"/>
  <c r="R114" i="14"/>
  <c r="R113" i="14"/>
  <c r="R112" i="14"/>
  <c r="AB111" i="14"/>
  <c r="AF111" i="14" s="1"/>
  <c r="R111" i="14"/>
  <c r="R110" i="14"/>
  <c r="AB109" i="14"/>
  <c r="AF109" i="14" s="1"/>
  <c r="R109" i="14"/>
  <c r="R108" i="14"/>
  <c r="R107" i="14"/>
  <c r="R106" i="14"/>
  <c r="R105" i="14"/>
  <c r="AB104" i="14"/>
  <c r="AF104" i="14" s="1"/>
  <c r="R104" i="14"/>
  <c r="R103" i="14"/>
  <c r="AB102" i="14"/>
  <c r="AF102" i="14" s="1"/>
  <c r="R102" i="14"/>
  <c r="AB101" i="14"/>
  <c r="AF101" i="14" s="1"/>
  <c r="R101" i="14"/>
  <c r="AB100" i="14"/>
  <c r="AF100" i="14" s="1"/>
  <c r="R100" i="14"/>
  <c r="AB99" i="14"/>
  <c r="AF99" i="14" s="1"/>
  <c r="R99" i="14"/>
  <c r="AB98" i="14"/>
  <c r="AF98" i="14" s="1"/>
  <c r="R98" i="14"/>
  <c r="AB97" i="14"/>
  <c r="AF97" i="14" s="1"/>
  <c r="R97" i="14"/>
  <c r="AB96" i="14"/>
  <c r="AF96" i="14" s="1"/>
  <c r="R96" i="14"/>
  <c r="AB95" i="14"/>
  <c r="AF95" i="14" s="1"/>
  <c r="R95" i="14"/>
  <c r="AB94" i="14"/>
  <c r="AF94" i="14" s="1"/>
  <c r="R94" i="14"/>
  <c r="AB93" i="14"/>
  <c r="AF93" i="14" s="1"/>
  <c r="R93" i="14"/>
  <c r="AB92" i="14"/>
  <c r="AF92" i="14" s="1"/>
  <c r="R92" i="14"/>
  <c r="AB91" i="14"/>
  <c r="R91" i="14"/>
  <c r="R90" i="14"/>
  <c r="AB89" i="14"/>
  <c r="AF89" i="14" s="1"/>
  <c r="R89" i="14"/>
  <c r="R88" i="14"/>
  <c r="AB87" i="14"/>
  <c r="AF87" i="14" s="1"/>
  <c r="R87" i="14"/>
  <c r="AB86" i="14"/>
  <c r="AF86" i="14" s="1"/>
  <c r="R86" i="14"/>
  <c r="AB85" i="14"/>
  <c r="AF85" i="14" s="1"/>
  <c r="R85" i="14"/>
  <c r="AB84" i="14"/>
  <c r="AF84" i="14" s="1"/>
  <c r="R84" i="14"/>
  <c r="AC83" i="14"/>
  <c r="AB83" i="14"/>
  <c r="R83" i="14"/>
  <c r="AB82" i="14"/>
  <c r="AF82" i="14" s="1"/>
  <c r="R82" i="14"/>
  <c r="AB81" i="14"/>
  <c r="AF81" i="14" s="1"/>
  <c r="R81" i="14"/>
  <c r="AB80" i="14"/>
  <c r="AF80" i="14" s="1"/>
  <c r="R80" i="14"/>
  <c r="AB79" i="14"/>
  <c r="AF79" i="14" s="1"/>
  <c r="R79" i="14"/>
  <c r="AB78" i="14"/>
  <c r="R78" i="14"/>
  <c r="AC77" i="14"/>
  <c r="AB77" i="14"/>
  <c r="R77" i="14"/>
  <c r="AB76" i="14"/>
  <c r="AF76" i="14" s="1"/>
  <c r="R76" i="14"/>
  <c r="V75" i="14"/>
  <c r="AF75" i="14" s="1"/>
  <c r="R75" i="14"/>
  <c r="V74" i="14"/>
  <c r="AF74" i="14" s="1"/>
  <c r="R74" i="14"/>
  <c r="AB73" i="14"/>
  <c r="V73" i="14"/>
  <c r="R73" i="14"/>
  <c r="R72" i="14"/>
  <c r="R71" i="14"/>
  <c r="AB70" i="14"/>
  <c r="AF70" i="14" s="1"/>
  <c r="R70" i="14"/>
  <c r="AB69" i="14"/>
  <c r="V69" i="14"/>
  <c r="R69" i="14"/>
  <c r="AB68" i="14"/>
  <c r="AF68" i="14" s="1"/>
  <c r="R68" i="14"/>
  <c r="AB67" i="14"/>
  <c r="AF67" i="14" s="1"/>
  <c r="R67" i="14"/>
  <c r="AB66" i="14"/>
  <c r="AF66" i="14" s="1"/>
  <c r="R66" i="14"/>
  <c r="AB65" i="14"/>
  <c r="AF65" i="14" s="1"/>
  <c r="R65" i="14"/>
  <c r="AB64" i="14"/>
  <c r="AF64" i="14" s="1"/>
  <c r="R64" i="14"/>
  <c r="AB63" i="14"/>
  <c r="AF63" i="14" s="1"/>
  <c r="R63" i="14"/>
  <c r="AB62" i="14"/>
  <c r="AF62" i="14" s="1"/>
  <c r="R62" i="14"/>
  <c r="AB61" i="14"/>
  <c r="AF61" i="14" s="1"/>
  <c r="R61" i="14"/>
  <c r="AB60" i="14"/>
  <c r="AF60" i="14" s="1"/>
  <c r="R60" i="14"/>
  <c r="AB59" i="14"/>
  <c r="AF59" i="14" s="1"/>
  <c r="R59" i="14"/>
  <c r="R58" i="14"/>
  <c r="AC57" i="14"/>
  <c r="AF57" i="14" s="1"/>
  <c r="R57" i="14"/>
  <c r="AB56" i="14"/>
  <c r="AF56" i="14" s="1"/>
  <c r="R56" i="14"/>
  <c r="AB55" i="14"/>
  <c r="AF55" i="14" s="1"/>
  <c r="R55" i="14"/>
  <c r="AB54" i="14"/>
  <c r="AF54" i="14" s="1"/>
  <c r="R54" i="14"/>
  <c r="AB53" i="14"/>
  <c r="AF53" i="14" s="1"/>
  <c r="R53" i="14"/>
  <c r="AB52" i="14"/>
  <c r="AF52" i="14" s="1"/>
  <c r="R52" i="14"/>
  <c r="AB51" i="14"/>
  <c r="AF51" i="14" s="1"/>
  <c r="R51" i="14"/>
  <c r="AB50" i="14"/>
  <c r="AF50" i="14" s="1"/>
  <c r="R50" i="14"/>
  <c r="AB49" i="14"/>
  <c r="AF49" i="14" s="1"/>
  <c r="R49" i="14"/>
  <c r="AB48" i="14"/>
  <c r="AF48" i="14" s="1"/>
  <c r="R48" i="14"/>
  <c r="AB47" i="14"/>
  <c r="R47" i="14"/>
  <c r="AB46" i="14"/>
  <c r="AF46" i="14" s="1"/>
  <c r="R46" i="14"/>
  <c r="AB45" i="14"/>
  <c r="AF45" i="14" s="1"/>
  <c r="R45" i="14"/>
  <c r="AA44" i="14"/>
  <c r="AF44" i="14" s="1"/>
  <c r="R44" i="14"/>
  <c r="R43" i="14"/>
  <c r="R42" i="14"/>
  <c r="AA41" i="14"/>
  <c r="V41" i="14"/>
  <c r="R41" i="14"/>
  <c r="AA40" i="14"/>
  <c r="R40" i="14"/>
  <c r="R39" i="14"/>
  <c r="R38" i="14"/>
  <c r="AB37" i="14"/>
  <c r="AF37" i="14" s="1"/>
  <c r="R37" i="14"/>
  <c r="AC36" i="14"/>
  <c r="AB36" i="14"/>
  <c r="R36" i="14"/>
  <c r="AC35" i="14"/>
  <c r="AB35" i="14"/>
  <c r="R35" i="14"/>
  <c r="AE34" i="14"/>
  <c r="AC34" i="14"/>
  <c r="AB34" i="14"/>
  <c r="R34" i="14"/>
  <c r="AC33" i="14"/>
  <c r="AF33" i="14" s="1"/>
  <c r="R33" i="14"/>
  <c r="AB32" i="14"/>
  <c r="AF32" i="14" s="1"/>
  <c r="R32" i="14"/>
  <c r="AB31" i="14"/>
  <c r="AF31" i="14" s="1"/>
  <c r="R31" i="14"/>
  <c r="V30" i="14"/>
  <c r="AF30" i="14" s="1"/>
  <c r="R30" i="14"/>
  <c r="AB29" i="14"/>
  <c r="AF29" i="14" s="1"/>
  <c r="R29" i="14"/>
  <c r="AB28" i="14"/>
  <c r="AF28" i="14" s="1"/>
  <c r="R28" i="14"/>
  <c r="V27" i="14"/>
  <c r="AF27" i="14" s="1"/>
  <c r="R27" i="14"/>
  <c r="AB26" i="14"/>
  <c r="AF26" i="14" s="1"/>
  <c r="R26" i="14"/>
  <c r="AB25" i="14"/>
  <c r="AF25" i="14" s="1"/>
  <c r="R25" i="14"/>
  <c r="AB24" i="14"/>
  <c r="AF24" i="14" s="1"/>
  <c r="R24" i="14"/>
  <c r="AE23" i="14"/>
  <c r="AB23" i="14"/>
  <c r="R23" i="14"/>
  <c r="R22" i="14"/>
  <c r="R21" i="14"/>
  <c r="R20" i="14"/>
  <c r="R19" i="14"/>
  <c r="AB18" i="14"/>
  <c r="AF18" i="14" s="1"/>
  <c r="R18" i="14"/>
  <c r="R17" i="14"/>
  <c r="AB16" i="14"/>
  <c r="AF16" i="14" s="1"/>
  <c r="R16" i="14"/>
  <c r="AB15" i="14"/>
  <c r="AF15" i="14" s="1"/>
  <c r="R15" i="14"/>
  <c r="AB14" i="14"/>
  <c r="AF14" i="14" s="1"/>
  <c r="R14" i="14"/>
  <c r="AB13" i="14"/>
  <c r="AF13" i="14" s="1"/>
  <c r="R13" i="14"/>
  <c r="R12" i="14"/>
  <c r="AB11" i="14"/>
  <c r="AF11" i="14" s="1"/>
  <c r="R11" i="14"/>
  <c r="AB10" i="14"/>
  <c r="AF10" i="14" s="1"/>
  <c r="R10" i="14"/>
  <c r="AB9" i="14"/>
  <c r="AF9" i="14" s="1"/>
  <c r="R9" i="14"/>
  <c r="AB8" i="14"/>
  <c r="AF8" i="14" s="1"/>
  <c r="R8" i="14"/>
  <c r="AB7" i="14"/>
  <c r="AF7" i="14" s="1"/>
  <c r="R7" i="14"/>
  <c r="C5" i="15" l="1"/>
  <c r="C4" i="15" s="1"/>
  <c r="C3" i="15" s="1"/>
  <c r="AF36" i="14"/>
  <c r="AF249" i="14"/>
  <c r="AE300" i="14"/>
  <c r="AF137" i="14"/>
  <c r="AF228" i="14"/>
  <c r="AF279" i="14"/>
  <c r="AF23" i="14"/>
  <c r="AF73" i="14"/>
  <c r="AF77" i="14"/>
  <c r="AF154" i="14"/>
  <c r="AF163" i="14"/>
  <c r="AF205" i="14"/>
  <c r="AF78" i="14"/>
  <c r="AA299" i="14"/>
  <c r="AA301" i="14" s="1"/>
  <c r="X299" i="14"/>
  <c r="X301" i="14" s="1"/>
  <c r="AC300" i="14"/>
  <c r="W300" i="14"/>
  <c r="Y299" i="14"/>
  <c r="Y301" i="14" s="1"/>
  <c r="AF83" i="14"/>
  <c r="AF133" i="14"/>
  <c r="AF153" i="14"/>
  <c r="AF246" i="14"/>
  <c r="AF47" i="14"/>
  <c r="AF34" i="14"/>
  <c r="AF35" i="14"/>
  <c r="AF41" i="14"/>
  <c r="AF248" i="14"/>
  <c r="V300" i="14"/>
  <c r="AF280" i="14"/>
  <c r="AF125" i="14"/>
  <c r="AF128" i="14"/>
  <c r="AF187" i="14"/>
  <c r="AF69" i="14"/>
  <c r="AF216" i="14"/>
  <c r="AF196" i="14"/>
  <c r="AF255" i="14"/>
  <c r="Z299" i="14"/>
  <c r="Z301" i="14" s="1"/>
  <c r="AF282" i="14"/>
  <c r="W299" i="14"/>
  <c r="V299" i="14"/>
  <c r="V301" i="14" s="1"/>
  <c r="AB299" i="14"/>
  <c r="AB301" i="14" s="1"/>
  <c r="AF91" i="14"/>
  <c r="AF134" i="14"/>
  <c r="AC299" i="14"/>
  <c r="AF40" i="14"/>
  <c r="AF278" i="14"/>
  <c r="AE299" i="14"/>
  <c r="AE301" i="14" s="1"/>
  <c r="AC301" i="14" l="1"/>
  <c r="W301" i="14"/>
  <c r="AF300" i="14"/>
  <c r="AF299" i="14"/>
  <c r="AF30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tc={7EDF9AEF-6B96-4280-B133-C88CC45E5DCA}</author>
    <author>tc={2720DCB4-B9DE-4AF6-9B82-51AADE029649}</author>
    <author>tc={8D695760-E658-448E-83F3-1976238D4FE8}</author>
    <author>tc={EB429771-3B5D-4477-9EFE-E48F0D4505AA}</author>
    <author>tc={21FFF4DF-C4C9-493A-BFB6-C72DA15222C1}</author>
    <author>tc={49A3909C-2645-4634-8C65-4BD77E6C16AB}</author>
    <author>tc={BEBBD42B-DD56-4E7B-8E75-D1532AF0513A}</author>
    <author>tc={4166C83F-0F3D-4A2E-AE0A-B181038094D1}</author>
    <author>tc={DFEC2B15-03C0-49E1-A20B-45954E9296DB}</author>
    <author>tc={D2E8822E-3432-4500-83EA-F74C0446A465}</author>
    <author>tc={A7DF54F2-BA3D-4A10-9960-B28515B60137}</author>
    <author>tc={C5155A8F-180B-46DB-946C-B18136465433}</author>
    <author>tc={FAB1B980-3EC6-40FA-A429-C1FA42FA6856}</author>
    <author>tc={5986F0C9-B71C-46F8-82CC-B759D82A23AD}</author>
    <author>tc={5C046F2E-6000-4876-87F4-E522581EC9AE}</author>
    <author>tc={24B6BC02-9D2A-477F-936D-B93C762C4A9F}</author>
    <author>tc={EFE5AE9C-A95F-45CF-AE8E-096382D7B502}</author>
    <author>tc={10E1BE9C-EC7E-4228-81AF-EBE50E498AAC}</author>
    <author>tc={60DC14A7-4710-4864-B343-C12FCF82DA25}</author>
    <author>tc={09A8517B-DF42-4087-BCFF-39FECC16B006}</author>
    <author>tc={0A2C99F8-38C1-4BC3-8F47-9C8AB82E423B}</author>
    <author>tc={0C00304E-5ECB-40CE-913D-74EAFD31D6B2}</author>
    <author>tc={3D3523E6-3993-415B-B773-3506527B4C9F}</author>
    <author>tc={356486AE-A2A8-4F02-BDD1-82CC824F89E6}</author>
    <author>tc={DFD7FBAF-7E31-44A2-B7FA-39989D63ED44}</author>
    <author>tc={46B0095C-A923-49E8-8640-6DF0C95C263D}</author>
    <author>tc={645CCFB6-10B3-415C-A200-6C88F2A714D8}</author>
    <author>tc={F28C066A-A40A-45F1-96DB-4BC5C687AC25}</author>
    <author>tc={7010612B-D16B-458B-A84C-FAE1F3FFEEDF}</author>
    <author>tc={62207218-B4D2-498B-852C-5C531FE0060D}</author>
    <author>tc={740318C1-674C-473C-B97C-FA76A99CA2F8}</author>
    <author>tc={4F185DE1-12B0-4E7D-B489-BFADAE8489DA}</author>
    <author>tc={EB1FDC7A-7623-41BC-9A25-9EA1C91F2CB7}</author>
    <author>tc={D7AC52AB-CC6E-48BF-AC0F-314206D65B14}</author>
    <author>tc={39E1FD30-EC0E-425B-BEF1-7F7D7CDF21F7}</author>
    <author>tc={B2248248-5CBD-4104-BAC3-691909A6EBA2}</author>
    <author>tc={9C4B71B5-FC6C-4AFD-A7F2-D750DE470DA2}</author>
    <author>tc={F92631E1-40F1-492E-97F3-59B5E2AA5C33}</author>
    <author>tc={99D6CE24-6CCC-4579-B323-1CA1511887C7}</author>
    <author>tc={B62043FF-6CFD-47FD-B0F8-70775262492B}</author>
    <author>tc={59011793-94CA-4CED-93D2-9336E35A8B04}</author>
    <author>tc={E438FEB9-4755-4518-AB6C-751D5179417E}</author>
    <author>tc={22BBD720-BF13-42E8-801C-6B55A6CB8AA4}</author>
    <author>tc={D3C4D7D8-7AB1-4B28-9565-56D39869D211}</author>
    <author>tc={3DB8F2F8-6F0F-4C17-B4BD-F0CA7E2E44CA}</author>
    <author>tc={D1A9CD96-0DB4-4BCA-B20F-867074D62201}</author>
    <author>tc={CF0BC284-4BD6-4ECD-B2B5-22D3E73C5BFD}</author>
    <author>tc={C53D14F3-4AAF-4FDD-BCC6-C9DD26198C60}</author>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AB26" authorId="0" shapeId="0" xr:uid="{00000000-0006-0000-00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249 de marzo 25 
Reply:
    ajuste según decreto 378 de mayo 23</t>
        </r>
      </text>
    </comment>
    <comment ref="AA44" authorId="1" shapeId="0" xr:uid="{00000000-0006-0000-0000-000002000000}">
      <text>
        <r>
          <rPr>
            <sz val="11"/>
            <color theme="1"/>
            <rFont val="Arial"/>
            <family val="2"/>
          </rPr>
          <t xml:space="preserve">[Threaded comment]
Your version of Excel allows you to read this threaded comment; however, any edits to it will get removed if the file is opened in a newer version of Excel. Learn more: https://go.microsoft.com/fwlink/?linkid=870924
Comment:
    ajuste según decreto 251 de marzo </t>
        </r>
      </text>
    </comment>
    <comment ref="AB51" authorId="2" shapeId="0" xr:uid="{00000000-0006-0000-0000-00000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401 de junio 06</t>
        </r>
      </text>
    </comment>
    <comment ref="AB53" authorId="3" shapeId="0" xr:uid="{00000000-0006-0000-0000-00000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401 de junio 06</t>
        </r>
      </text>
    </comment>
    <comment ref="AB69" authorId="4" shapeId="0" xr:uid="{00000000-0006-0000-0000-00000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20
Reply:
    ajuste según decreto 08 de enero 03
Reply:
    ajuste según decreto 434 de junio 23</t>
        </r>
      </text>
    </comment>
    <comment ref="AC77" authorId="5" shapeId="0" xr:uid="{00000000-0006-0000-0000-00000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400 de junio 06</t>
        </r>
      </text>
    </comment>
    <comment ref="AB80" authorId="6" shapeId="0" xr:uid="{00000000-0006-0000-0000-00000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B83" authorId="7" shapeId="0" xr:uid="{00000000-0006-0000-0000-00000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B89" authorId="8" shapeId="0" xr:uid="{00000000-0006-0000-0000-00000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355 de mayo 12</t>
        </r>
      </text>
    </comment>
    <comment ref="AB90" authorId="9" shapeId="0" xr:uid="{00000000-0006-0000-0000-00000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 de mayo 12</t>
        </r>
      </text>
    </comment>
    <comment ref="AB91" authorId="10" shapeId="0" xr:uid="{00000000-0006-0000-0000-00000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398 de junio 06</t>
        </r>
      </text>
    </comment>
    <comment ref="AB93" authorId="11" shapeId="0" xr:uid="{00000000-0006-0000-0000-00000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B95" authorId="12" shapeId="0" xr:uid="{00000000-0006-0000-0000-00000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t>
        </r>
      </text>
    </comment>
    <comment ref="AB102" authorId="13" shapeId="0" xr:uid="{00000000-0006-0000-0000-00000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B125" authorId="14" shapeId="0" xr:uid="{00000000-0006-0000-0000-00000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B126" authorId="15" shapeId="0" xr:uid="{00000000-0006-0000-0000-00001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Adición Feb.11/22, según Decreto 121 de Feb. 10/22
Reply:
    Adición feb. 25/22, segun Decreto 168 de 24/02/2022
Reply:
    ajuste según decreto 08 de enero 03
Reply:
    ajuste según decreto 434 de junio 23</t>
        </r>
      </text>
    </comment>
    <comment ref="AB127" authorId="16" shapeId="0" xr:uid="{00000000-0006-0000-0000-00001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Z128" authorId="17" shapeId="0" xr:uid="{00000000-0006-0000-0000-00001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Z131" authorId="18" shapeId="0" xr:uid="{00000000-0006-0000-0000-00001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Z133" authorId="19" shapeId="0" xr:uid="{00000000-0006-0000-0000-00001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260 de marzo 29</t>
        </r>
      </text>
    </comment>
    <comment ref="AB133" authorId="20" shapeId="0" xr:uid="{00000000-0006-0000-0000-00001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125 de febrero 11
Reply:
    ajuste según decreto 398 de junio 06</t>
        </r>
      </text>
    </comment>
    <comment ref="AC133" authorId="21" shapeId="0" xr:uid="{00000000-0006-0000-0000-00001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E133" authorId="22" shapeId="0" xr:uid="{00000000-0006-0000-0000-00001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055 DE ENERO 18
Reply:
    ajuste según decreto 298 de abril 20</t>
        </r>
      </text>
    </comment>
    <comment ref="W134" authorId="23" shapeId="0" xr:uid="{00000000-0006-0000-0000-00001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415 de junio 14</t>
        </r>
      </text>
    </comment>
    <comment ref="W137" authorId="24" shapeId="0" xr:uid="{00000000-0006-0000-0000-00001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209 de marzo 10
Reply:
    ajuste según decreto 415 de junio 14</t>
        </r>
      </text>
    </comment>
    <comment ref="Z142" authorId="25" shapeId="0" xr:uid="{00000000-0006-0000-0000-00001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288 de abril 07</t>
        </r>
      </text>
    </comment>
    <comment ref="AB153" authorId="26" shapeId="0" xr:uid="{00000000-0006-0000-0000-00001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398 de junio 06
Reply:
    ajuste según decreto 405 de junio 07</t>
        </r>
      </text>
    </comment>
    <comment ref="AC153" authorId="27" shapeId="0" xr:uid="{00000000-0006-0000-0000-00001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318 de abril 28</t>
        </r>
      </text>
    </comment>
    <comment ref="Z155" authorId="28" shapeId="0" xr:uid="{00000000-0006-0000-0000-00001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B170" authorId="29" shapeId="0" xr:uid="{00000000-0006-0000-0000-00001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398 de junio 06</t>
        </r>
      </text>
    </comment>
    <comment ref="AB180" authorId="30" shapeId="0" xr:uid="{00000000-0006-0000-0000-00001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B181" authorId="31" shapeId="0" xr:uid="{00000000-0006-0000-0000-00002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X197" authorId="32" shapeId="0" xr:uid="{00000000-0006-0000-0000-00002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374 de mayo 20</t>
        </r>
      </text>
    </comment>
    <comment ref="X233" authorId="33" shapeId="0" xr:uid="{00000000-0006-0000-0000-00002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241 de marzo 23</t>
        </r>
      </text>
    </comment>
    <comment ref="X248" authorId="34" shapeId="0" xr:uid="{00000000-0006-0000-0000-00002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357 de mayo 13</t>
        </r>
      </text>
    </comment>
    <comment ref="W249" authorId="35" shapeId="0" xr:uid="{00000000-0006-0000-0000-00002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224 de marzo 15</t>
        </r>
      </text>
    </comment>
    <comment ref="X249" authorId="36" shapeId="0" xr:uid="{00000000-0006-0000-0000-00002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Y249" authorId="37" shapeId="0" xr:uid="{00000000-0006-0000-0000-00002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B255" authorId="38" shapeId="0" xr:uid="{00000000-0006-0000-0000-00002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
Reply:
    ajuste según decreto 401 de junio 06</t>
        </r>
      </text>
    </comment>
    <comment ref="AB257" authorId="39" shapeId="0" xr:uid="{00000000-0006-0000-0000-00002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401 de junio 06</t>
        </r>
      </text>
    </comment>
    <comment ref="AB258" authorId="40" shapeId="0" xr:uid="{00000000-0006-0000-0000-00002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 enero 18
Reply:
    ajuste según decreto 08 d enero 03
Reply:
    ajuste según decreto 401 de junio 06</t>
        </r>
      </text>
    </comment>
    <comment ref="AB261" authorId="41" shapeId="0" xr:uid="{00000000-0006-0000-0000-00002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401 de junio 06</t>
        </r>
      </text>
    </comment>
    <comment ref="AB263" authorId="42" shapeId="0" xr:uid="{00000000-0006-0000-0000-00002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B264" authorId="43" shapeId="0" xr:uid="{00000000-0006-0000-0000-00002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B265" authorId="44" shapeId="0" xr:uid="{00000000-0006-0000-0000-00002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ajuste según decreto 398 de junio 06</t>
        </r>
      </text>
    </comment>
    <comment ref="AB272" authorId="45" shapeId="0" xr:uid="{00000000-0006-0000-0000-00002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
Reply:
    ajuste según decreto 401 de junio 06</t>
        </r>
      </text>
    </comment>
    <comment ref="AB274" authorId="46" shapeId="0" xr:uid="{00000000-0006-0000-0000-00002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B276" authorId="47" shapeId="0" xr:uid="{00000000-0006-0000-0000-00003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W278" authorId="48" shapeId="0" xr:uid="{00000000-0006-0000-0000-00003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E278" authorId="49" shapeId="0" xr:uid="{00000000-0006-0000-0000-00003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W279" authorId="50" shapeId="0" xr:uid="{00000000-0006-0000-0000-00003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B279" authorId="51" shapeId="0" xr:uid="{00000000-0006-0000-0000-00003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E279" authorId="52" shapeId="0" xr:uid="{00000000-0006-0000-0000-00003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B282" authorId="53" shapeId="0" xr:uid="{00000000-0006-0000-0000-00003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C282" authorId="54" shapeId="0" xr:uid="{00000000-0006-0000-0000-00003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<sst xmlns="http://schemas.openxmlformats.org/spreadsheetml/2006/main" count="3536" uniqueCount="1243">
  <si>
    <t xml:space="preserve">CODIGO:  </t>
  </si>
  <si>
    <t xml:space="preserve">VERSIÓN: </t>
  </si>
  <si>
    <t xml:space="preserve">FECHA: </t>
  </si>
  <si>
    <t>PÁGINA:</t>
  </si>
  <si>
    <t>UNIDAD EJECUTORA</t>
  </si>
  <si>
    <t>LÍNEA ESTRATÉGICA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</si>
  <si>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</si>
  <si>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</si>
  <si>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</si>
  <si>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</si>
  <si>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</si>
  <si>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</si>
  <si>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</si>
  <si>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</si>
  <si>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</si>
  <si>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</si>
  <si>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</si>
  <si>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</si>
  <si>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</si>
  <si>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</si>
  <si>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</si>
  <si>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</si>
  <si>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</si>
  <si>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</si>
  <si>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</si>
  <si>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</si>
  <si>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</si>
  <si>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</si>
  <si>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</si>
  <si>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</si>
  <si>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</si>
  <si>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</si>
  <si>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</si>
  <si>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</si>
  <si>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</si>
  <si>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</si>
  <si>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</si>
  <si>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</si>
  <si>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</si>
  <si>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</si>
  <si>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</si>
  <si>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</si>
  <si>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</si>
  <si>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</si>
  <si>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</si>
  <si>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</si>
  <si>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</si>
  <si>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</si>
  <si>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</si>
  <si>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</si>
  <si>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</si>
  <si>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</si>
  <si>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</si>
  <si>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</si>
  <si>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</si>
  <si>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</si>
  <si>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</si>
  <si>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</si>
  <si>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</si>
  <si>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</si>
  <si>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</si>
  <si>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</si>
  <si>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</si>
  <si>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</si>
  <si>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</si>
  <si>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</si>
  <si>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</si>
  <si>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</si>
  <si>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</si>
  <si>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</si>
  <si>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</si>
  <si>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</si>
  <si>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</si>
  <si>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</si>
  <si>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</si>
  <si>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</si>
  <si>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</si>
  <si>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</si>
  <si>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</si>
  <si>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</si>
  <si>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</si>
  <si>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</si>
  <si>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</si>
  <si>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</si>
  <si>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</si>
  <si>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</si>
  <si>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</si>
  <si>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</si>
  <si>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</si>
  <si>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</si>
  <si>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</si>
  <si>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</si>
  <si>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</si>
  <si>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</si>
  <si>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</si>
  <si>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</si>
  <si>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</si>
  <si>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</si>
  <si>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</si>
  <si>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</si>
  <si>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</si>
  <si>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</si>
  <si>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</si>
  <si>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</si>
  <si>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</si>
  <si>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</si>
  <si>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</si>
  <si>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</si>
  <si>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</si>
  <si>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</si>
  <si>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</si>
  <si>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</si>
  <si>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</si>
  <si>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</si>
  <si>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</si>
  <si>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</si>
  <si>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</si>
  <si>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</si>
  <si>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Realizar mantenimiento de la  infraestructura cultural, para fortalecer los espacios de los artistas y gestores culturales dedicados a la creación, promoción y divulgación de actividades en el Departamento del Quindío.</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</si>
  <si>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</si>
  <si>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</si>
  <si>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</si>
  <si>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</si>
  <si>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</si>
  <si>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</si>
  <si>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</si>
  <si>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</si>
  <si>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</si>
  <si>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</si>
  <si>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</si>
  <si>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</si>
  <si>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</si>
  <si>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</si>
  <si>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</si>
  <si>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</si>
  <si>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</si>
  <si>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</si>
  <si>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</si>
  <si>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</si>
  <si>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</si>
  <si>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</si>
  <si>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</si>
  <si>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</si>
  <si>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</si>
  <si>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</si>
  <si>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</si>
  <si>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</si>
  <si>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</si>
  <si>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</si>
  <si>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</si>
  <si>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</si>
  <si>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</si>
  <si>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</si>
  <si>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</si>
  <si>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</si>
  <si>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</si>
  <si>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</si>
  <si>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</si>
  <si>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</si>
  <si>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</si>
  <si>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</si>
  <si>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</si>
  <si>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</si>
  <si>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</si>
  <si>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</si>
  <si>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</si>
  <si>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</si>
  <si>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</si>
  <si>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</si>
  <si>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</si>
  <si>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</si>
  <si>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</si>
  <si>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</si>
  <si>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</si>
  <si>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</si>
  <si>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</si>
  <si>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</si>
  <si>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</si>
  <si>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</si>
  <si>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</si>
  <si>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</si>
  <si>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</si>
  <si>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</si>
  <si>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</si>
  <si>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</si>
  <si>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</si>
  <si>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</si>
  <si>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</si>
  <si>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</si>
  <si>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</si>
  <si>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</si>
  <si>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</si>
  <si>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</si>
  <si>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</si>
  <si>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</si>
  <si>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Aumentar la cobertura de Instituciones Educativas con Planes Escolares de Gestión del Riesgo de Desastres-PEGERD, a través de procesos de acompañamiento  a la  comunidad educativa  en la implementación y fortalecimiento de los mismos.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</si>
  <si>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</si>
  <si>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</si>
  <si>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</si>
  <si>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</si>
  <si>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</si>
  <si>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</si>
  <si>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</si>
  <si>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</si>
  <si>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</si>
  <si>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</si>
  <si>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</si>
  <si>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</si>
  <si>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</si>
  <si>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</si>
  <si>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</si>
  <si>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</si>
  <si>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</si>
  <si>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</si>
  <si>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</si>
  <si>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</si>
  <si>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</si>
  <si>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</si>
  <si>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</si>
  <si>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</si>
  <si>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</si>
  <si>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</si>
  <si>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</si>
  <si>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</si>
  <si>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</si>
  <si>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</si>
  <si>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</si>
  <si>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</si>
  <si>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</si>
  <si>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</si>
  <si>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</si>
  <si>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</si>
  <si>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</si>
  <si>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</si>
  <si>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</si>
  <si>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</si>
  <si>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</si>
  <si>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</si>
  <si>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</si>
  <si>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</si>
  <si>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</si>
  <si>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</si>
  <si>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</si>
  <si>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</si>
  <si>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</si>
  <si>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</si>
  <si>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</si>
  <si>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</si>
  <si>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</si>
  <si>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</si>
  <si>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</si>
  <si>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</si>
  <si>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</si>
  <si>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</si>
  <si>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</si>
  <si>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</si>
  <si>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</si>
  <si>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</si>
  <si>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</si>
  <si>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</si>
  <si>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</si>
  <si>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</si>
  <si>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</si>
  <si>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</si>
  <si>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</si>
  <si>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</si>
  <si>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</si>
  <si>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</si>
  <si>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</si>
  <si>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</si>
  <si>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</si>
  <si>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</si>
  <si>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</si>
  <si>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</si>
  <si>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</si>
  <si>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</si>
  <si>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Aumentar la tasa de participación en procesos y actividades artísticas y culturales de los artistas y gestores del departamento del Quindío con la  implementación de los beneficios de la seguridad Social.  </t>
  </si>
  <si>
    <t>Servicio de asistencia técnica en el manejo y gestión del patrimonio arqueológico, antropológico e histórico.</t>
  </si>
  <si>
    <t>330204200</t>
  </si>
  <si>
    <t xml:space="preserve">Asistencias técnicas realizadas a entidades territoriales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</si>
  <si>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</si>
  <si>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</si>
  <si>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</si>
  <si>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</si>
  <si>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</si>
  <si>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</si>
  <si>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</si>
  <si>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</si>
  <si>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</si>
  <si>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</si>
  <si>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</si>
  <si>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</si>
  <si>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</si>
  <si>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</si>
  <si>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</si>
  <si>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</si>
  <si>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</si>
  <si>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</si>
  <si>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</si>
  <si>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</si>
  <si>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</si>
  <si>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</si>
  <si>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</si>
  <si>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</si>
  <si>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</si>
  <si>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</si>
  <si>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</si>
  <si>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</si>
  <si>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</si>
  <si>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</si>
  <si>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</si>
  <si>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</si>
  <si>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</si>
  <si>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</si>
  <si>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</si>
  <si>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</si>
  <si>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</si>
  <si>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</si>
  <si>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</si>
  <si>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</si>
  <si>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</si>
  <si>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</si>
  <si>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</si>
  <si>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</si>
  <si>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</si>
  <si>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</si>
  <si>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</si>
  <si>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</si>
  <si>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</si>
  <si>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</si>
  <si>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</si>
  <si>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</si>
  <si>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</si>
  <si>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</si>
  <si>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</si>
  <si>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</si>
  <si>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</si>
  <si>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</si>
  <si>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</si>
  <si>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</si>
  <si>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</si>
  <si>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</si>
  <si>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</si>
  <si>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</si>
  <si>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</si>
  <si>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</si>
  <si>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</si>
  <si>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</si>
  <si>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</si>
  <si>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</si>
  <si>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</si>
  <si>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</si>
  <si>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</si>
  <si>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</si>
  <si>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</si>
  <si>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</si>
  <si>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</si>
  <si>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 de apoyo a la implementación de mecanismos y herramientas para el conocimiento, reducción y manejo de riesgos agropecuarios</t>
  </si>
  <si>
    <t>170301300</t>
  </si>
  <si>
    <t>Personas beneficiadas</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</si>
  <si>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</si>
  <si>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</si>
  <si>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</si>
  <si>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</si>
  <si>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</si>
  <si>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</si>
  <si>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</si>
  <si>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</si>
  <si>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</si>
  <si>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</si>
  <si>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</si>
  <si>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</si>
  <si>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</si>
  <si>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</si>
  <si>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</si>
  <si>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</si>
  <si>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</si>
  <si>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</si>
  <si>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</si>
  <si>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</si>
  <si>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</si>
  <si>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</si>
  <si>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</si>
  <si>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</si>
  <si>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</si>
  <si>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</si>
  <si>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</si>
  <si>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</si>
  <si>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</si>
  <si>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</si>
  <si>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</si>
  <si>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</si>
  <si>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</si>
  <si>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</si>
  <si>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</si>
  <si>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</si>
  <si>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</si>
  <si>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</si>
  <si>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</si>
  <si>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</si>
  <si>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</si>
  <si>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</si>
  <si>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</si>
  <si>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</si>
  <si>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</si>
  <si>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</si>
  <si>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</si>
  <si>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</si>
  <si>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</si>
  <si>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</si>
  <si>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</si>
  <si>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</si>
  <si>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</si>
  <si>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</si>
  <si>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</si>
  <si>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</si>
  <si>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</si>
  <si>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</si>
  <si>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</si>
  <si>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</si>
  <si>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</si>
  <si>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</si>
  <si>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</si>
  <si>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</si>
  <si>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</si>
  <si>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</si>
  <si>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</si>
  <si>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</si>
  <si>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</si>
  <si>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</si>
  <si>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</si>
  <si>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</si>
  <si>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</si>
  <si>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</si>
  <si>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</si>
  <si>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</si>
  <si>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</si>
  <si>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</si>
  <si>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</si>
  <si>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</si>
  <si>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</si>
  <si>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</si>
  <si>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</si>
  <si>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</si>
  <si>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</si>
  <si>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</si>
  <si>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</si>
  <si>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</si>
  <si>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</si>
  <si>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</si>
  <si>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</si>
  <si>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</si>
  <si>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</si>
  <si>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</si>
  <si>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</si>
  <si>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</si>
  <si>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</si>
  <si>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</si>
  <si>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</si>
  <si>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</si>
  <si>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</si>
  <si>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</si>
  <si>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</si>
  <si>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</si>
  <si>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</si>
  <si>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</si>
  <si>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</si>
  <si>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</si>
  <si>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</si>
  <si>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</si>
  <si>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</si>
  <si>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</si>
  <si>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</si>
  <si>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</si>
  <si>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</si>
  <si>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</si>
  <si>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</si>
  <si>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</si>
  <si>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</si>
  <si>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</si>
  <si>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</si>
  <si>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</si>
  <si>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</si>
  <si>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</si>
  <si>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</si>
  <si>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</si>
  <si>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</si>
  <si>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</si>
  <si>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</si>
  <si>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</si>
  <si>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</si>
  <si>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</si>
  <si>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</si>
  <si>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</si>
  <si>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</si>
  <si>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</si>
  <si>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</si>
  <si>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</si>
  <si>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</si>
  <si>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</si>
  <si>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</si>
  <si>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</si>
  <si>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</si>
  <si>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</si>
  <si>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</si>
  <si>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</si>
  <si>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</si>
  <si>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</si>
  <si>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</si>
  <si>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</si>
  <si>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</si>
  <si>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</si>
  <si>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</si>
  <si>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</si>
  <si>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</si>
  <si>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</si>
  <si>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</si>
  <si>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</si>
  <si>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</si>
  <si>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</si>
  <si>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</si>
  <si>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</si>
  <si>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</si>
  <si>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</si>
  <si>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</si>
  <si>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</si>
  <si>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</si>
  <si>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</si>
  <si>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</si>
  <si>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</si>
  <si>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</si>
  <si>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</si>
  <si>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</si>
  <si>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</si>
  <si>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</si>
  <si>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</si>
  <si>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</si>
  <si>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</si>
  <si>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</si>
  <si>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</si>
  <si>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</si>
  <si>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</si>
  <si>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</si>
  <si>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</si>
  <si>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</si>
  <si>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</si>
  <si>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</si>
  <si>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</si>
  <si>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</si>
  <si>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</si>
  <si>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</si>
  <si>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</si>
  <si>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</si>
  <si>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</si>
  <si>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</si>
  <si>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</si>
  <si>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</si>
  <si>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</si>
  <si>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</si>
  <si>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</si>
  <si>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</si>
  <si>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</si>
  <si>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</si>
  <si>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</si>
  <si>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</si>
  <si>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</si>
  <si>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</si>
  <si>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</si>
  <si>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</si>
  <si>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</si>
  <si>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</si>
  <si>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</si>
  <si>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</si>
  <si>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</si>
  <si>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</si>
  <si>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</si>
  <si>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</si>
  <si>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</si>
  <si>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</si>
  <si>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</si>
  <si>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</si>
  <si>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</si>
  <si>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</si>
  <si>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</si>
  <si>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</si>
  <si>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</si>
  <si>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</si>
  <si>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</si>
  <si>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</si>
  <si>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</si>
  <si>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</si>
  <si>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</si>
  <si>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</si>
  <si>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</si>
  <si>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</si>
  <si>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</si>
  <si>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</si>
  <si>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</si>
  <si>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</si>
  <si>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</si>
  <si>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</si>
  <si>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</si>
  <si>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</si>
  <si>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</si>
  <si>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</si>
  <si>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</si>
  <si>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</si>
  <si>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</si>
  <si>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</si>
  <si>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</si>
  <si>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</si>
  <si>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</si>
  <si>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</si>
  <si>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</si>
  <si>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</si>
  <si>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</si>
  <si>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</si>
  <si>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</si>
  <si>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</si>
  <si>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</si>
  <si>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</si>
  <si>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</si>
  <si>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</si>
  <si>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</si>
  <si>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</si>
  <si>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</si>
  <si>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</si>
  <si>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</si>
  <si>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</si>
  <si>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</si>
  <si>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</si>
  <si>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</si>
  <si>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</si>
  <si>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</si>
  <si>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</si>
  <si>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</si>
  <si>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</si>
  <si>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</si>
  <si>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</si>
  <si>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</si>
  <si>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</si>
  <si>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</si>
  <si>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</si>
  <si>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</si>
  <si>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</si>
  <si>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</si>
  <si>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</si>
  <si>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</si>
  <si>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</si>
  <si>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</si>
  <si>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</si>
  <si>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</si>
  <si>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</si>
  <si>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</si>
  <si>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</si>
  <si>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</si>
  <si>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</si>
  <si>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</si>
  <si>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</si>
  <si>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</si>
  <si>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</si>
  <si>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</si>
  <si>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</si>
  <si>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</si>
  <si>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</si>
  <si>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</si>
  <si>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</si>
  <si>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</si>
  <si>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</si>
  <si>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</si>
  <si>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</si>
  <si>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</si>
  <si>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</si>
  <si>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</si>
  <si>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</si>
  <si>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</si>
  <si>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</si>
  <si>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</si>
  <si>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</si>
  <si>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</si>
  <si>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</si>
  <si>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</si>
  <si>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</si>
  <si>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</si>
  <si>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</si>
  <si>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</si>
  <si>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</si>
  <si>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</si>
  <si>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</si>
  <si>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</si>
  <si>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</si>
  <si>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</si>
  <si>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</si>
  <si>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</si>
  <si>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</si>
  <si>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</si>
  <si>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</si>
  <si>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</si>
  <si>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</si>
  <si>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</si>
  <si>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</si>
  <si>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</si>
  <si>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</si>
  <si>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</si>
  <si>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</si>
  <si>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</si>
  <si>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</si>
  <si>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</si>
  <si>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</si>
  <si>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</si>
  <si>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</si>
  <si>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</si>
  <si>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</si>
  <si>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</si>
  <si>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</si>
  <si>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</si>
  <si>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</si>
  <si>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</si>
  <si>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</si>
  <si>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</si>
  <si>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</si>
  <si>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</si>
  <si>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</si>
  <si>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</si>
  <si>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</si>
  <si>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</si>
  <si>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</si>
  <si>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</si>
  <si>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</si>
  <si>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</si>
  <si>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</si>
  <si>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</si>
  <si>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</si>
  <si>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</si>
  <si>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</si>
  <si>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</si>
  <si>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</si>
  <si>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</si>
  <si>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</si>
  <si>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</si>
  <si>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</si>
  <si>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</si>
  <si>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</si>
  <si>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</si>
  <si>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</si>
  <si>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</si>
  <si>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</si>
  <si>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</si>
  <si>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</si>
  <si>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</si>
  <si>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</si>
  <si>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</si>
  <si>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</si>
  <si>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</si>
  <si>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</si>
  <si>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</si>
  <si>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</si>
  <si>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</si>
  <si>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</si>
  <si>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</si>
  <si>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</si>
  <si>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</si>
  <si>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</si>
  <si>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</si>
  <si>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</si>
  <si>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</si>
  <si>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</si>
  <si>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</si>
  <si>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</si>
  <si>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</si>
  <si>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</si>
  <si>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</si>
  <si>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</si>
  <si>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</si>
  <si>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</si>
  <si>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</si>
  <si>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</si>
  <si>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</si>
  <si>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</si>
  <si>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</si>
  <si>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</si>
  <si>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</si>
  <si>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</si>
  <si>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</si>
  <si>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</si>
  <si>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</si>
  <si>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</si>
  <si>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</si>
  <si>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</si>
  <si>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</si>
  <si>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</si>
  <si>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</si>
  <si>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</si>
  <si>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</si>
  <si>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</si>
  <si>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</si>
  <si>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</si>
  <si>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</si>
  <si>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</si>
  <si>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</si>
  <si>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</si>
  <si>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</si>
  <si>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</si>
  <si>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</si>
  <si>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</si>
  <si>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</si>
  <si>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</si>
  <si>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</si>
  <si>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</si>
  <si>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</si>
  <si>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</si>
  <si>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</si>
  <si>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</si>
  <si>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</si>
  <si>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</si>
  <si>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</si>
  <si>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</si>
  <si>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</si>
  <si>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</si>
  <si>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</si>
  <si>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</si>
  <si>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</si>
  <si>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</si>
  <si>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</si>
  <si>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</si>
  <si>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</si>
  <si>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</si>
  <si>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</si>
  <si>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</si>
  <si>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</si>
  <si>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</si>
  <si>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</si>
  <si>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</si>
  <si>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</si>
  <si>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</si>
  <si>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</si>
  <si>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</si>
  <si>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</si>
  <si>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</si>
  <si>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</si>
  <si>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</si>
  <si>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</si>
  <si>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</si>
  <si>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</si>
  <si>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</si>
  <si>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</si>
  <si>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</si>
  <si>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</si>
  <si>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Disminuir los eventos de origen laboral en los trabajadores del sector formal del Departamento del Quindío </t>
  </si>
  <si>
    <t xml:space="preserve">Documentos de planeación en epidemiología y demografía elaborados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</si>
  <si>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</si>
  <si>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</si>
  <si>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</si>
  <si>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</si>
  <si>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</si>
  <si>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</si>
  <si>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</si>
  <si>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</si>
  <si>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</si>
  <si>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</si>
  <si>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</si>
  <si>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</si>
  <si>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</si>
  <si>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</si>
  <si>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</si>
  <si>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</si>
  <si>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</si>
  <si>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</si>
  <si>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</si>
  <si>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</si>
  <si>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</si>
  <si>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</si>
  <si>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</si>
  <si>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</si>
  <si>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</si>
  <si>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</si>
  <si>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</si>
  <si>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</si>
  <si>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</si>
  <si>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</si>
  <si>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</si>
  <si>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</si>
  <si>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</si>
  <si>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</si>
  <si>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</si>
  <si>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</si>
  <si>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</si>
  <si>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</si>
  <si>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</si>
  <si>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</si>
  <si>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</si>
  <si>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</si>
  <si>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</si>
  <si>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</si>
  <si>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</si>
  <si>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</si>
  <si>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</si>
  <si>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</si>
  <si>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</si>
  <si>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</si>
  <si>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</si>
  <si>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</si>
  <si>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</si>
  <si>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</si>
  <si>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</si>
  <si>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</si>
  <si>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</si>
  <si>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</si>
  <si>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</si>
  <si>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</si>
  <si>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</si>
  <si>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</si>
  <si>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</si>
  <si>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</si>
  <si>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</si>
  <si>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</si>
  <si>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</si>
  <si>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</si>
  <si>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</si>
  <si>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</si>
  <si>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</si>
  <si>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</si>
  <si>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</si>
  <si>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Tasa de crecimiento de empresas en el sector productivo transformadas digitalmente</t>
  </si>
  <si>
    <t>Servicio de apoyo para la transferencia de conocimiento y tecnología</t>
  </si>
  <si>
    <t>390300501</t>
  </si>
  <si>
    <t>Nuevas tecnologías adoptadas</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</si>
  <si>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</si>
  <si>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</si>
  <si>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</si>
  <si>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</si>
  <si>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</si>
  <si>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</si>
  <si>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</si>
  <si>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</si>
  <si>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</si>
  <si>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</si>
  <si>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</si>
  <si>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</si>
  <si>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</si>
  <si>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</si>
  <si>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</si>
  <si>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</si>
  <si>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</si>
  <si>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</si>
  <si>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</si>
  <si>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</si>
  <si>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</si>
  <si>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</si>
  <si>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</si>
  <si>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</si>
  <si>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</si>
  <si>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</si>
  <si>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</si>
  <si>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</si>
  <si>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</si>
  <si>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</si>
  <si>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</si>
  <si>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</si>
  <si>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</si>
  <si>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</si>
  <si>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</si>
  <si>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</si>
  <si>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</si>
  <si>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</si>
  <si>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</si>
  <si>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</si>
  <si>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</si>
  <si>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</si>
  <si>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</si>
  <si>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</si>
  <si>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</si>
  <si>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</si>
  <si>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</si>
  <si>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</si>
  <si>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</si>
  <si>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</si>
  <si>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</si>
  <si>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</si>
  <si>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</si>
  <si>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</si>
  <si>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</si>
  <si>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</si>
  <si>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</si>
  <si>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</si>
  <si>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</si>
  <si>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</si>
  <si>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</si>
  <si>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</si>
  <si>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</si>
  <si>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</si>
  <si>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</si>
  <si>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</si>
  <si>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</si>
  <si>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</si>
  <si>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</si>
  <si>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</si>
  <si>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</si>
  <si>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</si>
  <si>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</si>
  <si>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</si>
  <si>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</si>
  <si>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</si>
  <si>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</si>
  <si>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</si>
  <si>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</si>
  <si>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</si>
  <si>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</si>
  <si>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</si>
  <si>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</si>
  <si>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</si>
  <si>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</si>
  <si>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</si>
  <si>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</si>
  <si>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</si>
  <si>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</si>
  <si>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</si>
  <si>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</si>
  <si>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</si>
  <si>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</si>
  <si>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</si>
  <si>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</si>
  <si>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</si>
  <si>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</si>
  <si>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</si>
  <si>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</si>
  <si>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</si>
  <si>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</si>
  <si>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</si>
  <si>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</si>
  <si>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</si>
  <si>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</si>
  <si>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</si>
  <si>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</si>
  <si>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</si>
  <si>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</si>
  <si>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</si>
  <si>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</si>
  <si>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</si>
  <si>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</si>
  <si>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</si>
  <si>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</si>
  <si>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</si>
  <si>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</si>
  <si>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</si>
  <si>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</si>
  <si>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</si>
  <si>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</si>
  <si>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</si>
  <si>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</si>
  <si>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</si>
  <si>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</si>
  <si>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</si>
  <si>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</si>
  <si>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</si>
  <si>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</si>
  <si>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</si>
  <si>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</si>
  <si>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</si>
  <si>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</si>
  <si>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</si>
  <si>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</si>
  <si>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</si>
  <si>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</si>
  <si>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</si>
  <si>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</si>
  <si>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</si>
  <si>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</si>
  <si>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</si>
  <si>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</si>
  <si>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</si>
  <si>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</si>
  <si>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Secretaría de Planeación</t>
  </si>
  <si>
    <t>Secretaría de Hacienda y Finanzas Públicas</t>
  </si>
  <si>
    <t>Secretaría de Aguas e Infraestructura</t>
  </si>
  <si>
    <t>Secretaría del Interior</t>
  </si>
  <si>
    <t>Secretaría de Cultura</t>
  </si>
  <si>
    <t>Secretaría de Turismo Industria y Comercio</t>
  </si>
  <si>
    <t>Secretaría de Agricultura Desarrollo Rural y Medio Ambiente</t>
  </si>
  <si>
    <t>Secretaría de Educación</t>
  </si>
  <si>
    <t>Secretaría de Familia</t>
  </si>
  <si>
    <t>META PRODUCTO</t>
  </si>
  <si>
    <t>PROGRAMADA 
VIGENCIA 2022</t>
  </si>
  <si>
    <t>Secretaría de Salud</t>
  </si>
  <si>
    <t xml:space="preserve">PROGRAMA CATÁLOGO MGA </t>
  </si>
  <si>
    <t xml:space="preserve">Instituto Departamental de Tránsito del Quindío </t>
  </si>
  <si>
    <t>Aseguramiento y prestación integral de servicios de salud</t>
  </si>
  <si>
    <t>CÓDIGO CATÁLOGO MGA</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</si>
  <si>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</si>
  <si>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</si>
  <si>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</si>
  <si>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</si>
  <si>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Gestión del riesgo de desastres y emergencias</t>
  </si>
  <si>
    <t xml:space="preserve">Fortalecimiento a la gestión y dirección de la administración pública territorial </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</si>
  <si>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</si>
  <si>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</si>
  <si>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</si>
  <si>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</si>
  <si>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</si>
  <si>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</si>
  <si>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</si>
  <si>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</si>
  <si>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</si>
  <si>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</si>
  <si>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</si>
  <si>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</si>
  <si>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</si>
  <si>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</si>
  <si>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</si>
  <si>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</si>
  <si>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</si>
  <si>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</si>
  <si>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</si>
  <si>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</si>
  <si>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</si>
  <si>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</si>
  <si>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</si>
  <si>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</si>
  <si>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</si>
  <si>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</si>
  <si>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</si>
  <si>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</si>
  <si>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</si>
  <si>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</si>
  <si>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</si>
  <si>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</si>
  <si>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</si>
  <si>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</si>
  <si>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</si>
  <si>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</si>
  <si>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</si>
  <si>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</si>
  <si>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</si>
  <si>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</si>
  <si>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</si>
  <si>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</si>
  <si>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</si>
  <si>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</si>
  <si>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</si>
  <si>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</si>
  <si>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</si>
  <si>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</si>
  <si>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</si>
  <si>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</si>
  <si>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</si>
  <si>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</si>
  <si>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</si>
  <si>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</si>
  <si>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</si>
  <si>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</si>
  <si>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Instituto Departamental de Deporte y Recreación del Quindío</t>
  </si>
  <si>
    <t>Secretaría Tecnologías de la Información y las Comunicaciones</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</si>
  <si>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</si>
  <si>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</si>
  <si>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</si>
  <si>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</si>
  <si>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</si>
  <si>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</si>
  <si>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</si>
  <si>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</si>
  <si>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</si>
  <si>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</si>
  <si>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</si>
  <si>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</si>
  <si>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</si>
  <si>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</si>
  <si>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</si>
  <si>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</si>
  <si>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</si>
  <si>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</si>
  <si>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</si>
  <si>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</si>
  <si>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</si>
  <si>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</si>
  <si>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</si>
  <si>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</si>
  <si>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</si>
  <si>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</si>
  <si>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</si>
  <si>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</si>
  <si>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</si>
  <si>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</si>
  <si>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</si>
  <si>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</si>
  <si>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</si>
  <si>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</si>
  <si>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</si>
  <si>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</si>
  <si>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</si>
  <si>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</si>
  <si>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</si>
  <si>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</si>
  <si>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</si>
  <si>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</si>
  <si>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</si>
  <si>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</si>
  <si>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</si>
  <si>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</si>
  <si>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</si>
  <si>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</si>
  <si>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</si>
  <si>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</si>
  <si>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</si>
  <si>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</si>
  <si>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</si>
  <si>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</si>
  <si>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</si>
  <si>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 xml:space="preserve"> TOTAL PRESUPUESTO</t>
  </si>
  <si>
    <t>RECURSO DEL CRÉDITO</t>
  </si>
  <si>
    <t xml:space="preserve">Servicio de vigilancia y control de las políticas y normas técnicas, científicas y administrativas expedidas por el Ministerio de Salud y Protección Social </t>
  </si>
  <si>
    <t>REPROGRAMADA 
VIGENCIA 2022</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</si>
  <si>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</si>
  <si>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</si>
  <si>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</si>
  <si>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</si>
  <si>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</si>
  <si>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</si>
  <si>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</si>
  <si>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</si>
  <si>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</si>
  <si>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</si>
  <si>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</si>
  <si>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</si>
  <si>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</si>
  <si>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</si>
  <si>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</si>
  <si>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</si>
  <si>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</si>
  <si>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</si>
  <si>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</si>
  <si>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</si>
  <si>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 xml:space="preserve"> $-   </t>
  </si>
  <si>
    <t>Mantenimiento de los edificios públicos y/o equipamentos colectivos y comunitarios en el departamento del Quindío.</t>
  </si>
  <si>
    <t>Mantener en óptimas condiciones de uso los equipamentos colectivos y comunitarios y espacios de uso público destinados para el sirvicio de la comunidad en cada uno de los municipios que lo requieran</t>
  </si>
  <si>
    <t>TOTAL PROGRAMADA
VIGENCIA 2022</t>
  </si>
  <si>
    <t>PROGRAMACIÓN PLAN OPERATIVO ANUAL DE INVERSIÓN - POAI -  CON CORTE A SEPTIEMBRE 30 DE 2022</t>
  </si>
  <si>
    <t>F-PLA-42</t>
  </si>
  <si>
    <t>RELACIÓN PROYECTOS DE INVERSIÓN DEPARTAMENTAL
PLAN DE DESARROLLO 2020-2023 "TÚ Y YO SOMOS QUINDIO"
RELACIÓN PROYECTOS DE INVERSION EJECUTADOS
A SEPTIEMBRE 30 DE 2022</t>
  </si>
  <si>
    <t>PRESUPUESTO</t>
  </si>
  <si>
    <t xml:space="preserve">TERRITORIO, AMBIENTE Y DESARROLLO SOSTENIBLE </t>
  </si>
  <si>
    <t>321 INSTITUTO DEPARTAMENTAL DE TRÁNSITO DEL QUINDÍO</t>
  </si>
  <si>
    <t>TOTAL PROYECTOS INVERSION DEPARTAMENTAL 2022</t>
  </si>
  <si>
    <t>Secretaría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</si>
</sst>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8" formatCode="0.000"/>
    <numFmt numFmtId="179" formatCode="0.0"/>
  </numFmts>
  <fonts count="60"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sz val="11"/>
      <name val="Arial"/>
      <family val="2"/>
    </font>
    <font>
      <sz val="12"/>
      <name val="Arial"/>
      <family val="2"/>
    </font>
    <font>
      <sz val="10"/>
      <color rgb="FF000000"/>
      <name val="Arial"/>
      <family val="2"/>
    </font>
    <font>
      <b/>
      <sz val="11"/>
      <color rgb="FF000000"/>
      <name val="Arial"/>
      <family val="2"/>
    </font>
    <font>
      <b/>
      <sz val="12"/>
      <color theme="1"/>
      <name val="Arial"/>
      <family val="2"/>
    </font>
    <font>
      <sz val="10"/>
      <color theme="1"/>
      <name val="Calibri"/>
      <family val="2"/>
      <scheme val="minor"/>
    </font>
  </fonts>
  <fills count="6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D6DCE4"/>
        <bgColor indexed="64"/>
      </patternFill>
    </fill>
    <fill>
      <patternFill patternType="solid">
        <fgColor theme="0" tint="-4.9989318521683403E-2"/>
        <bgColor indexed="64"/>
      </patternFill>
    </fill>
  </fills>
  <borders count="5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9">
    <xf numFmtId="168" fontId="0" fillId="0" borderId="0"/>
    <xf numFmtId="43"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8" fontId="7" fillId="4" borderId="8">
      <alignment horizontal="center" vertical="center" wrapText="1"/>
    </xf>
    <xf numFmtId="0" fontId="1" fillId="0" borderId="0"/>
    <xf numFmtId="167" fontId="1" fillId="0" borderId="0" applyFont="0" applyFill="0" applyBorder="0" applyAlignment="0" applyProtection="0"/>
    <xf numFmtId="0" fontId="7" fillId="4" borderId="8">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1">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7" applyNumberFormat="0" applyAlignment="0" applyProtection="0"/>
    <xf numFmtId="0" fontId="17" fillId="10" borderId="18" applyNumberFormat="0" applyAlignment="0" applyProtection="0"/>
    <xf numFmtId="0" fontId="18" fillId="10" borderId="17" applyNumberFormat="0" applyAlignment="0" applyProtection="0"/>
    <xf numFmtId="0" fontId="19" fillId="0" borderId="19" applyNumberFormat="0" applyFill="0" applyAlignment="0" applyProtection="0"/>
    <xf numFmtId="0" fontId="9" fillId="11" borderId="20" applyNumberFormat="0" applyAlignment="0" applyProtection="0"/>
    <xf numFmtId="0" fontId="20" fillId="0" borderId="0" applyNumberFormat="0" applyFill="0" applyBorder="0" applyAlignment="0" applyProtection="0"/>
    <xf numFmtId="0" fontId="1" fillId="12" borderId="21" applyNumberFormat="0" applyFont="0" applyAlignment="0" applyProtection="0"/>
    <xf numFmtId="0" fontId="21" fillId="0" borderId="0" applyNumberFormat="0" applyFill="0" applyBorder="0" applyAlignment="0" applyProtection="0"/>
    <xf numFmtId="0" fontId="22" fillId="0" borderId="22"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15" applyNumberFormat="0" applyFill="0" applyAlignment="0" applyProtection="0"/>
    <xf numFmtId="174" fontId="1" fillId="0" borderId="0"/>
    <xf numFmtId="174" fontId="1" fillId="35" borderId="0" applyNumberFormat="0" applyBorder="0" applyAlignment="0" applyProtection="0"/>
    <xf numFmtId="174" fontId="9" fillId="11" borderId="20" applyNumberFormat="0" applyAlignment="0" applyProtection="0"/>
    <xf numFmtId="174" fontId="18" fillId="10" borderId="17"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4"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42" fontId="1" fillId="0" borderId="0" applyFont="0" applyFill="0" applyBorder="0" applyAlignment="0" applyProtection="0"/>
    <xf numFmtId="0" fontId="1" fillId="0" borderId="0"/>
    <xf numFmtId="168" fontId="1" fillId="0" borderId="0"/>
    <xf numFmtId="174" fontId="19" fillId="0" borderId="19"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17"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16"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1" applyNumberFormat="0" applyFont="0" applyAlignment="0" applyProtection="0"/>
    <xf numFmtId="174" fontId="1" fillId="0" borderId="0"/>
    <xf numFmtId="174" fontId="17" fillId="10" borderId="18"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22"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8">
      <alignment horizontal="center" vertical="center" wrapText="1"/>
    </xf>
    <xf numFmtId="174" fontId="1" fillId="0" borderId="0"/>
    <xf numFmtId="174" fontId="7" fillId="4" borderId="8">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14"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23" applyNumberFormat="0" applyAlignment="0" applyProtection="0"/>
    <xf numFmtId="0" fontId="30" fillId="52" borderId="24" applyNumberFormat="0" applyAlignment="0" applyProtection="0"/>
    <xf numFmtId="0" fontId="31" fillId="0" borderId="25"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23"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27" applyNumberFormat="0" applyFont="0" applyAlignment="0" applyProtection="0"/>
    <xf numFmtId="0" fontId="8" fillId="58" borderId="27" applyNumberFormat="0" applyFont="0" applyAlignment="0" applyProtection="0"/>
    <xf numFmtId="0" fontId="39" fillId="51" borderId="28"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29" applyNumberFormat="0" applyFill="0" applyAlignment="0" applyProtection="0"/>
    <xf numFmtId="0" fontId="32"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8" fillId="0" borderId="0"/>
    <xf numFmtId="166" fontId="1" fillId="0" borderId="0" applyFont="0" applyFill="0" applyBorder="0" applyAlignment="0" applyProtection="0"/>
    <xf numFmtId="41" fontId="1" fillId="0" borderId="0" applyFont="0" applyFill="0" applyBorder="0" applyAlignment="0" applyProtection="0"/>
    <xf numFmtId="174" fontId="1" fillId="0" borderId="0"/>
  </cellStyleXfs>
  <cellXfs count="206">
    <xf numFmtId="168" fontId="0" fillId="0" borderId="0" xfId="0"/>
    <xf numFmtId="168" fontId="2" fillId="0" borderId="0" xfId="0" applyFont="1"/>
    <xf numFmtId="168" fontId="4" fillId="0" borderId="0" xfId="0" applyFont="1" applyAlignment="1">
      <alignment horizontal="center" vertical="center"/>
    </xf>
    <xf numFmtId="0" fontId="3" fillId="0" borderId="4"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4" xfId="0" applyFont="1" applyBorder="1" applyAlignment="1">
      <alignment horizontal="center" vertical="center" wrapText="1"/>
    </xf>
    <xf numFmtId="168" fontId="3" fillId="0" borderId="0" xfId="0" applyFont="1" applyAlignment="1">
      <alignment vertical="center"/>
    </xf>
    <xf numFmtId="168" fontId="3" fillId="0" borderId="4" xfId="0" applyFont="1" applyBorder="1" applyAlignment="1">
      <alignment horizontal="justify" vertical="center" wrapText="1"/>
    </xf>
    <xf numFmtId="0" fontId="3" fillId="0" borderId="4" xfId="0" applyNumberFormat="1" applyFont="1" applyBorder="1" applyAlignment="1">
      <alignment horizontal="justify" vertical="center" wrapText="1"/>
    </xf>
    <xf numFmtId="168" fontId="2" fillId="2" borderId="0" xfId="0" applyFont="1" applyFill="1" applyAlignment="1">
      <alignment horizontal="center"/>
    </xf>
    <xf numFmtId="168" fontId="2" fillId="0" borderId="0" xfId="0" applyFont="1" applyAlignment="1">
      <alignment horizontal="left"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Border="1" applyAlignment="1">
      <alignment horizontal="center" vertical="center" wrapText="1"/>
    </xf>
    <xf numFmtId="168" fontId="2" fillId="0" borderId="2" xfId="0" applyFont="1" applyBorder="1" applyAlignment="1">
      <alignment horizontal="justify" vertical="center" wrapText="1"/>
    </xf>
    <xf numFmtId="168" fontId="2" fillId="0" borderId="0" xfId="0" applyFont="1" applyAlignment="1">
      <alignment horizontal="center" vertical="center"/>
    </xf>
    <xf numFmtId="168" fontId="3" fillId="0" borderId="0" xfId="0" applyFont="1" applyAlignment="1">
      <alignment horizontal="center" vertical="center" wrapText="1"/>
    </xf>
    <xf numFmtId="168" fontId="2" fillId="0" borderId="0" xfId="0" applyFont="1" applyAlignment="1">
      <alignmen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168" fontId="3" fillId="0" borderId="0" xfId="0" applyFont="1" applyAlignment="1">
      <alignment horizontal="justify" vertical="center" wrapText="1"/>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1" fontId="3" fillId="0" borderId="0" xfId="1" applyNumberFormat="1" applyFont="1" applyFill="1" applyBorder="1" applyAlignment="1">
      <alignment horizontal="center" vertical="center" wrapText="1"/>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43" fontId="2" fillId="0" borderId="2" xfId="1" applyFont="1" applyFill="1" applyBorder="1" applyAlignment="1">
      <alignment horizontal="left" vertical="center"/>
    </xf>
    <xf numFmtId="0" fontId="2" fillId="0" borderId="2" xfId="0" applyNumberFormat="1" applyFont="1" applyBorder="1" applyAlignment="1">
      <alignment horizontal="center" vertical="center"/>
    </xf>
    <xf numFmtId="0" fontId="2" fillId="0" borderId="2" xfId="0" applyNumberFormat="1" applyFont="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53" fillId="60" borderId="32" xfId="1" applyFont="1" applyFill="1" applyBorder="1" applyAlignment="1">
      <alignment horizontal="center" vertical="center" wrapText="1"/>
    </xf>
    <xf numFmtId="43" fontId="53" fillId="60" borderId="6"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 borderId="6" xfId="1" applyFont="1" applyFill="1" applyBorder="1" applyAlignment="1">
      <alignment horizontal="justify" vertical="center" wrapText="1"/>
    </xf>
    <xf numFmtId="43" fontId="53" fillId="6" borderId="6" xfId="1" applyFont="1" applyFill="1" applyBorder="1" applyAlignment="1">
      <alignment horizontal="left" vertical="center"/>
    </xf>
    <xf numFmtId="43" fontId="53" fillId="6" borderId="6" xfId="1" applyFont="1" applyFill="1" applyBorder="1" applyAlignment="1">
      <alignment horizontal="center" vertical="center" wrapText="1"/>
    </xf>
    <xf numFmtId="43" fontId="53" fillId="6" borderId="6" xfId="1" applyFont="1" applyFill="1" applyBorder="1" applyAlignment="1">
      <alignment horizontal="center" vertical="center"/>
    </xf>
    <xf numFmtId="43" fontId="52" fillId="6" borderId="6" xfId="1" applyFont="1" applyFill="1" applyBorder="1" applyAlignment="1">
      <alignment horizontal="justify" vertical="center" wrapText="1"/>
    </xf>
    <xf numFmtId="43" fontId="53" fillId="6" borderId="1" xfId="1" applyFont="1" applyFill="1" applyBorder="1" applyAlignment="1">
      <alignment vertical="center"/>
    </xf>
    <xf numFmtId="43" fontId="53" fillId="6" borderId="6" xfId="1" applyFont="1" applyFill="1" applyBorder="1" applyAlignment="1">
      <alignment vertical="center"/>
    </xf>
    <xf numFmtId="43" fontId="53" fillId="6" borderId="2" xfId="1" applyFont="1" applyFill="1" applyBorder="1" applyAlignment="1">
      <alignment vertical="center"/>
    </xf>
    <xf numFmtId="168" fontId="53" fillId="0" borderId="0" xfId="0" applyFont="1" applyAlignment="1">
      <alignment vertical="center"/>
    </xf>
    <xf numFmtId="168" fontId="52" fillId="0" borderId="0" xfId="0" applyFont="1" applyAlignment="1">
      <alignment vertical="center"/>
    </xf>
    <xf numFmtId="43" fontId="53" fillId="61" borderId="5" xfId="1" applyFont="1" applyFill="1" applyBorder="1" applyAlignment="1">
      <alignment vertical="center"/>
    </xf>
    <xf numFmtId="43" fontId="53" fillId="61" borderId="6" xfId="1" applyFont="1" applyFill="1" applyBorder="1" applyAlignment="1">
      <alignment horizontal="justify" vertical="center" wrapText="1"/>
    </xf>
    <xf numFmtId="43" fontId="53" fillId="61" borderId="6" xfId="1" applyFont="1" applyFill="1" applyBorder="1" applyAlignment="1">
      <alignment horizontal="left" vertical="center"/>
    </xf>
    <xf numFmtId="43" fontId="53" fillId="61" borderId="6" xfId="1" applyFont="1" applyFill="1" applyBorder="1" applyAlignment="1">
      <alignment horizontal="center" vertical="center" wrapText="1"/>
    </xf>
    <xf numFmtId="43" fontId="53" fillId="61" borderId="6" xfId="1" applyFont="1" applyFill="1" applyBorder="1" applyAlignment="1">
      <alignment horizontal="center" vertical="center"/>
    </xf>
    <xf numFmtId="43" fontId="53" fillId="61" borderId="7" xfId="1" applyFont="1" applyFill="1" applyBorder="1" applyAlignment="1">
      <alignment horizontal="justify" vertical="center" wrapText="1"/>
    </xf>
    <xf numFmtId="43" fontId="53" fillId="61" borderId="2" xfId="1" applyFont="1" applyFill="1" applyBorder="1" applyAlignment="1">
      <alignment horizontal="justify" vertical="center" wrapText="1"/>
    </xf>
    <xf numFmtId="43" fontId="53" fillId="61" borderId="2" xfId="1" applyFont="1" applyFill="1" applyBorder="1" applyAlignment="1">
      <alignment vertical="center"/>
    </xf>
    <xf numFmtId="168" fontId="3" fillId="61" borderId="2" xfId="0" applyFont="1" applyFill="1" applyBorder="1" applyAlignment="1">
      <alignment horizontal="center" vertical="center"/>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Border="1" applyAlignment="1">
      <alignment horizontal="left" vertical="center"/>
    </xf>
    <xf numFmtId="0" fontId="54" fillId="0" borderId="10" xfId="4" applyNumberFormat="1" applyFont="1" applyFill="1" applyBorder="1" applyAlignment="1">
      <alignment horizontal="justify" vertical="center" wrapText="1"/>
    </xf>
    <xf numFmtId="0" fontId="54" fillId="0" borderId="10" xfId="7" applyFont="1" applyFill="1" applyBorder="1" applyAlignment="1">
      <alignment horizontal="justify" vertical="center" wrapText="1"/>
    </xf>
    <xf numFmtId="2" fontId="53" fillId="6" borderId="6" xfId="1" applyNumberFormat="1" applyFont="1" applyFill="1" applyBorder="1" applyAlignment="1">
      <alignment horizontal="center" vertical="center"/>
    </xf>
    <xf numFmtId="2" fontId="53" fillId="60" borderId="6" xfId="1" applyNumberFormat="1" applyFont="1" applyFill="1" applyBorder="1" applyAlignment="1">
      <alignment horizontal="center" vertical="center" wrapText="1"/>
    </xf>
    <xf numFmtId="168" fontId="4" fillId="60" borderId="32" xfId="0" applyFont="1" applyFill="1" applyBorder="1" applyAlignment="1">
      <alignment horizontal="center" vertical="center" wrapText="1"/>
    </xf>
    <xf numFmtId="2" fontId="53" fillId="61" borderId="6" xfId="1" applyNumberFormat="1" applyFont="1" applyFill="1" applyBorder="1" applyAlignment="1">
      <alignment horizontal="center" vertical="center"/>
    </xf>
    <xf numFmtId="2" fontId="2" fillId="0" borderId="0" xfId="1" applyNumberFormat="1" applyFont="1" applyFill="1" applyAlignment="1">
      <alignment horizontal="center" vertical="center"/>
    </xf>
    <xf numFmtId="49" fontId="2" fillId="0" borderId="2" xfId="4" applyNumberFormat="1" applyFont="1" applyFill="1" applyBorder="1" applyAlignment="1">
      <alignment horizontal="justify" vertical="center" wrapText="1"/>
    </xf>
    <xf numFmtId="0" fontId="2" fillId="0" borderId="2" xfId="7" applyFont="1" applyFill="1" applyBorder="1">
      <alignment horizontal="center" vertical="center" wrapText="1"/>
    </xf>
    <xf numFmtId="168" fontId="4" fillId="60" borderId="33" xfId="0" applyFont="1" applyFill="1" applyBorder="1" applyAlignment="1">
      <alignment horizontal="center" vertical="center" wrapText="1"/>
    </xf>
    <xf numFmtId="0" fontId="2" fillId="0" borderId="2" xfId="5" applyFont="1" applyBorder="1" applyAlignment="1">
      <alignment horizontal="justify" vertical="center" wrapText="1"/>
    </xf>
    <xf numFmtId="1" fontId="2" fillId="0" borderId="2" xfId="0" applyNumberFormat="1" applyFont="1" applyBorder="1" applyAlignment="1">
      <alignment horizontal="center" vertical="center" wrapText="1"/>
    </xf>
    <xf numFmtId="49" fontId="2" fillId="0" borderId="2" xfId="0" applyNumberFormat="1" applyFont="1" applyBorder="1" applyAlignment="1">
      <alignment horizontal="justify" vertical="center" wrapText="1"/>
    </xf>
    <xf numFmtId="167" fontId="2" fillId="0" borderId="2" xfId="0" applyNumberFormat="1" applyFont="1" applyBorder="1" applyAlignment="1">
      <alignment vertical="center"/>
    </xf>
    <xf numFmtId="168" fontId="2" fillId="0" borderId="2" xfId="0" applyFont="1" applyBorder="1" applyAlignment="1">
      <alignment horizontal="center" vertical="center" wrapText="1"/>
    </xf>
    <xf numFmtId="0" fontId="2" fillId="0" borderId="2" xfId="5" applyFont="1" applyBorder="1" applyAlignment="1">
      <alignment horizontal="center" vertical="center" wrapText="1"/>
    </xf>
    <xf numFmtId="49" fontId="2" fillId="0" borderId="2" xfId="5" applyNumberFormat="1" applyFont="1" applyBorder="1" applyAlignment="1">
      <alignment horizontal="justify" vertical="center" wrapText="1"/>
    </xf>
    <xf numFmtId="168" fontId="2" fillId="0" borderId="2" xfId="0" applyFont="1" applyBorder="1" applyAlignment="1" applyProtection="1">
      <alignment horizontal="justify" vertical="center" wrapText="1"/>
      <protection locked="0"/>
    </xf>
    <xf numFmtId="0" fontId="2" fillId="0" borderId="2" xfId="0" applyNumberFormat="1" applyFont="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7" applyFont="1" applyFill="1"/>
    <xf numFmtId="171" fontId="2" fillId="0" borderId="0" xfId="6" applyNumberFormat="1" applyFont="1" applyFill="1" applyAlignment="1">
      <alignment horizontal="center"/>
    </xf>
    <xf numFmtId="177" fontId="2" fillId="0" borderId="0" xfId="0" applyNumberFormat="1" applyFont="1"/>
    <xf numFmtId="3" fontId="2" fillId="0" borderId="2" xfId="0" applyNumberFormat="1" applyFont="1" applyBorder="1" applyAlignment="1">
      <alignment horizontal="justify" vertical="center" wrapText="1"/>
    </xf>
    <xf numFmtId="1" fontId="2" fillId="0" borderId="2" xfId="5" applyNumberFormat="1" applyFont="1" applyBorder="1" applyAlignment="1">
      <alignment horizontal="center" vertical="center" wrapText="1"/>
    </xf>
    <xf numFmtId="49" fontId="2" fillId="0" borderId="2" xfId="0" applyNumberFormat="1" applyFont="1" applyBorder="1" applyAlignment="1" applyProtection="1">
      <alignment horizontal="justify" vertical="center" wrapText="1"/>
      <protection locked="0"/>
    </xf>
    <xf numFmtId="43" fontId="2" fillId="0" borderId="9" xfId="1" applyFont="1" applyFill="1" applyBorder="1" applyAlignment="1">
      <alignment vertical="center"/>
    </xf>
    <xf numFmtId="43" fontId="2" fillId="0" borderId="9" xfId="1" applyFont="1" applyFill="1" applyBorder="1" applyAlignment="1">
      <alignment horizontal="justify" vertical="center"/>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justify" vertical="center" wrapText="1"/>
    </xf>
    <xf numFmtId="49" fontId="2" fillId="0" borderId="9" xfId="0" applyNumberFormat="1" applyFont="1" applyBorder="1" applyAlignment="1">
      <alignment horizontal="justify" vertical="center" wrapText="1"/>
    </xf>
    <xf numFmtId="167" fontId="2" fillId="0" borderId="9" xfId="0" applyNumberFormat="1" applyFont="1" applyBorder="1" applyAlignment="1">
      <alignment vertical="center"/>
    </xf>
    <xf numFmtId="43" fontId="48" fillId="0" borderId="2" xfId="1" applyFont="1" applyFill="1" applyBorder="1" applyAlignment="1">
      <alignment horizontal="center" vertical="center" wrapText="1"/>
    </xf>
    <xf numFmtId="0" fontId="51" fillId="0" borderId="13" xfId="0" applyNumberFormat="1" applyFont="1" applyBorder="1" applyAlignment="1">
      <alignment horizontal="left" vertical="center" wrapText="1"/>
    </xf>
    <xf numFmtId="0" fontId="2" fillId="0" borderId="2" xfId="0" applyNumberFormat="1" applyFont="1" applyBorder="1" applyAlignment="1">
      <alignment horizontal="justify" vertical="center" wrapText="1"/>
    </xf>
    <xf numFmtId="168" fontId="54" fillId="0" borderId="10" xfId="0" applyFont="1" applyBorder="1" applyAlignment="1">
      <alignment horizontal="justify" vertical="center" wrapText="1"/>
    </xf>
    <xf numFmtId="0" fontId="54" fillId="0" borderId="10" xfId="0" applyNumberFormat="1" applyFont="1" applyBorder="1" applyAlignment="1">
      <alignment horizontal="center" vertical="center" wrapText="1"/>
    </xf>
    <xf numFmtId="1" fontId="2" fillId="0" borderId="2" xfId="4" applyNumberFormat="1" applyFont="1" applyFill="1" applyBorder="1">
      <alignment horizontal="center" vertical="center" wrapText="1"/>
    </xf>
    <xf numFmtId="1" fontId="2" fillId="0" borderId="2" xfId="0" applyNumberFormat="1" applyFont="1" applyBorder="1" applyAlignment="1" applyProtection="1">
      <alignment horizontal="center" vertical="center" wrapText="1"/>
      <protection locked="0"/>
    </xf>
    <xf numFmtId="2" fontId="2" fillId="0" borderId="2" xfId="5" applyNumberFormat="1" applyFont="1" applyBorder="1" applyAlignment="1">
      <alignment horizontal="center" vertical="center" wrapText="1"/>
    </xf>
    <xf numFmtId="1" fontId="2" fillId="0" borderId="2" xfId="7" applyNumberFormat="1" applyFont="1" applyFill="1" applyBorder="1">
      <alignment horizontal="center" vertical="center" wrapText="1"/>
    </xf>
    <xf numFmtId="178"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1" fontId="2" fillId="0" borderId="2" xfId="11" applyNumberFormat="1" applyFont="1" applyFill="1" applyBorder="1" applyAlignment="1">
      <alignment horizontal="center" vertical="center"/>
    </xf>
    <xf numFmtId="1" fontId="2" fillId="0" borderId="2" xfId="5" applyNumberFormat="1" applyFont="1" applyBorder="1" applyAlignment="1">
      <alignment horizontal="center" vertical="center"/>
    </xf>
    <xf numFmtId="0" fontId="2" fillId="0" borderId="2" xfId="0" applyNumberFormat="1" applyFont="1" applyBorder="1" applyAlignment="1">
      <alignment vertical="center" wrapText="1"/>
    </xf>
    <xf numFmtId="0" fontId="2" fillId="0" borderId="2" xfId="0" applyNumberFormat="1" applyFont="1" applyBorder="1" applyAlignment="1" applyProtection="1">
      <alignment horizontal="center" vertical="center"/>
      <protection locked="0"/>
    </xf>
    <xf numFmtId="179" fontId="2" fillId="0" borderId="2" xfId="5" applyNumberFormat="1" applyFont="1" applyBorder="1" applyAlignment="1">
      <alignment horizontal="center" vertical="center" wrapText="1"/>
    </xf>
    <xf numFmtId="179" fontId="2" fillId="0" borderId="2" xfId="4" applyNumberFormat="1" applyFont="1" applyFill="1" applyBorder="1">
      <alignment horizontal="center" vertical="center" wrapText="1"/>
    </xf>
    <xf numFmtId="2" fontId="2" fillId="0" borderId="2" xfId="4" applyNumberFormat="1" applyFont="1" applyFill="1" applyBorder="1">
      <alignment horizontal="center" vertical="center" wrapText="1"/>
    </xf>
    <xf numFmtId="178" fontId="2" fillId="0" borderId="2" xfId="4" applyNumberFormat="1" applyFont="1" applyFill="1" applyBorder="1">
      <alignment horizontal="center" vertical="center" wrapText="1"/>
    </xf>
    <xf numFmtId="0" fontId="2" fillId="0" borderId="10" xfId="7" applyFont="1" applyFill="1" applyBorder="1" applyAlignment="1">
      <alignment horizontal="justify" vertical="center" wrapText="1"/>
    </xf>
    <xf numFmtId="0" fontId="2" fillId="0" borderId="10" xfId="7" applyFont="1" applyFill="1" applyBorder="1">
      <alignment horizontal="center" vertical="center" wrapText="1"/>
    </xf>
    <xf numFmtId="1" fontId="2" fillId="0" borderId="10" xfId="4" applyNumberFormat="1" applyFont="1" applyFill="1" applyBorder="1">
      <alignment horizontal="center" vertical="center" wrapText="1"/>
    </xf>
    <xf numFmtId="1" fontId="2" fillId="0" borderId="10" xfId="0" applyNumberFormat="1" applyFont="1" applyBorder="1" applyAlignment="1">
      <alignment horizontal="center" vertical="center" wrapText="1"/>
    </xf>
    <xf numFmtId="49" fontId="2" fillId="0" borderId="10" xfId="0" applyNumberFormat="1" applyFont="1" applyBorder="1" applyAlignment="1">
      <alignment horizontal="justify" vertical="center" wrapText="1"/>
    </xf>
    <xf numFmtId="43" fontId="2" fillId="0" borderId="0" xfId="1" applyFont="1" applyFill="1" applyAlignment="1">
      <alignment vertical="center"/>
    </xf>
    <xf numFmtId="43" fontId="2" fillId="0" borderId="10" xfId="1" applyFont="1" applyFill="1" applyBorder="1" applyAlignment="1">
      <alignment horizontal="justify" vertical="center"/>
    </xf>
    <xf numFmtId="43" fontId="2" fillId="0" borderId="10" xfId="1" applyFont="1" applyFill="1" applyBorder="1" applyAlignment="1">
      <alignment horizontal="center" vertical="center" wrapText="1"/>
    </xf>
    <xf numFmtId="43" fontId="2" fillId="0" borderId="12" xfId="1" applyFont="1" applyFill="1" applyBorder="1" applyAlignment="1">
      <alignment horizontal="justify" vertical="center"/>
    </xf>
    <xf numFmtId="4" fontId="2" fillId="0" borderId="2" xfId="0" applyNumberFormat="1" applyFont="1" applyBorder="1" applyAlignment="1">
      <alignment horizontal="justify" vertical="center" wrapText="1"/>
    </xf>
    <xf numFmtId="167" fontId="2" fillId="0" borderId="2" xfId="0" applyNumberFormat="1" applyFont="1" applyBorder="1" applyAlignment="1">
      <alignment horizontal="justify" vertical="center" wrapText="1"/>
    </xf>
    <xf numFmtId="168" fontId="0" fillId="0" borderId="2" xfId="0" applyBorder="1" applyAlignment="1">
      <alignment horizontal="justify" vertical="center" wrapText="1"/>
    </xf>
    <xf numFmtId="172" fontId="2" fillId="0" borderId="2" xfId="2" applyNumberFormat="1" applyFont="1" applyFill="1" applyBorder="1" applyAlignment="1">
      <alignment horizontal="justify" vertical="center" wrapText="1"/>
    </xf>
    <xf numFmtId="0" fontId="2" fillId="0" borderId="10" xfId="4" applyNumberFormat="1" applyFont="1" applyFill="1" applyBorder="1" applyAlignment="1">
      <alignment horizontal="justify" vertical="center" wrapText="1"/>
    </xf>
    <xf numFmtId="168" fontId="56" fillId="62" borderId="0" xfId="0" applyFont="1" applyFill="1" applyAlignment="1">
      <alignment horizontal="center" vertical="center"/>
    </xf>
    <xf numFmtId="179" fontId="2" fillId="0" borderId="2" xfId="7" applyNumberFormat="1" applyFont="1" applyFill="1" applyBorder="1">
      <alignment horizontal="center" vertical="center" wrapText="1"/>
    </xf>
    <xf numFmtId="43" fontId="55" fillId="0" borderId="2" xfId="1" applyFont="1" applyFill="1" applyBorder="1" applyAlignment="1">
      <alignment horizontal="justify" vertical="center"/>
    </xf>
    <xf numFmtId="43" fontId="55" fillId="0" borderId="2" xfId="1" applyFont="1" applyFill="1" applyBorder="1" applyAlignment="1">
      <alignment vertical="center"/>
    </xf>
    <xf numFmtId="43" fontId="2" fillId="0" borderId="2" xfId="1" applyFont="1" applyFill="1" applyBorder="1" applyAlignment="1">
      <alignment horizontal="left" vertical="center" wrapText="1"/>
    </xf>
    <xf numFmtId="43" fontId="55" fillId="0" borderId="2" xfId="1" applyFont="1" applyFill="1" applyBorder="1" applyAlignment="1">
      <alignment horizontal="right" vertical="center" wrapText="1"/>
    </xf>
    <xf numFmtId="43" fontId="55" fillId="0" borderId="2" xfId="1" applyFont="1" applyFill="1" applyBorder="1" applyAlignment="1">
      <alignment horizontal="center" vertical="center" wrapText="1"/>
    </xf>
    <xf numFmtId="168" fontId="4" fillId="61" borderId="2" xfId="0" applyFont="1" applyFill="1" applyBorder="1" applyAlignment="1">
      <alignment horizontal="center" vertical="center" wrapText="1"/>
    </xf>
    <xf numFmtId="0" fontId="4" fillId="60" borderId="32" xfId="0" applyNumberFormat="1" applyFont="1" applyFill="1" applyBorder="1" applyAlignment="1">
      <alignment horizontal="center" vertical="center" wrapText="1"/>
    </xf>
    <xf numFmtId="0" fontId="4" fillId="60" borderId="34" xfId="0" applyNumberFormat="1" applyFont="1" applyFill="1" applyBorder="1" applyAlignment="1">
      <alignment horizontal="center" vertical="center" wrapText="1"/>
    </xf>
    <xf numFmtId="0" fontId="4" fillId="6" borderId="5" xfId="0" applyNumberFormat="1" applyFont="1" applyFill="1" applyBorder="1" applyAlignment="1">
      <alignment horizontal="center" vertical="center" wrapText="1"/>
    </xf>
    <xf numFmtId="168" fontId="2" fillId="0" borderId="0" xfId="0" applyFont="1" applyAlignment="1">
      <alignment horizontal="left" vertical="center"/>
    </xf>
    <xf numFmtId="168" fontId="2" fillId="0" borderId="0" xfId="0" applyFont="1" applyAlignment="1">
      <alignment horizontal="center" vertical="center" wrapText="1"/>
    </xf>
    <xf numFmtId="1" fontId="2" fillId="0" borderId="0" xfId="0" applyNumberFormat="1" applyFont="1" applyAlignment="1">
      <alignment horizontal="center" vertical="center" wrapText="1"/>
    </xf>
    <xf numFmtId="168" fontId="57" fillId="0" borderId="0" xfId="0" applyFont="1" applyAlignment="1">
      <alignment horizontal="center" vertical="center"/>
    </xf>
    <xf numFmtId="0" fontId="2" fillId="0" borderId="35" xfId="0" applyNumberFormat="1" applyFont="1" applyBorder="1" applyAlignment="1">
      <alignment horizontal="center" vertical="center" wrapText="1"/>
    </xf>
    <xf numFmtId="168" fontId="2" fillId="0" borderId="41" xfId="0" applyFont="1" applyBorder="1" applyAlignment="1">
      <alignment horizontal="justify" vertical="center" wrapText="1"/>
    </xf>
    <xf numFmtId="0" fontId="4" fillId="60" borderId="38" xfId="0" applyNumberFormat="1" applyFont="1" applyFill="1" applyBorder="1" applyAlignment="1">
      <alignment horizontal="center" vertical="center" wrapText="1"/>
    </xf>
    <xf numFmtId="0" fontId="2" fillId="0" borderId="36" xfId="0" applyNumberFormat="1" applyFont="1" applyBorder="1" applyAlignment="1">
      <alignment horizontal="center" vertical="center" wrapText="1"/>
    </xf>
    <xf numFmtId="0" fontId="2" fillId="0" borderId="37" xfId="0" applyNumberFormat="1" applyFont="1" applyBorder="1" applyAlignment="1">
      <alignment horizontal="justify" vertical="center" wrapText="1"/>
    </xf>
    <xf numFmtId="168" fontId="3" fillId="0" borderId="3" xfId="0" applyFont="1" applyBorder="1" applyAlignment="1">
      <alignment horizontal="justify" vertical="center" wrapText="1"/>
    </xf>
    <xf numFmtId="0" fontId="2" fillId="0" borderId="7" xfId="0" applyNumberFormat="1" applyFont="1" applyBorder="1" applyAlignment="1">
      <alignment horizontal="center" vertical="center" wrapText="1"/>
    </xf>
    <xf numFmtId="0" fontId="51" fillId="0" borderId="40"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168" fontId="49" fillId="61" borderId="45" xfId="0" applyFont="1" applyFill="1" applyBorder="1" applyAlignment="1">
      <alignment horizontal="center" vertical="center" wrapText="1"/>
    </xf>
    <xf numFmtId="168" fontId="49" fillId="61" borderId="46" xfId="0" applyFont="1" applyFill="1" applyBorder="1" applyAlignment="1">
      <alignment horizontal="center" vertical="center" wrapText="1"/>
    </xf>
    <xf numFmtId="170" fontId="4" fillId="61" borderId="47" xfId="3" applyNumberFormat="1" applyFont="1" applyFill="1" applyBorder="1" applyAlignment="1">
      <alignment horizontal="center" vertical="center" wrapText="1"/>
    </xf>
    <xf numFmtId="168" fontId="59" fillId="0" borderId="0" xfId="0" applyFont="1"/>
    <xf numFmtId="168" fontId="49" fillId="64" borderId="4" xfId="0" applyFont="1" applyFill="1" applyBorder="1" applyAlignment="1">
      <alignment horizontal="justify" vertical="center" wrapText="1"/>
    </xf>
    <xf numFmtId="43" fontId="49" fillId="64" borderId="48" xfId="1" applyFont="1" applyFill="1" applyBorder="1" applyAlignment="1">
      <alignment vertical="center" wrapText="1"/>
    </xf>
    <xf numFmtId="43" fontId="49" fillId="63" borderId="51" xfId="1" applyFont="1" applyFill="1" applyBorder="1" applyAlignment="1">
      <alignment vertical="center" wrapText="1"/>
    </xf>
    <xf numFmtId="0" fontId="49" fillId="64" borderId="35" xfId="0" applyNumberFormat="1" applyFont="1" applyFill="1" applyBorder="1" applyAlignment="1">
      <alignment horizontal="center" vertical="center" wrapText="1"/>
    </xf>
    <xf numFmtId="1" fontId="26" fillId="0" borderId="36" xfId="1" applyNumberFormat="1" applyFont="1" applyBorder="1" applyAlignment="1">
      <alignment horizontal="center" vertical="center" wrapText="1"/>
    </xf>
    <xf numFmtId="168" fontId="26" fillId="0" borderId="37" xfId="0" applyFont="1" applyBorder="1" applyAlignment="1">
      <alignment horizontal="justify" vertical="center" wrapText="1"/>
    </xf>
    <xf numFmtId="43" fontId="0" fillId="0" borderId="52" xfId="1" applyFont="1" applyBorder="1" applyAlignment="1">
      <alignment vertical="center"/>
    </xf>
    <xf numFmtId="43" fontId="49" fillId="61" borderId="51" xfId="1" applyFont="1" applyFill="1" applyBorder="1" applyAlignment="1">
      <alignment vertical="center" wrapText="1"/>
    </xf>
    <xf numFmtId="0" fontId="4" fillId="6" borderId="32" xfId="0" applyNumberFormat="1" applyFont="1" applyFill="1" applyBorder="1" applyAlignment="1">
      <alignment horizontal="center" vertical="center" wrapText="1"/>
    </xf>
    <xf numFmtId="0" fontId="4" fillId="6" borderId="33" xfId="0" applyNumberFormat="1" applyFont="1" applyFill="1" applyBorder="1" applyAlignment="1">
      <alignment horizontal="center" vertical="center" wrapText="1"/>
    </xf>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7" xfId="0" applyFont="1" applyBorder="1" applyAlignment="1">
      <alignment horizontal="center" vertical="center" wrapText="1"/>
    </xf>
    <xf numFmtId="168" fontId="53" fillId="0" borderId="42" xfId="0" applyFont="1" applyBorder="1" applyAlignment="1">
      <alignment horizontal="center" vertical="center" wrapText="1"/>
    </xf>
    <xf numFmtId="168" fontId="53" fillId="0" borderId="0" xfId="0" applyFont="1" applyAlignment="1">
      <alignment horizontal="center" vertical="center" wrapText="1"/>
    </xf>
    <xf numFmtId="43" fontId="53" fillId="60" borderId="5" xfId="1" applyFont="1" applyFill="1" applyBorder="1" applyAlignment="1">
      <alignment horizontal="left" vertical="center" wrapText="1"/>
    </xf>
    <xf numFmtId="43" fontId="53" fillId="60" borderId="6" xfId="1" applyFont="1" applyFill="1" applyBorder="1" applyAlignment="1">
      <alignment horizontal="left" vertical="center" wrapText="1"/>
    </xf>
    <xf numFmtId="0" fontId="4" fillId="61" borderId="39" xfId="0" applyNumberFormat="1" applyFont="1" applyFill="1" applyBorder="1" applyAlignment="1">
      <alignment horizontal="center" vertical="center" wrapText="1"/>
    </xf>
    <xf numFmtId="0" fontId="4" fillId="61" borderId="7" xfId="0" applyNumberFormat="1" applyFont="1" applyFill="1" applyBorder="1" applyAlignment="1">
      <alignment horizontal="center" vertical="center" wrapText="1"/>
    </xf>
    <xf numFmtId="168" fontId="4" fillId="61" borderId="2" xfId="0" applyFont="1" applyFill="1" applyBorder="1" applyAlignment="1">
      <alignment horizontal="center" vertical="center" wrapText="1"/>
    </xf>
    <xf numFmtId="168" fontId="4" fillId="61" borderId="5" xfId="0" applyFont="1" applyFill="1" applyBorder="1" applyAlignment="1">
      <alignment horizontal="center" vertical="center" wrapText="1"/>
    </xf>
    <xf numFmtId="168" fontId="4" fillId="61" borderId="6" xfId="0" applyFont="1" applyFill="1" applyBorder="1" applyAlignment="1">
      <alignment horizontal="center" vertical="center" wrapText="1"/>
    </xf>
    <xf numFmtId="168" fontId="4" fillId="61" borderId="7" xfId="0" applyFont="1" applyFill="1" applyBorder="1" applyAlignment="1">
      <alignment horizontal="center" vertical="center" wrapText="1"/>
    </xf>
    <xf numFmtId="170" fontId="4" fillId="61" borderId="5" xfId="3" applyNumberFormat="1" applyFont="1" applyFill="1" applyBorder="1" applyAlignment="1">
      <alignment horizontal="center" vertical="center" wrapText="1"/>
    </xf>
    <xf numFmtId="170" fontId="4" fillId="61" borderId="6" xfId="3" applyNumberFormat="1" applyFont="1" applyFill="1" applyBorder="1" applyAlignment="1">
      <alignment horizontal="center" vertical="center" wrapText="1"/>
    </xf>
    <xf numFmtId="168" fontId="49" fillId="61" borderId="49" xfId="0" applyFont="1" applyFill="1" applyBorder="1" applyAlignment="1">
      <alignment horizontal="left" vertical="center" wrapText="1"/>
    </xf>
    <xf numFmtId="168" fontId="49" fillId="61" borderId="50" xfId="0" applyFont="1" applyFill="1" applyBorder="1" applyAlignment="1">
      <alignment horizontal="left" vertical="center" wrapText="1"/>
    </xf>
    <xf numFmtId="168" fontId="49" fillId="63" borderId="49" xfId="0" applyFont="1" applyFill="1" applyBorder="1" applyAlignment="1">
      <alignment horizontal="left" vertical="center" wrapText="1"/>
    </xf>
    <xf numFmtId="168" fontId="49" fillId="63" borderId="50" xfId="0" applyFont="1" applyFill="1" applyBorder="1" applyAlignment="1">
      <alignment horizontal="left" vertical="center" wrapText="1"/>
    </xf>
    <xf numFmtId="168" fontId="58" fillId="0" borderId="43" xfId="0" applyFont="1" applyBorder="1" applyAlignment="1">
      <alignment horizontal="center" vertical="center" wrapText="1"/>
    </xf>
    <xf numFmtId="168" fontId="58" fillId="0" borderId="44" xfId="0" applyFont="1" applyBorder="1" applyAlignment="1">
      <alignment horizontal="center" vertical="center" wrapText="1"/>
    </xf>
  </cellXfs>
  <cellStyles count="389">
    <cellStyle name="20% - Énfasis1" xfId="34" builtinId="30" customBuiltin="1"/>
    <cellStyle name="20% - Énfasis1 2" xfId="231" xr:uid="{00000000-0005-0000-0000-000001000000}"/>
    <cellStyle name="20% - Énfasis1 2 2" xfId="283" xr:uid="{00000000-0005-0000-0000-000002000000}"/>
    <cellStyle name="20% - Énfasis1 2 3" xfId="284" xr:uid="{00000000-0005-0000-0000-000003000000}"/>
    <cellStyle name="20% - Énfasis1 2 4" xfId="282" xr:uid="{00000000-0005-0000-0000-000004000000}"/>
    <cellStyle name="20% - Énfasis2" xfId="38" builtinId="34" customBuiltin="1"/>
    <cellStyle name="20% - Énfasis2 2" xfId="251" xr:uid="{00000000-0005-0000-0000-000006000000}"/>
    <cellStyle name="20% - Énfasis2 2 2" xfId="286" xr:uid="{00000000-0005-0000-0000-000007000000}"/>
    <cellStyle name="20% - Énfasis2 2 3" xfId="287" xr:uid="{00000000-0005-0000-0000-000008000000}"/>
    <cellStyle name="20% - Énfasis2 2 4" xfId="285" xr:uid="{00000000-0005-0000-0000-000009000000}"/>
    <cellStyle name="20% - Énfasis3" xfId="42" builtinId="38" customBuiltin="1"/>
    <cellStyle name="20% - Énfasis3 2" xfId="59" xr:uid="{00000000-0005-0000-0000-00000B000000}"/>
    <cellStyle name="20% - Énfasis3 2 2" xfId="289" xr:uid="{00000000-0005-0000-0000-00000C000000}"/>
    <cellStyle name="20% - Énfasis3 2 3" xfId="290" xr:uid="{00000000-0005-0000-0000-00000D000000}"/>
    <cellStyle name="20% - Énfasis3 2 4" xfId="288" xr:uid="{00000000-0005-0000-0000-00000E000000}"/>
    <cellStyle name="20% - Énfasis4" xfId="46" builtinId="42" customBuiltin="1"/>
    <cellStyle name="20% - Énfasis4 2" xfId="255" xr:uid="{00000000-0005-0000-0000-000010000000}"/>
    <cellStyle name="20% - Énfasis4 2 2" xfId="292" xr:uid="{00000000-0005-0000-0000-000011000000}"/>
    <cellStyle name="20% - Énfasis4 2 3" xfId="293" xr:uid="{00000000-0005-0000-0000-000012000000}"/>
    <cellStyle name="20% - Énfasis4 2 4" xfId="291" xr:uid="{00000000-0005-0000-0000-000013000000}"/>
    <cellStyle name="20% - Énfasis5" xfId="50" builtinId="46" customBuiltin="1"/>
    <cellStyle name="20% - Énfasis5 2" xfId="221" xr:uid="{00000000-0005-0000-0000-000015000000}"/>
    <cellStyle name="20% - Énfasis5 2 2" xfId="295" xr:uid="{00000000-0005-0000-0000-000016000000}"/>
    <cellStyle name="20% - Énfasis5 2 3" xfId="296" xr:uid="{00000000-0005-0000-0000-000017000000}"/>
    <cellStyle name="20% - Énfasis5 2 4" xfId="294" xr:uid="{00000000-0005-0000-0000-000018000000}"/>
    <cellStyle name="20% - Énfasis6" xfId="54" builtinId="50" customBuiltin="1"/>
    <cellStyle name="20% - Énfasis6 2" xfId="213" xr:uid="{00000000-0005-0000-0000-00001A000000}"/>
    <cellStyle name="20% - Énfasis6 2 2" xfId="298" xr:uid="{00000000-0005-0000-0000-00001B000000}"/>
    <cellStyle name="20% - Énfasis6 2 3" xfId="299" xr:uid="{00000000-0005-0000-0000-00001C000000}"/>
    <cellStyle name="20% - Énfasis6 2 4" xfId="297" xr:uid="{00000000-0005-0000-0000-00001D000000}"/>
    <cellStyle name="40% - Énfasis1" xfId="35" builtinId="31" customBuiltin="1"/>
    <cellStyle name="40% - Énfasis1 2" xfId="194" xr:uid="{00000000-0005-0000-0000-00001F000000}"/>
    <cellStyle name="40% - Énfasis1 2 2" xfId="301" xr:uid="{00000000-0005-0000-0000-000020000000}"/>
    <cellStyle name="40% - Énfasis1 2 3" xfId="302" xr:uid="{00000000-0005-0000-0000-000021000000}"/>
    <cellStyle name="40% - Énfasis1 2 4" xfId="300" xr:uid="{00000000-0005-0000-0000-000022000000}"/>
    <cellStyle name="40% - Énfasis2" xfId="39" builtinId="35" customBuiltin="1"/>
    <cellStyle name="40% - Énfasis2 2" xfId="249" xr:uid="{00000000-0005-0000-0000-000024000000}"/>
    <cellStyle name="40% - Énfasis2 2 2" xfId="304" xr:uid="{00000000-0005-0000-0000-000025000000}"/>
    <cellStyle name="40% - Énfasis2 2 3" xfId="305" xr:uid="{00000000-0005-0000-0000-000026000000}"/>
    <cellStyle name="40% - Énfasis2 2 4" xfId="303" xr:uid="{00000000-0005-0000-0000-000027000000}"/>
    <cellStyle name="40% - Énfasis3" xfId="43" builtinId="39" customBuiltin="1"/>
    <cellStyle name="40% - Énfasis3 2" xfId="258" xr:uid="{00000000-0005-0000-0000-000029000000}"/>
    <cellStyle name="40% - Énfasis3 2 2" xfId="307" xr:uid="{00000000-0005-0000-0000-00002A000000}"/>
    <cellStyle name="40% - Énfasis3 2 3" xfId="308" xr:uid="{00000000-0005-0000-0000-00002B000000}"/>
    <cellStyle name="40% - Énfasis3 2 4" xfId="306" xr:uid="{00000000-0005-0000-0000-00002C000000}"/>
    <cellStyle name="40% - Énfasis4" xfId="47" builtinId="43" customBuiltin="1"/>
    <cellStyle name="40% - Énfasis4 2" xfId="216" xr:uid="{00000000-0005-0000-0000-00002E000000}"/>
    <cellStyle name="40% - Énfasis4 2 2" xfId="310" xr:uid="{00000000-0005-0000-0000-00002F000000}"/>
    <cellStyle name="40% - Énfasis4 2 3" xfId="311" xr:uid="{00000000-0005-0000-0000-000030000000}"/>
    <cellStyle name="40% - Énfasis4 2 4" xfId="309" xr:uid="{00000000-0005-0000-0000-000031000000}"/>
    <cellStyle name="40% - Énfasis5" xfId="51" builtinId="47" customBuiltin="1"/>
    <cellStyle name="40% - Énfasis5 2" xfId="248" xr:uid="{00000000-0005-0000-0000-000033000000}"/>
    <cellStyle name="40% - Énfasis5 2 2" xfId="313" xr:uid="{00000000-0005-0000-0000-000034000000}"/>
    <cellStyle name="40% - Énfasis5 2 3" xfId="314" xr:uid="{00000000-0005-0000-0000-000035000000}"/>
    <cellStyle name="40% - Énfasis5 2 4" xfId="312" xr:uid="{00000000-0005-0000-0000-000036000000}"/>
    <cellStyle name="40% - Énfasis6" xfId="55" builtinId="51" customBuiltin="1"/>
    <cellStyle name="40% - Énfasis6 2" xfId="65" xr:uid="{00000000-0005-0000-0000-000038000000}"/>
    <cellStyle name="40% - Énfasis6 2 2" xfId="316" xr:uid="{00000000-0005-0000-0000-000039000000}"/>
    <cellStyle name="40% - Énfasis6 2 3" xfId="317" xr:uid="{00000000-0005-0000-0000-00003A000000}"/>
    <cellStyle name="40% - Énfasis6 2 4" xfId="315" xr:uid="{00000000-0005-0000-0000-00003B000000}"/>
    <cellStyle name="60% - Énfasis1" xfId="36" builtinId="32" customBuiltin="1"/>
    <cellStyle name="60% - Énfasis1 2" xfId="211" xr:uid="{00000000-0005-0000-0000-00003D000000}"/>
    <cellStyle name="60% - Énfasis1 2 2" xfId="318" xr:uid="{00000000-0005-0000-0000-00003E000000}"/>
    <cellStyle name="60% - Énfasis2" xfId="40" builtinId="36" customBuiltin="1"/>
    <cellStyle name="60% - Énfasis2 2" xfId="240" xr:uid="{00000000-0005-0000-0000-000040000000}"/>
    <cellStyle name="60% - Énfasis2 2 2" xfId="319" xr:uid="{00000000-0005-0000-0000-000041000000}"/>
    <cellStyle name="60% - Énfasis3" xfId="44" builtinId="40" customBuiltin="1"/>
    <cellStyle name="60% - Énfasis3 2" xfId="70" xr:uid="{00000000-0005-0000-0000-000043000000}"/>
    <cellStyle name="60% - Énfasis3 2 2" xfId="320" xr:uid="{00000000-0005-0000-0000-000044000000}"/>
    <cellStyle name="60% - Énfasis4" xfId="48" builtinId="44" customBuiltin="1"/>
    <cellStyle name="60% - Énfasis4 2" xfId="235" xr:uid="{00000000-0005-0000-0000-000046000000}"/>
    <cellStyle name="60% - Énfasis4 2 2" xfId="321" xr:uid="{00000000-0005-0000-0000-000047000000}"/>
    <cellStyle name="60% - Énfasis5" xfId="52" builtinId="48" customBuiltin="1"/>
    <cellStyle name="60% - Énfasis5 2" xfId="233" xr:uid="{00000000-0005-0000-0000-000049000000}"/>
    <cellStyle name="60% - Énfasis5 2 2" xfId="322" xr:uid="{00000000-0005-0000-0000-00004A000000}"/>
    <cellStyle name="60% - Énfasis6" xfId="56" builtinId="52" customBuiltin="1"/>
    <cellStyle name="60% - Énfasis6 2" xfId="78" xr:uid="{00000000-0005-0000-0000-00004C000000}"/>
    <cellStyle name="60% - Énfasis6 2 2" xfId="323" xr:uid="{00000000-0005-0000-0000-00004D000000}"/>
    <cellStyle name="Buena 2" xfId="324" xr:uid="{00000000-0005-0000-0000-00004E000000}"/>
    <cellStyle name="Cálculo" xfId="26" builtinId="22" customBuiltin="1"/>
    <cellStyle name="Cálculo 2" xfId="67" xr:uid="{00000000-0005-0000-0000-000050000000}"/>
    <cellStyle name="Cálculo 2 2" xfId="325" xr:uid="{00000000-0005-0000-0000-000051000000}"/>
    <cellStyle name="Celda de comprobación" xfId="28" builtinId="23" customBuiltin="1"/>
    <cellStyle name="Celda de comprobación 2" xfId="66" xr:uid="{00000000-0005-0000-0000-000053000000}"/>
    <cellStyle name="Celda de comprobación 2 2" xfId="326" xr:uid="{00000000-0005-0000-0000-000054000000}"/>
    <cellStyle name="Celda vinculada" xfId="27" builtinId="24" customBuiltin="1"/>
    <cellStyle name="Celda vinculada 2" xfId="169" xr:uid="{00000000-0005-0000-0000-000056000000}"/>
    <cellStyle name="Celda vinculada 2 2" xfId="327" xr:uid="{00000000-0005-0000-0000-000057000000}"/>
    <cellStyle name="Encabezado 1" xfId="18" builtinId="16" customBuiltin="1"/>
    <cellStyle name="Encabezado 4" xfId="21" builtinId="19" customBuiltin="1"/>
    <cellStyle name="Encabezado 4 2" xfId="199" xr:uid="{00000000-0005-0000-0000-00005A000000}"/>
    <cellStyle name="Encabezado 4 2 2" xfId="328" xr:uid="{00000000-0005-0000-0000-00005B000000}"/>
    <cellStyle name="Énfasis1" xfId="33" builtinId="29" customBuiltin="1"/>
    <cellStyle name="Énfasis1 2" xfId="222" xr:uid="{00000000-0005-0000-0000-00005D000000}"/>
    <cellStyle name="Énfasis1 2 2" xfId="329" xr:uid="{00000000-0005-0000-0000-00005E000000}"/>
    <cellStyle name="Énfasis2" xfId="37" builtinId="33" customBuiltin="1"/>
    <cellStyle name="Énfasis2 2" xfId="182" xr:uid="{00000000-0005-0000-0000-000060000000}"/>
    <cellStyle name="Énfasis2 2 2" xfId="330" xr:uid="{00000000-0005-0000-0000-000061000000}"/>
    <cellStyle name="Énfasis3" xfId="41" builtinId="37" customBuiltin="1"/>
    <cellStyle name="Énfasis3 2" xfId="171" xr:uid="{00000000-0005-0000-0000-000063000000}"/>
    <cellStyle name="Énfasis3 2 2" xfId="331" xr:uid="{00000000-0005-0000-0000-000064000000}"/>
    <cellStyle name="Énfasis4" xfId="45" builtinId="41" customBuiltin="1"/>
    <cellStyle name="Énfasis4 2" xfId="186" xr:uid="{00000000-0005-0000-0000-000066000000}"/>
    <cellStyle name="Énfasis4 2 2" xfId="332" xr:uid="{00000000-0005-0000-0000-000067000000}"/>
    <cellStyle name="Énfasis5" xfId="49" builtinId="45" customBuiltin="1"/>
    <cellStyle name="Énfasis5 2" xfId="263" xr:uid="{00000000-0005-0000-0000-000069000000}"/>
    <cellStyle name="Énfasis5 2 2" xfId="333" xr:uid="{00000000-0005-0000-0000-00006A000000}"/>
    <cellStyle name="Énfasis6" xfId="53" builtinId="49" customBuiltin="1"/>
    <cellStyle name="Énfasis6 2" xfId="246" xr:uid="{00000000-0005-0000-0000-00006C000000}"/>
    <cellStyle name="Énfasis6 2 2" xfId="334" xr:uid="{00000000-0005-0000-0000-00006D000000}"/>
    <cellStyle name="Entrada" xfId="24" builtinId="20" customBuiltin="1"/>
    <cellStyle name="Entrada 2" xfId="179" xr:uid="{00000000-0005-0000-0000-00006F000000}"/>
    <cellStyle name="Entrada 2 2" xfId="335" xr:uid="{00000000-0005-0000-0000-000070000000}"/>
    <cellStyle name="Euro" xfId="336" xr:uid="{00000000-0005-0000-0000-000071000000}"/>
    <cellStyle name="Euro 2" xfId="337" xr:uid="{00000000-0005-0000-0000-000072000000}"/>
    <cellStyle name="Excel Built-in Normal 2" xfId="117" xr:uid="{00000000-0005-0000-0000-000073000000}"/>
    <cellStyle name="Excel Built-in Normal 2 2" xfId="242" xr:uid="{00000000-0005-0000-0000-000074000000}"/>
    <cellStyle name="F2" xfId="338" xr:uid="{00000000-0005-0000-0000-000075000000}"/>
    <cellStyle name="F3" xfId="339" xr:uid="{00000000-0005-0000-0000-000076000000}"/>
    <cellStyle name="F4" xfId="340" xr:uid="{00000000-0005-0000-0000-000077000000}"/>
    <cellStyle name="F5" xfId="341" xr:uid="{00000000-0005-0000-0000-000078000000}"/>
    <cellStyle name="F6" xfId="342" xr:uid="{00000000-0005-0000-0000-000079000000}"/>
    <cellStyle name="F7" xfId="343" xr:uid="{00000000-0005-0000-0000-00007A000000}"/>
    <cellStyle name="F8" xfId="344" xr:uid="{00000000-0005-0000-0000-00007B000000}"/>
    <cellStyle name="Hipervínculo 2" xfId="190" xr:uid="{00000000-0005-0000-0000-00007C000000}"/>
    <cellStyle name="Incorrecto" xfId="22" builtinId="27" customBuiltin="1"/>
    <cellStyle name="Incorrecto 2" xfId="252" xr:uid="{00000000-0005-0000-0000-00007E000000}"/>
    <cellStyle name="Incorrecto 2 2" xfId="345" xr:uid="{00000000-0005-0000-0000-00007F000000}"/>
    <cellStyle name="KPT04" xfId="4" xr:uid="{00000000-0005-0000-0000-000080000000}"/>
    <cellStyle name="KPT04 2" xfId="7" xr:uid="{00000000-0005-0000-0000-000081000000}"/>
    <cellStyle name="KPT04 2 2" xfId="259" xr:uid="{00000000-0005-0000-0000-000082000000}"/>
    <cellStyle name="KPT04 3" xfId="261" xr:uid="{00000000-0005-0000-0000-000083000000}"/>
    <cellStyle name="KPT04_Main" xfId="12" xr:uid="{00000000-0005-0000-0000-000084000000}"/>
    <cellStyle name="Millares" xfId="1" builtinId="3"/>
    <cellStyle name="Millares [0]" xfId="387" builtinId="6"/>
    <cellStyle name="Millares [0] 2" xfId="95" xr:uid="{00000000-0005-0000-0000-000087000000}"/>
    <cellStyle name="Millares [0] 2 2" xfId="158" xr:uid="{00000000-0005-0000-0000-000088000000}"/>
    <cellStyle name="Millares [0] 3" xfId="121" xr:uid="{00000000-0005-0000-0000-000089000000}"/>
    <cellStyle name="Millares [0] 4" xfId="162" xr:uid="{00000000-0005-0000-0000-00008A000000}"/>
    <cellStyle name="Millares 2" xfId="3" xr:uid="{00000000-0005-0000-0000-00008B000000}"/>
    <cellStyle name="Millares 2 2" xfId="6" xr:uid="{00000000-0005-0000-0000-00008C000000}"/>
    <cellStyle name="Millares 2 2 2" xfId="10" xr:uid="{00000000-0005-0000-0000-00008D000000}"/>
    <cellStyle name="Millares 2 2 2 2" xfId="93" xr:uid="{00000000-0005-0000-0000-00008E000000}"/>
    <cellStyle name="Millares 2 2 2 2 2" xfId="157" xr:uid="{00000000-0005-0000-0000-00008F000000}"/>
    <cellStyle name="Millares 2 3" xfId="346" xr:uid="{00000000-0005-0000-0000-000090000000}"/>
    <cellStyle name="Millares 2 4" xfId="101" xr:uid="{00000000-0005-0000-0000-000091000000}"/>
    <cellStyle name="Millares 2 4 2" xfId="164" xr:uid="{00000000-0005-0000-0000-000092000000}"/>
    <cellStyle name="Millares 3" xfId="113" xr:uid="{00000000-0005-0000-0000-000093000000}"/>
    <cellStyle name="Millares 3 2" xfId="122" xr:uid="{00000000-0005-0000-0000-000094000000}"/>
    <cellStyle name="Millares 3 3" xfId="119" xr:uid="{00000000-0005-0000-0000-000095000000}"/>
    <cellStyle name="Millares 4" xfId="118" xr:uid="{00000000-0005-0000-0000-000096000000}"/>
    <cellStyle name="Millares 6" xfId="120" xr:uid="{00000000-0005-0000-0000-000097000000}"/>
    <cellStyle name="Moneda [0]" xfId="2" builtinId="7"/>
    <cellStyle name="Moneda [0] 2" xfId="99" xr:uid="{00000000-0005-0000-0000-000099000000}"/>
    <cellStyle name="Moneda [0] 2 2" xfId="123" xr:uid="{00000000-0005-0000-0000-00009A000000}"/>
    <cellStyle name="Moneda [0] 2 2 2" xfId="166" xr:uid="{00000000-0005-0000-0000-00009B000000}"/>
    <cellStyle name="Moneda [0] 2 3" xfId="161" xr:uid="{00000000-0005-0000-0000-00009C000000}"/>
    <cellStyle name="Moneda 10" xfId="137" xr:uid="{00000000-0005-0000-0000-00009D000000}"/>
    <cellStyle name="Moneda 11" xfId="142" xr:uid="{00000000-0005-0000-0000-00009E000000}"/>
    <cellStyle name="Moneda 12" xfId="143" xr:uid="{00000000-0005-0000-0000-00009F000000}"/>
    <cellStyle name="Moneda 13" xfId="144" xr:uid="{00000000-0005-0000-0000-0000A0000000}"/>
    <cellStyle name="Moneda 14" xfId="145" xr:uid="{00000000-0005-0000-0000-0000A1000000}"/>
    <cellStyle name="Moneda 15" xfId="146" xr:uid="{00000000-0005-0000-0000-0000A2000000}"/>
    <cellStyle name="Moneda 16" xfId="147" xr:uid="{00000000-0005-0000-0000-0000A3000000}"/>
    <cellStyle name="Moneda 2" xfId="9" xr:uid="{00000000-0005-0000-0000-0000A4000000}"/>
    <cellStyle name="Moneda 2 2" xfId="100" xr:uid="{00000000-0005-0000-0000-0000A5000000}"/>
    <cellStyle name="Moneda 2 3" xfId="98" xr:uid="{00000000-0005-0000-0000-0000A6000000}"/>
    <cellStyle name="Moneda 2 4" xfId="129" xr:uid="{00000000-0005-0000-0000-0000A7000000}"/>
    <cellStyle name="Moneda 2 5" xfId="160" xr:uid="{00000000-0005-0000-0000-0000A8000000}"/>
    <cellStyle name="Moneda 3" xfId="11" xr:uid="{00000000-0005-0000-0000-0000A9000000}"/>
    <cellStyle name="Moneda 3 2" xfId="116" xr:uid="{00000000-0005-0000-0000-0000AA000000}"/>
    <cellStyle name="Moneda 3 3" xfId="386" xr:uid="{00000000-0005-0000-0000-0000AB000000}"/>
    <cellStyle name="Moneda 4" xfId="128" xr:uid="{00000000-0005-0000-0000-0000AC000000}"/>
    <cellStyle name="Moneda 5" xfId="132" xr:uid="{00000000-0005-0000-0000-0000AD000000}"/>
    <cellStyle name="Moneda 6" xfId="133" xr:uid="{00000000-0005-0000-0000-0000AE000000}"/>
    <cellStyle name="Moneda 7" xfId="134" xr:uid="{00000000-0005-0000-0000-0000AF000000}"/>
    <cellStyle name="Moneda 8" xfId="136" xr:uid="{00000000-0005-0000-0000-0000B0000000}"/>
    <cellStyle name="Moneda 9" xfId="135" xr:uid="{00000000-0005-0000-0000-0000B1000000}"/>
    <cellStyle name="Neutral" xfId="23" builtinId="28" customBuiltin="1"/>
    <cellStyle name="Neutral 2" xfId="75" xr:uid="{00000000-0005-0000-0000-0000B3000000}"/>
    <cellStyle name="Neutral 2 2" xfId="347" xr:uid="{00000000-0005-0000-0000-0000B4000000}"/>
    <cellStyle name="Normal" xfId="0" builtinId="0"/>
    <cellStyle name="Normal 10" xfId="92" xr:uid="{00000000-0005-0000-0000-0000B6000000}"/>
    <cellStyle name="Normal 10 2" xfId="192" xr:uid="{00000000-0005-0000-0000-0000B7000000}"/>
    <cellStyle name="Normal 10 3" xfId="385" xr:uid="{00000000-0005-0000-0000-0000B8000000}"/>
    <cellStyle name="Normal 11" xfId="105" xr:uid="{00000000-0005-0000-0000-0000B9000000}"/>
    <cellStyle name="Normal 11 2" xfId="245" xr:uid="{00000000-0005-0000-0000-0000BA000000}"/>
    <cellStyle name="Normal 12" xfId="102" xr:uid="{00000000-0005-0000-0000-0000BB000000}"/>
    <cellStyle name="Normal 12 2" xfId="206" xr:uid="{00000000-0005-0000-0000-0000BC000000}"/>
    <cellStyle name="Normal 13" xfId="88" xr:uid="{00000000-0005-0000-0000-0000BD000000}"/>
    <cellStyle name="Normal 13 2" xfId="225" xr:uid="{00000000-0005-0000-0000-0000BE000000}"/>
    <cellStyle name="Normal 14" xfId="90" xr:uid="{00000000-0005-0000-0000-0000BF000000}"/>
    <cellStyle name="Normal 14 2" xfId="236" xr:uid="{00000000-0005-0000-0000-0000C0000000}"/>
    <cellStyle name="Normal 14 3" xfId="348" xr:uid="{00000000-0005-0000-0000-0000C1000000}"/>
    <cellStyle name="Normal 15" xfId="103" xr:uid="{00000000-0005-0000-0000-0000C2000000}"/>
    <cellStyle name="Normal 15 2" xfId="214" xr:uid="{00000000-0005-0000-0000-0000C3000000}"/>
    <cellStyle name="Normal 16" xfId="86" xr:uid="{00000000-0005-0000-0000-0000C4000000}"/>
    <cellStyle name="Normal 16 2" xfId="72" xr:uid="{00000000-0005-0000-0000-0000C5000000}"/>
    <cellStyle name="Normal 17" xfId="104" xr:uid="{00000000-0005-0000-0000-0000C6000000}"/>
    <cellStyle name="Normal 17 2" xfId="176" xr:uid="{00000000-0005-0000-0000-0000C7000000}"/>
    <cellStyle name="Normal 18" xfId="85" xr:uid="{00000000-0005-0000-0000-0000C8000000}"/>
    <cellStyle name="Normal 18 2" xfId="185" xr:uid="{00000000-0005-0000-0000-0000C9000000}"/>
    <cellStyle name="Normal 19" xfId="106" xr:uid="{00000000-0005-0000-0000-0000CA000000}"/>
    <cellStyle name="Normal 19 2" xfId="202" xr:uid="{00000000-0005-0000-0000-0000CB000000}"/>
    <cellStyle name="Normal 2" xfId="5" xr:uid="{00000000-0005-0000-0000-0000CC000000}"/>
    <cellStyle name="Normal 2 2" xfId="8" xr:uid="{00000000-0005-0000-0000-0000CD000000}"/>
    <cellStyle name="Normal 2 2 10" xfId="350" xr:uid="{00000000-0005-0000-0000-0000CE000000}"/>
    <cellStyle name="Normal 2 2 2" xfId="13" xr:uid="{00000000-0005-0000-0000-0000CF000000}"/>
    <cellStyle name="Normal 2 2 2 2" xfId="130" xr:uid="{00000000-0005-0000-0000-0000D0000000}"/>
    <cellStyle name="Normal 2 2 2 2 2" xfId="228" xr:uid="{00000000-0005-0000-0000-0000D1000000}"/>
    <cellStyle name="Normal 2 2 2 2 2 2" xfId="354" xr:uid="{00000000-0005-0000-0000-0000D2000000}"/>
    <cellStyle name="Normal 2 2 2 2 2 3" xfId="353" xr:uid="{00000000-0005-0000-0000-0000D3000000}"/>
    <cellStyle name="Normal 2 2 2 2 3" xfId="352" xr:uid="{00000000-0005-0000-0000-0000D4000000}"/>
    <cellStyle name="Normal 2 2 2 3" xfId="210" xr:uid="{00000000-0005-0000-0000-0000D5000000}"/>
    <cellStyle name="Normal 2 2 2 3 2" xfId="355" xr:uid="{00000000-0005-0000-0000-0000D6000000}"/>
    <cellStyle name="Normal 2 2 2 4" xfId="356" xr:uid="{00000000-0005-0000-0000-0000D7000000}"/>
    <cellStyle name="Normal 2 2 2 5" xfId="351" xr:uid="{00000000-0005-0000-0000-0000D8000000}"/>
    <cellStyle name="Normal 2 2 3" xfId="219" xr:uid="{00000000-0005-0000-0000-0000D9000000}"/>
    <cellStyle name="Normal 2 2 3 2" xfId="357" xr:uid="{00000000-0005-0000-0000-0000DA000000}"/>
    <cellStyle name="Normal 2 2 7" xfId="358" xr:uid="{00000000-0005-0000-0000-0000DB000000}"/>
    <cellStyle name="Normal 2 2 8" xfId="359" xr:uid="{00000000-0005-0000-0000-0000DC000000}"/>
    <cellStyle name="Normal 2 2 9" xfId="360" xr:uid="{00000000-0005-0000-0000-0000DD000000}"/>
    <cellStyle name="Normal 2 3" xfId="14" xr:uid="{00000000-0005-0000-0000-0000DE000000}"/>
    <cellStyle name="Normal 2 3 2" xfId="124" xr:uid="{00000000-0005-0000-0000-0000DF000000}"/>
    <cellStyle name="Normal 2 3 2 2" xfId="362" xr:uid="{00000000-0005-0000-0000-0000E0000000}"/>
    <cellStyle name="Normal 2 3 3" xfId="165" xr:uid="{00000000-0005-0000-0000-0000E1000000}"/>
    <cellStyle name="Normal 2 3 3 2" xfId="268" xr:uid="{00000000-0005-0000-0000-0000E2000000}"/>
    <cellStyle name="Normal 2 3 3 3" xfId="363" xr:uid="{00000000-0005-0000-0000-0000E3000000}"/>
    <cellStyle name="Normal 2 3 3 4" xfId="388" xr:uid="{00000000-0005-0000-0000-0000E4000000}"/>
    <cellStyle name="Normal 2 3 4" xfId="244" xr:uid="{00000000-0005-0000-0000-0000E5000000}"/>
    <cellStyle name="Normal 2 3 5" xfId="361" xr:uid="{00000000-0005-0000-0000-0000E6000000}"/>
    <cellStyle name="Normal 2 4" xfId="115" xr:uid="{00000000-0005-0000-0000-0000E7000000}"/>
    <cellStyle name="Normal 2 4 2" xfId="195" xr:uid="{00000000-0005-0000-0000-0000E8000000}"/>
    <cellStyle name="Normal 2 4 3" xfId="364" xr:uid="{00000000-0005-0000-0000-0000E9000000}"/>
    <cellStyle name="Normal 2 5" xfId="365" xr:uid="{00000000-0005-0000-0000-0000EA000000}"/>
    <cellStyle name="Normal 2 6" xfId="366" xr:uid="{00000000-0005-0000-0000-0000EB000000}"/>
    <cellStyle name="Normal 2 7" xfId="349" xr:uid="{00000000-0005-0000-0000-0000EC000000}"/>
    <cellStyle name="Normal 2_FUT INGRESOS 2010 Y FLS Y TESORERIA FLS AGOSTO 26" xfId="367" xr:uid="{00000000-0005-0000-0000-0000ED000000}"/>
    <cellStyle name="Normal 20" xfId="84" xr:uid="{00000000-0005-0000-0000-0000EE000000}"/>
    <cellStyle name="Normal 20 2" xfId="232" xr:uid="{00000000-0005-0000-0000-0000EF000000}"/>
    <cellStyle name="Normal 21" xfId="89" xr:uid="{00000000-0005-0000-0000-0000F0000000}"/>
    <cellStyle name="Normal 21 2" xfId="207" xr:uid="{00000000-0005-0000-0000-0000F1000000}"/>
    <cellStyle name="Normal 22" xfId="87" xr:uid="{00000000-0005-0000-0000-0000F2000000}"/>
    <cellStyle name="Normal 22 2" xfId="191" xr:uid="{00000000-0005-0000-0000-0000F3000000}"/>
    <cellStyle name="Normal 23" xfId="107" xr:uid="{00000000-0005-0000-0000-0000F4000000}"/>
    <cellStyle name="Normal 23 2" xfId="237" xr:uid="{00000000-0005-0000-0000-0000F5000000}"/>
    <cellStyle name="Normal 24" xfId="108" xr:uid="{00000000-0005-0000-0000-0000F6000000}"/>
    <cellStyle name="Normal 24 2" xfId="266" xr:uid="{00000000-0005-0000-0000-0000F7000000}"/>
    <cellStyle name="Normal 25" xfId="109" xr:uid="{00000000-0005-0000-0000-0000F8000000}"/>
    <cellStyle name="Normal 25 2" xfId="238" xr:uid="{00000000-0005-0000-0000-0000F9000000}"/>
    <cellStyle name="Normal 26" xfId="110" xr:uid="{00000000-0005-0000-0000-0000FA000000}"/>
    <cellStyle name="Normal 26 2" xfId="256" xr:uid="{00000000-0005-0000-0000-0000FB000000}"/>
    <cellStyle name="Normal 27" xfId="111" xr:uid="{00000000-0005-0000-0000-0000FC000000}"/>
    <cellStyle name="Normal 27 2" xfId="239" xr:uid="{00000000-0005-0000-0000-0000FD000000}"/>
    <cellStyle name="Normal 28" xfId="112" xr:uid="{00000000-0005-0000-0000-0000FE000000}"/>
    <cellStyle name="Normal 28 2" xfId="76" xr:uid="{00000000-0005-0000-0000-0000FF000000}"/>
    <cellStyle name="Normal 29" xfId="114" xr:uid="{00000000-0005-0000-0000-000000010000}"/>
    <cellStyle name="Normal 29 2" xfId="73" xr:uid="{00000000-0005-0000-0000-000001010000}"/>
    <cellStyle name="Normal 3" xfId="15" xr:uid="{00000000-0005-0000-0000-000002010000}"/>
    <cellStyle name="Normal 3 2" xfId="125" xr:uid="{00000000-0005-0000-0000-000003010000}"/>
    <cellStyle name="Normal 3 2 2" xfId="208" xr:uid="{00000000-0005-0000-0000-000004010000}"/>
    <cellStyle name="Normal 3 2 3" xfId="368" xr:uid="{00000000-0005-0000-0000-000005010000}"/>
    <cellStyle name="Normal 3 3" xfId="262" xr:uid="{00000000-0005-0000-0000-000006010000}"/>
    <cellStyle name="Normal 3 4" xfId="275" xr:uid="{00000000-0005-0000-0000-000007010000}"/>
    <cellStyle name="Normal 3 5" xfId="61" xr:uid="{00000000-0005-0000-0000-000008010000}"/>
    <cellStyle name="Normal 30" xfId="126" xr:uid="{00000000-0005-0000-0000-000009010000}"/>
    <cellStyle name="Normal 30 2" xfId="174" xr:uid="{00000000-0005-0000-0000-00000A010000}"/>
    <cellStyle name="Normal 31" xfId="140" xr:uid="{00000000-0005-0000-0000-00000B010000}"/>
    <cellStyle name="Normal 31 2" xfId="80" xr:uid="{00000000-0005-0000-0000-00000C010000}"/>
    <cellStyle name="Normal 32" xfId="138" xr:uid="{00000000-0005-0000-0000-00000D010000}"/>
    <cellStyle name="Normal 32 2" xfId="71" xr:uid="{00000000-0005-0000-0000-00000E010000}"/>
    <cellStyle name="Normal 33" xfId="139" xr:uid="{00000000-0005-0000-0000-00000F010000}"/>
    <cellStyle name="Normal 33 2" xfId="198" xr:uid="{00000000-0005-0000-0000-000010010000}"/>
    <cellStyle name="Normal 34" xfId="131" xr:uid="{00000000-0005-0000-0000-000011010000}"/>
    <cellStyle name="Normal 34 2" xfId="178" xr:uid="{00000000-0005-0000-0000-000012010000}"/>
    <cellStyle name="Normal 35" xfId="141" xr:uid="{00000000-0005-0000-0000-000013010000}"/>
    <cellStyle name="Normal 35 2" xfId="172" xr:uid="{00000000-0005-0000-0000-000014010000}"/>
    <cellStyle name="Normal 36" xfId="148" xr:uid="{00000000-0005-0000-0000-000015010000}"/>
    <cellStyle name="Normal 36 2" xfId="196" xr:uid="{00000000-0005-0000-0000-000016010000}"/>
    <cellStyle name="Normal 37" xfId="156" xr:uid="{00000000-0005-0000-0000-000017010000}"/>
    <cellStyle name="Normal 37 2" xfId="215" xr:uid="{00000000-0005-0000-0000-000018010000}"/>
    <cellStyle name="Normal 38" xfId="151" xr:uid="{00000000-0005-0000-0000-000019010000}"/>
    <cellStyle name="Normal 38 2" xfId="241" xr:uid="{00000000-0005-0000-0000-00001A010000}"/>
    <cellStyle name="Normal 39" xfId="159" xr:uid="{00000000-0005-0000-0000-00001B010000}"/>
    <cellStyle name="Normal 39 2" xfId="187" xr:uid="{00000000-0005-0000-0000-00001C010000}"/>
    <cellStyle name="Normal 4" xfId="82" xr:uid="{00000000-0005-0000-0000-00001D010000}"/>
    <cellStyle name="Normal 4 2" xfId="260" xr:uid="{00000000-0005-0000-0000-00001E010000}"/>
    <cellStyle name="Normal 4 2 2" xfId="370" xr:uid="{00000000-0005-0000-0000-00001F010000}"/>
    <cellStyle name="Normal 4 3" xfId="369" xr:uid="{00000000-0005-0000-0000-000020010000}"/>
    <cellStyle name="Normal 40" xfId="149" xr:uid="{00000000-0005-0000-0000-000021010000}"/>
    <cellStyle name="Normal 40 2" xfId="177" xr:uid="{00000000-0005-0000-0000-000022010000}"/>
    <cellStyle name="Normal 41" xfId="163" xr:uid="{00000000-0005-0000-0000-000023010000}"/>
    <cellStyle name="Normal 41 2" xfId="220" xr:uid="{00000000-0005-0000-0000-000024010000}"/>
    <cellStyle name="Normal 42" xfId="167" xr:uid="{00000000-0005-0000-0000-000025010000}"/>
    <cellStyle name="Normal 42 2" xfId="270" xr:uid="{00000000-0005-0000-0000-000026010000}"/>
    <cellStyle name="Normal 43" xfId="155" xr:uid="{00000000-0005-0000-0000-000027010000}"/>
    <cellStyle name="Normal 43 2" xfId="181" xr:uid="{00000000-0005-0000-0000-000028010000}"/>
    <cellStyle name="Normal 44" xfId="152" xr:uid="{00000000-0005-0000-0000-000029010000}"/>
    <cellStyle name="Normal 44 2" xfId="183" xr:uid="{00000000-0005-0000-0000-00002A010000}"/>
    <cellStyle name="Normal 45" xfId="153" xr:uid="{00000000-0005-0000-0000-00002B010000}"/>
    <cellStyle name="Normal 45 2" xfId="257" xr:uid="{00000000-0005-0000-0000-00002C010000}"/>
    <cellStyle name="Normal 46" xfId="150" xr:uid="{00000000-0005-0000-0000-00002D010000}"/>
    <cellStyle name="Normal 46 2" xfId="234" xr:uid="{00000000-0005-0000-0000-00002E010000}"/>
    <cellStyle name="Normal 47" xfId="154" xr:uid="{00000000-0005-0000-0000-00002F010000}"/>
    <cellStyle name="Normal 47 2" xfId="230" xr:uid="{00000000-0005-0000-0000-000030010000}"/>
    <cellStyle name="Normal 48" xfId="58" xr:uid="{00000000-0005-0000-0000-000031010000}"/>
    <cellStyle name="Normal 49" xfId="69" xr:uid="{00000000-0005-0000-0000-000032010000}"/>
    <cellStyle name="Normal 5" xfId="91" xr:uid="{00000000-0005-0000-0000-000033010000}"/>
    <cellStyle name="Normal 5 2" xfId="184" xr:uid="{00000000-0005-0000-0000-000034010000}"/>
    <cellStyle name="Normal 5 3" xfId="371" xr:uid="{00000000-0005-0000-0000-000035010000}"/>
    <cellStyle name="Normal 50" xfId="77" xr:uid="{00000000-0005-0000-0000-000036010000}"/>
    <cellStyle name="Normal 51" xfId="209" xr:uid="{00000000-0005-0000-0000-000037010000}"/>
    <cellStyle name="Normal 52" xfId="217" xr:uid="{00000000-0005-0000-0000-000038010000}"/>
    <cellStyle name="Normal 53" xfId="173" xr:uid="{00000000-0005-0000-0000-000039010000}"/>
    <cellStyle name="Normal 54" xfId="189" xr:uid="{00000000-0005-0000-0000-00003A010000}"/>
    <cellStyle name="Normal 55" xfId="212" xr:uid="{00000000-0005-0000-0000-00003B010000}"/>
    <cellStyle name="Normal 56" xfId="168" xr:uid="{00000000-0005-0000-0000-00003C010000}"/>
    <cellStyle name="Normal 57" xfId="224" xr:uid="{00000000-0005-0000-0000-00003D010000}"/>
    <cellStyle name="Normal 58" xfId="74" xr:uid="{00000000-0005-0000-0000-00003E010000}"/>
    <cellStyle name="Normal 59" xfId="205" xr:uid="{00000000-0005-0000-0000-00003F010000}"/>
    <cellStyle name="Normal 6" xfId="17" xr:uid="{00000000-0005-0000-0000-000040010000}"/>
    <cellStyle name="Normal 6 2" xfId="68" xr:uid="{00000000-0005-0000-0000-000041010000}"/>
    <cellStyle name="Normal 60" xfId="226" xr:uid="{00000000-0005-0000-0000-000042010000}"/>
    <cellStyle name="Normal 61" xfId="193" xr:uid="{00000000-0005-0000-0000-000043010000}"/>
    <cellStyle name="Normal 62" xfId="180" xr:uid="{00000000-0005-0000-0000-000044010000}"/>
    <cellStyle name="Normal 63" xfId="79" xr:uid="{00000000-0005-0000-0000-000045010000}"/>
    <cellStyle name="Normal 64" xfId="170" xr:uid="{00000000-0005-0000-0000-000046010000}"/>
    <cellStyle name="Normal 65" xfId="197" xr:uid="{00000000-0005-0000-0000-000047010000}"/>
    <cellStyle name="Normal 66" xfId="204" xr:uid="{00000000-0005-0000-0000-000048010000}"/>
    <cellStyle name="Normal 67" xfId="227" xr:uid="{00000000-0005-0000-0000-000049010000}"/>
    <cellStyle name="Normal 68" xfId="254" xr:uid="{00000000-0005-0000-0000-00004A010000}"/>
    <cellStyle name="Normal 69" xfId="264" xr:uid="{00000000-0005-0000-0000-00004B010000}"/>
    <cellStyle name="Normal 7" xfId="16" xr:uid="{00000000-0005-0000-0000-00004C010000}"/>
    <cellStyle name="Normal 7 2" xfId="223" xr:uid="{00000000-0005-0000-0000-00004D010000}"/>
    <cellStyle name="Normal 7 3" xfId="372" xr:uid="{00000000-0005-0000-0000-00004E010000}"/>
    <cellStyle name="Normal 70" xfId="265" xr:uid="{00000000-0005-0000-0000-00004F010000}"/>
    <cellStyle name="Normal 71" xfId="243" xr:uid="{00000000-0005-0000-0000-000050010000}"/>
    <cellStyle name="Normal 72" xfId="200" xr:uid="{00000000-0005-0000-0000-000051010000}"/>
    <cellStyle name="Normal 73" xfId="276" xr:uid="{00000000-0005-0000-0000-000052010000}"/>
    <cellStyle name="Normal 74" xfId="269" xr:uid="{00000000-0005-0000-0000-000053010000}"/>
    <cellStyle name="Normal 75" xfId="278" xr:uid="{00000000-0005-0000-0000-000054010000}"/>
    <cellStyle name="Normal 76" xfId="64" xr:uid="{00000000-0005-0000-0000-000055010000}"/>
    <cellStyle name="Normal 77" xfId="273" xr:uid="{00000000-0005-0000-0000-000056010000}"/>
    <cellStyle name="Normal 78" xfId="274" xr:uid="{00000000-0005-0000-0000-000057010000}"/>
    <cellStyle name="Normal 79" xfId="271" xr:uid="{00000000-0005-0000-0000-000058010000}"/>
    <cellStyle name="Normal 8" xfId="83" xr:uid="{00000000-0005-0000-0000-000059010000}"/>
    <cellStyle name="Normal 8 2" xfId="81" xr:uid="{00000000-0005-0000-0000-00005A010000}"/>
    <cellStyle name="Normal 8 3" xfId="373" xr:uid="{00000000-0005-0000-0000-00005B010000}"/>
    <cellStyle name="Normal 80" xfId="277" xr:uid="{00000000-0005-0000-0000-00005C010000}"/>
    <cellStyle name="Normal 81" xfId="175" xr:uid="{00000000-0005-0000-0000-00005D010000}"/>
    <cellStyle name="Normal 82" xfId="272" xr:uid="{00000000-0005-0000-0000-00005E010000}"/>
    <cellStyle name="Normal 83" xfId="253" xr:uid="{00000000-0005-0000-0000-00005F010000}"/>
    <cellStyle name="Normal 84" xfId="279" xr:uid="{00000000-0005-0000-0000-000060010000}"/>
    <cellStyle name="Normal 85" xfId="57" xr:uid="{00000000-0005-0000-0000-000061010000}"/>
    <cellStyle name="Normal 86" xfId="280" xr:uid="{00000000-0005-0000-0000-000062010000}"/>
    <cellStyle name="Normal 9" xfId="97" xr:uid="{00000000-0005-0000-0000-000063010000}"/>
    <cellStyle name="Normal 9 2" xfId="60" xr:uid="{00000000-0005-0000-0000-000064010000}"/>
    <cellStyle name="Normal 9 3" xfId="281" xr:uid="{00000000-0005-0000-0000-000065010000}"/>
    <cellStyle name="Notas" xfId="30" builtinId="10" customBuiltin="1"/>
    <cellStyle name="Notas 2" xfId="201" xr:uid="{00000000-0005-0000-0000-000067010000}"/>
    <cellStyle name="Notas 2 2" xfId="374" xr:uid="{00000000-0005-0000-0000-000068010000}"/>
    <cellStyle name="Notas 3" xfId="375" xr:uid="{00000000-0005-0000-0000-000069010000}"/>
    <cellStyle name="Porcentaje 2 2" xfId="94" xr:uid="{00000000-0005-0000-0000-00006A010000}"/>
    <cellStyle name="Porcentaje 2 2 2" xfId="96" xr:uid="{00000000-0005-0000-0000-00006B010000}"/>
    <cellStyle name="Porcentaje 2 3" xfId="127" xr:uid="{00000000-0005-0000-0000-00006C010000}"/>
    <cellStyle name="Salida" xfId="25" builtinId="21" customBuiltin="1"/>
    <cellStyle name="Salida 2" xfId="203" xr:uid="{00000000-0005-0000-0000-00006E010000}"/>
    <cellStyle name="Salida 2 2" xfId="376" xr:uid="{00000000-0005-0000-0000-00006F010000}"/>
    <cellStyle name="TableStyleLight1" xfId="377" xr:uid="{00000000-0005-0000-0000-000070010000}"/>
    <cellStyle name="Texto de advertencia" xfId="29" builtinId="11" customBuiltin="1"/>
    <cellStyle name="Texto de advertencia 2" xfId="247" xr:uid="{00000000-0005-0000-0000-000072010000}"/>
    <cellStyle name="Texto de advertencia 2 2" xfId="378" xr:uid="{00000000-0005-0000-0000-000073010000}"/>
    <cellStyle name="Texto explicativo" xfId="31" builtinId="53" customBuiltin="1"/>
    <cellStyle name="Texto explicativo 2" xfId="250" xr:uid="{00000000-0005-0000-0000-000075010000}"/>
    <cellStyle name="Texto explicativo 2 2" xfId="379" xr:uid="{00000000-0005-0000-0000-000076010000}"/>
    <cellStyle name="Título 1 2" xfId="267" xr:uid="{00000000-0005-0000-0000-000077010000}"/>
    <cellStyle name="Título 1 2 2" xfId="380" xr:uid="{00000000-0005-0000-0000-000078010000}"/>
    <cellStyle name="Título 2" xfId="19" builtinId="17" customBuiltin="1"/>
    <cellStyle name="Título 2 2" xfId="63" xr:uid="{00000000-0005-0000-0000-00007A010000}"/>
    <cellStyle name="Título 2 2 2" xfId="381" xr:uid="{00000000-0005-0000-0000-00007B010000}"/>
    <cellStyle name="Título 3" xfId="20" builtinId="18" customBuiltin="1"/>
    <cellStyle name="Título 3 2" xfId="188" xr:uid="{00000000-0005-0000-0000-00007D010000}"/>
    <cellStyle name="Título 3 2 2" xfId="382" xr:uid="{00000000-0005-0000-0000-00007E010000}"/>
    <cellStyle name="Título 4" xfId="62" xr:uid="{00000000-0005-0000-0000-00007F010000}"/>
    <cellStyle name="Título 4 2" xfId="383" xr:uid="{00000000-0005-0000-0000-000080010000}"/>
    <cellStyle name="Título 5" xfId="229" xr:uid="{00000000-0005-0000-0000-000081010000}"/>
    <cellStyle name="Total" xfId="32" builtinId="25" customBuiltin="1"/>
    <cellStyle name="Total 2" xfId="218" xr:uid="{00000000-0005-0000-0000-000083010000}"/>
    <cellStyle name="Total 2 2" xfId="384" xr:uid="{00000000-0005-0000-0000-00008401000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47627</xdr:colOff>
      <xdr:row>0</xdr:row>
      <xdr:rowOff>111125</xdr:rowOff>
    </xdr:from>
    <xdr:ext cx="1063624" cy="1047750"/>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877" y="111125"/>
          <a:ext cx="1063624" cy="104775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499984740745262"/>
  </sheetPr>
  <dimension ref="A1:AM316"/>
  <sheetViews>
    <sheetView showGridLines="0" zoomScale="60" zoomScaleNormal="60" workbookViewId="0">
      <selection activeCell="A295" sqref="A295"/>
    </sheetView>
  </sheetViews>
  <sheetFormatPr baseColWidth="10" defaultColWidth="11.42578125" defaultRowHeight="15" x14ac:dyDescent="0.2"/>
  <cols>
    <col min="1" max="1" width="10.85546875" style="9" customWidth="1"/>
    <col min="2" max="2" width="31.7109375" style="9" customWidth="1"/>
    <col min="3" max="3" width="21.28515625" style="4" customWidth="1"/>
    <col min="4" max="4" width="21.28515625" style="9" customWidth="1"/>
    <col min="5" max="5" width="41.7109375" style="9" customWidth="1"/>
    <col min="6" max="6" width="53.42578125" style="7" customWidth="1"/>
    <col min="7" max="7" width="21.28515625" style="8" customWidth="1"/>
    <col min="8" max="8" width="46.5703125" style="7" customWidth="1"/>
    <col min="9" max="9" width="21.28515625" style="5" customWidth="1"/>
    <col min="10" max="10" width="39.85546875" style="7" customWidth="1"/>
    <col min="11" max="11" width="21.28515625" style="7" customWidth="1"/>
    <col min="12" max="12" width="34.140625" style="9" customWidth="1"/>
    <col min="13" max="13" width="17.7109375" style="8" customWidth="1"/>
    <col min="14" max="14" width="30.28515625" style="9" customWidth="1"/>
    <col min="15" max="15" width="17.140625" style="6" customWidth="1"/>
    <col min="16" max="16" width="13.140625" style="8" customWidth="1"/>
    <col min="17" max="17" width="14" style="8" customWidth="1"/>
    <col min="18" max="18" width="19.7109375" style="8" customWidth="1"/>
    <col min="19" max="19" width="23" style="33" customWidth="1"/>
    <col min="20" max="20" width="53.85546875" style="9" customWidth="1"/>
    <col min="21" max="21" width="75" style="9" customWidth="1"/>
    <col min="22" max="22" width="28.42578125" style="1" customWidth="1"/>
    <col min="23" max="23" width="31.28515625" style="1" customWidth="1"/>
    <col min="24" max="25" width="33" style="1" customWidth="1"/>
    <col min="26" max="26" width="34.5703125" style="1" customWidth="1"/>
    <col min="27" max="27" width="32.85546875" style="1" customWidth="1"/>
    <col min="28" max="28" width="27" style="102" customWidth="1"/>
    <col min="29" max="29" width="25.140625" style="1" customWidth="1"/>
    <col min="30" max="30" width="23" style="1" customWidth="1"/>
    <col min="31" max="31" width="25.5703125" style="1" customWidth="1"/>
    <col min="32" max="32" width="35.85546875" style="1" customWidth="1"/>
    <col min="33" max="33" width="26" style="14" customWidth="1"/>
    <col min="34" max="34" width="11.42578125" style="1"/>
    <col min="35" max="35" width="30.42578125" style="1" customWidth="1"/>
    <col min="36" max="36" width="29.7109375" style="1" customWidth="1"/>
    <col min="37" max="39" width="27" style="1" customWidth="1"/>
    <col min="40" max="16384" width="11.42578125" style="1"/>
  </cols>
  <sheetData>
    <row r="1" spans="1:36" ht="35.25" customHeight="1" x14ac:dyDescent="0.2">
      <c r="C1" s="185" t="s">
        <v>1135</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7"/>
      <c r="AF1" s="41" t="s">
        <v>0</v>
      </c>
      <c r="AG1" s="42" t="s">
        <v>1236</v>
      </c>
    </row>
    <row r="2" spans="1:36" ht="35.25" customHeight="1" x14ac:dyDescent="0.2">
      <c r="A2" s="163"/>
      <c r="C2" s="188" t="s">
        <v>1235</v>
      </c>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43" t="s">
        <v>1</v>
      </c>
      <c r="AG2" s="78">
        <v>6</v>
      </c>
    </row>
    <row r="3" spans="1:36" ht="35.25" customHeight="1" x14ac:dyDescent="0.2">
      <c r="A3" s="163"/>
      <c r="C3" s="188" t="s">
        <v>1136</v>
      </c>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44" t="s">
        <v>2</v>
      </c>
      <c r="AG3" s="79">
        <v>44714</v>
      </c>
    </row>
    <row r="4" spans="1:36" ht="35.25" customHeight="1" x14ac:dyDescent="0.2">
      <c r="A4" s="163"/>
      <c r="C4" s="167"/>
      <c r="D4" s="12"/>
      <c r="E4" s="12"/>
      <c r="F4" s="12"/>
      <c r="G4" s="10"/>
      <c r="H4" s="13"/>
      <c r="I4" s="3"/>
      <c r="J4" s="13"/>
      <c r="K4" s="22"/>
      <c r="L4" s="24"/>
      <c r="M4" s="23"/>
      <c r="N4" s="24"/>
      <c r="O4" s="20"/>
      <c r="P4" s="20"/>
      <c r="Q4" s="20"/>
      <c r="R4" s="20"/>
      <c r="S4" s="31"/>
      <c r="T4" s="24"/>
      <c r="U4" s="24"/>
      <c r="AB4" s="1"/>
      <c r="AF4" s="41" t="s">
        <v>3</v>
      </c>
      <c r="AG4" s="45" t="s">
        <v>1026</v>
      </c>
    </row>
    <row r="5" spans="1:36" s="2" customFormat="1" ht="38.25" customHeight="1" x14ac:dyDescent="0.25">
      <c r="A5" s="192" t="s">
        <v>4</v>
      </c>
      <c r="B5" s="193"/>
      <c r="C5" s="154" t="s">
        <v>5</v>
      </c>
      <c r="D5" s="196"/>
      <c r="E5" s="196"/>
      <c r="F5" s="197"/>
      <c r="G5" s="195" t="s">
        <v>7</v>
      </c>
      <c r="H5" s="196"/>
      <c r="I5" s="196"/>
      <c r="J5" s="197"/>
      <c r="K5" s="195" t="s">
        <v>8</v>
      </c>
      <c r="L5" s="196"/>
      <c r="M5" s="196"/>
      <c r="N5" s="197"/>
      <c r="O5" s="195" t="s">
        <v>1081</v>
      </c>
      <c r="P5" s="196"/>
      <c r="Q5" s="196"/>
      <c r="R5" s="196"/>
      <c r="S5" s="194" t="s">
        <v>9</v>
      </c>
      <c r="T5" s="194"/>
      <c r="U5" s="194"/>
      <c r="V5" s="198" t="s">
        <v>1067</v>
      </c>
      <c r="W5" s="199"/>
      <c r="X5" s="199"/>
      <c r="Y5" s="199"/>
      <c r="Z5" s="199"/>
      <c r="AA5" s="199"/>
      <c r="AB5" s="199"/>
      <c r="AC5" s="199"/>
      <c r="AD5" s="199"/>
      <c r="AE5" s="199"/>
      <c r="AF5" s="199"/>
      <c r="AG5" s="183" t="s">
        <v>1214</v>
      </c>
    </row>
    <row r="6" spans="1:36" s="2" customFormat="1" ht="76.5" customHeight="1" x14ac:dyDescent="0.25">
      <c r="A6" s="164" t="s">
        <v>10</v>
      </c>
      <c r="B6" s="155" t="s">
        <v>11</v>
      </c>
      <c r="C6" s="155" t="s">
        <v>10</v>
      </c>
      <c r="D6" s="156" t="s">
        <v>1087</v>
      </c>
      <c r="E6" s="155" t="s">
        <v>1084</v>
      </c>
      <c r="F6" s="84" t="s">
        <v>6</v>
      </c>
      <c r="G6" s="155" t="s">
        <v>12</v>
      </c>
      <c r="H6" s="155" t="s">
        <v>13</v>
      </c>
      <c r="I6" s="155" t="s">
        <v>14</v>
      </c>
      <c r="J6" s="155" t="s">
        <v>15</v>
      </c>
      <c r="K6" s="89" t="s">
        <v>12</v>
      </c>
      <c r="L6" s="84" t="s">
        <v>16</v>
      </c>
      <c r="M6" s="84" t="s">
        <v>17</v>
      </c>
      <c r="N6" s="89" t="s">
        <v>18</v>
      </c>
      <c r="O6" s="155" t="s">
        <v>1211</v>
      </c>
      <c r="P6" s="155" t="s">
        <v>1082</v>
      </c>
      <c r="Q6" s="155" t="s">
        <v>1210</v>
      </c>
      <c r="R6" s="155" t="s">
        <v>1234</v>
      </c>
      <c r="S6" s="155" t="s">
        <v>19</v>
      </c>
      <c r="T6" s="84" t="s">
        <v>20</v>
      </c>
      <c r="U6" s="84" t="s">
        <v>21</v>
      </c>
      <c r="V6" s="157" t="s">
        <v>1134</v>
      </c>
      <c r="W6" s="157" t="s">
        <v>1068</v>
      </c>
      <c r="X6" s="157" t="s">
        <v>22</v>
      </c>
      <c r="Y6" s="157" t="s">
        <v>1133</v>
      </c>
      <c r="Z6" s="157" t="s">
        <v>1131</v>
      </c>
      <c r="AA6" s="157" t="s">
        <v>23</v>
      </c>
      <c r="AB6" s="157" t="s">
        <v>24</v>
      </c>
      <c r="AC6" s="157" t="s">
        <v>1132</v>
      </c>
      <c r="AD6" s="157" t="s">
        <v>1208</v>
      </c>
      <c r="AE6" s="157" t="s">
        <v>1069</v>
      </c>
      <c r="AF6" s="157" t="s">
        <v>1207</v>
      </c>
      <c r="AG6" s="184"/>
    </row>
    <row r="7" spans="1:36" ht="117" hidden="1" customHeight="1" x14ac:dyDescent="0.2">
      <c r="A7" s="162">
        <v>304</v>
      </c>
      <c r="B7" s="36" t="s">
        <v>1071</v>
      </c>
      <c r="C7" s="17">
        <v>4</v>
      </c>
      <c r="D7" s="168">
        <v>4599</v>
      </c>
      <c r="E7" s="18" t="s">
        <v>1093</v>
      </c>
      <c r="F7" s="18" t="s">
        <v>25</v>
      </c>
      <c r="G7" s="17" t="s">
        <v>26</v>
      </c>
      <c r="H7" s="18" t="s">
        <v>27</v>
      </c>
      <c r="I7" s="17">
        <v>4599023</v>
      </c>
      <c r="J7" s="18" t="s">
        <v>28</v>
      </c>
      <c r="K7" s="17" t="s">
        <v>26</v>
      </c>
      <c r="L7" s="90" t="s">
        <v>29</v>
      </c>
      <c r="M7" s="17">
        <v>459902300</v>
      </c>
      <c r="N7" s="90" t="s">
        <v>30</v>
      </c>
      <c r="O7" s="94" t="s">
        <v>1212</v>
      </c>
      <c r="P7" s="118">
        <v>5</v>
      </c>
      <c r="Q7" s="118"/>
      <c r="R7" s="118">
        <f>P7+Q7</f>
        <v>5</v>
      </c>
      <c r="S7" s="91">
        <v>2020003630006</v>
      </c>
      <c r="T7" s="18" t="s">
        <v>31</v>
      </c>
      <c r="U7" s="92" t="s">
        <v>32</v>
      </c>
      <c r="V7" s="30"/>
      <c r="W7" s="30"/>
      <c r="X7" s="30"/>
      <c r="Y7" s="30"/>
      <c r="Z7" s="30"/>
      <c r="AA7" s="30"/>
      <c r="AB7" s="49">
        <f>36000000+11320000+3745644+30620000+36835000</f>
        <v>118520644</v>
      </c>
      <c r="AC7" s="30"/>
      <c r="AD7" s="30"/>
      <c r="AE7" s="30"/>
      <c r="AF7" s="93">
        <f t="shared" ref="AF7:AF38" si="0">V7+W7+X7+Y7+Z7+AA7+AB7+AC7+AE7</f>
        <v>118520644</v>
      </c>
      <c r="AG7" s="142" t="s">
        <v>1217</v>
      </c>
      <c r="AI7" s="21"/>
      <c r="AJ7" s="21"/>
    </row>
    <row r="8" spans="1:36" ht="117" hidden="1" customHeight="1" x14ac:dyDescent="0.2">
      <c r="A8" s="162">
        <v>304</v>
      </c>
      <c r="B8" s="36" t="s">
        <v>1071</v>
      </c>
      <c r="C8" s="17">
        <v>4</v>
      </c>
      <c r="D8" s="168">
        <v>4599</v>
      </c>
      <c r="E8" s="18" t="s">
        <v>1093</v>
      </c>
      <c r="F8" s="18" t="s">
        <v>25</v>
      </c>
      <c r="G8" s="17" t="s">
        <v>26</v>
      </c>
      <c r="H8" s="18" t="s">
        <v>33</v>
      </c>
      <c r="I8" s="17">
        <v>4599002</v>
      </c>
      <c r="J8" s="18" t="s">
        <v>34</v>
      </c>
      <c r="K8" s="17" t="s">
        <v>26</v>
      </c>
      <c r="L8" s="90" t="s">
        <v>35</v>
      </c>
      <c r="M8" s="17">
        <v>459900200</v>
      </c>
      <c r="N8" s="90" t="s">
        <v>1014</v>
      </c>
      <c r="O8" s="94" t="s">
        <v>1212</v>
      </c>
      <c r="P8" s="118">
        <v>4</v>
      </c>
      <c r="Q8" s="118"/>
      <c r="R8" s="118">
        <f t="shared" ref="R8:R71" si="1">P8+Q8</f>
        <v>4</v>
      </c>
      <c r="S8" s="91">
        <v>2020003630007</v>
      </c>
      <c r="T8" s="18" t="s">
        <v>36</v>
      </c>
      <c r="U8" s="92" t="s">
        <v>37</v>
      </c>
      <c r="V8" s="30"/>
      <c r="W8" s="30"/>
      <c r="X8" s="30"/>
      <c r="Y8" s="30"/>
      <c r="Z8" s="30"/>
      <c r="AA8" s="30"/>
      <c r="AB8" s="39">
        <f>50000000-6450000+27980000+24280000+50000000</f>
        <v>145810000</v>
      </c>
      <c r="AC8" s="30"/>
      <c r="AD8" s="30"/>
      <c r="AE8" s="30"/>
      <c r="AF8" s="93">
        <f t="shared" si="0"/>
        <v>145810000</v>
      </c>
      <c r="AG8" s="142" t="s">
        <v>1217</v>
      </c>
      <c r="AI8" s="21"/>
      <c r="AJ8" s="21"/>
    </row>
    <row r="9" spans="1:36" ht="117" hidden="1" customHeight="1" x14ac:dyDescent="0.2">
      <c r="A9" s="162">
        <v>304</v>
      </c>
      <c r="B9" s="36" t="s">
        <v>1071</v>
      </c>
      <c r="C9" s="17">
        <v>4</v>
      </c>
      <c r="D9" s="168">
        <v>4599</v>
      </c>
      <c r="E9" s="18" t="s">
        <v>1093</v>
      </c>
      <c r="F9" s="18" t="s">
        <v>25</v>
      </c>
      <c r="G9" s="17" t="s">
        <v>26</v>
      </c>
      <c r="H9" s="18" t="s">
        <v>38</v>
      </c>
      <c r="I9" s="17">
        <v>4599023</v>
      </c>
      <c r="J9" s="18" t="s">
        <v>28</v>
      </c>
      <c r="K9" s="17" t="s">
        <v>26</v>
      </c>
      <c r="L9" s="90" t="s">
        <v>39</v>
      </c>
      <c r="M9" s="17">
        <v>459902301</v>
      </c>
      <c r="N9" s="90" t="s">
        <v>40</v>
      </c>
      <c r="O9" s="94" t="s">
        <v>1212</v>
      </c>
      <c r="P9" s="118">
        <v>1</v>
      </c>
      <c r="Q9" s="118"/>
      <c r="R9" s="118">
        <f t="shared" si="1"/>
        <v>1</v>
      </c>
      <c r="S9" s="91">
        <v>2020003630041</v>
      </c>
      <c r="T9" s="18" t="s">
        <v>41</v>
      </c>
      <c r="U9" s="92" t="s">
        <v>1070</v>
      </c>
      <c r="V9" s="30"/>
      <c r="W9" s="30"/>
      <c r="X9" s="30"/>
      <c r="Y9" s="30"/>
      <c r="Z9" s="30"/>
      <c r="AA9" s="30"/>
      <c r="AB9" s="39">
        <f>30000000-5260000+6000000</f>
        <v>30740000</v>
      </c>
      <c r="AC9" s="30"/>
      <c r="AD9" s="30"/>
      <c r="AE9" s="30"/>
      <c r="AF9" s="93">
        <f t="shared" si="0"/>
        <v>30740000</v>
      </c>
      <c r="AG9" s="142" t="s">
        <v>1217</v>
      </c>
      <c r="AI9" s="21"/>
      <c r="AJ9" s="21"/>
    </row>
    <row r="10" spans="1:36" ht="117" hidden="1" customHeight="1" x14ac:dyDescent="0.2">
      <c r="A10" s="162">
        <v>304</v>
      </c>
      <c r="B10" s="36" t="s">
        <v>1071</v>
      </c>
      <c r="C10" s="17">
        <v>4</v>
      </c>
      <c r="D10" s="168">
        <v>4502</v>
      </c>
      <c r="E10" s="18" t="s">
        <v>1091</v>
      </c>
      <c r="F10" s="18" t="s">
        <v>42</v>
      </c>
      <c r="G10" s="17" t="s">
        <v>26</v>
      </c>
      <c r="H10" s="18" t="s">
        <v>43</v>
      </c>
      <c r="I10" s="17">
        <v>4502033</v>
      </c>
      <c r="J10" s="18" t="s">
        <v>44</v>
      </c>
      <c r="K10" s="17" t="s">
        <v>26</v>
      </c>
      <c r="L10" s="90" t="s">
        <v>45</v>
      </c>
      <c r="M10" s="95">
        <v>450203300</v>
      </c>
      <c r="N10" s="90" t="s">
        <v>46</v>
      </c>
      <c r="O10" s="94" t="s">
        <v>1212</v>
      </c>
      <c r="P10" s="118">
        <v>1</v>
      </c>
      <c r="Q10" s="118"/>
      <c r="R10" s="118">
        <f t="shared" si="1"/>
        <v>1</v>
      </c>
      <c r="S10" s="91">
        <v>2020003630005</v>
      </c>
      <c r="T10" s="18" t="s">
        <v>47</v>
      </c>
      <c r="U10" s="92" t="s">
        <v>48</v>
      </c>
      <c r="V10" s="30"/>
      <c r="W10" s="30"/>
      <c r="X10" s="30"/>
      <c r="Y10" s="30"/>
      <c r="Z10" s="30"/>
      <c r="AA10" s="30"/>
      <c r="AB10" s="50">
        <f>40000000+390000+11743158+24740000+2885000</f>
        <v>79758158</v>
      </c>
      <c r="AC10" s="30"/>
      <c r="AD10" s="30"/>
      <c r="AE10" s="30"/>
      <c r="AF10" s="93">
        <f t="shared" si="0"/>
        <v>79758158</v>
      </c>
      <c r="AG10" s="142" t="s">
        <v>1217</v>
      </c>
      <c r="AI10" s="21"/>
      <c r="AJ10" s="21"/>
    </row>
    <row r="11" spans="1:36" ht="117" hidden="1" customHeight="1" x14ac:dyDescent="0.2">
      <c r="A11" s="162">
        <v>305</v>
      </c>
      <c r="B11" s="115" t="s">
        <v>1072</v>
      </c>
      <c r="C11" s="17">
        <v>4</v>
      </c>
      <c r="D11" s="168">
        <v>4502</v>
      </c>
      <c r="E11" s="18" t="s">
        <v>1091</v>
      </c>
      <c r="F11" s="18" t="s">
        <v>49</v>
      </c>
      <c r="G11" s="17" t="s">
        <v>26</v>
      </c>
      <c r="H11" s="18" t="s">
        <v>50</v>
      </c>
      <c r="I11" s="17">
        <v>4502001</v>
      </c>
      <c r="J11" s="18" t="s">
        <v>51</v>
      </c>
      <c r="K11" s="17" t="s">
        <v>26</v>
      </c>
      <c r="L11" s="90" t="s">
        <v>52</v>
      </c>
      <c r="M11" s="95">
        <v>450200100</v>
      </c>
      <c r="N11" s="90" t="s">
        <v>53</v>
      </c>
      <c r="O11" s="94" t="s">
        <v>1212</v>
      </c>
      <c r="P11" s="118">
        <v>1</v>
      </c>
      <c r="Q11" s="118"/>
      <c r="R11" s="118">
        <f t="shared" si="1"/>
        <v>1</v>
      </c>
      <c r="S11" s="91">
        <v>2020003630042</v>
      </c>
      <c r="T11" s="18" t="s">
        <v>54</v>
      </c>
      <c r="U11" s="92" t="s">
        <v>55</v>
      </c>
      <c r="V11" s="30"/>
      <c r="W11" s="30"/>
      <c r="X11" s="30"/>
      <c r="Y11" s="30"/>
      <c r="Z11" s="30"/>
      <c r="AA11" s="30"/>
      <c r="AB11" s="28">
        <f>140000000+5495777+15787082</f>
        <v>161282859</v>
      </c>
      <c r="AC11" s="30"/>
      <c r="AD11" s="30"/>
      <c r="AE11" s="30"/>
      <c r="AF11" s="93">
        <f t="shared" si="0"/>
        <v>161282859</v>
      </c>
      <c r="AG11" s="143" t="s">
        <v>1218</v>
      </c>
      <c r="AI11" s="21"/>
      <c r="AJ11" s="21"/>
    </row>
    <row r="12" spans="1:36" ht="117" hidden="1" customHeight="1" x14ac:dyDescent="0.2">
      <c r="A12" s="162">
        <v>305</v>
      </c>
      <c r="B12" s="115" t="s">
        <v>1072</v>
      </c>
      <c r="C12" s="17">
        <v>4</v>
      </c>
      <c r="D12" s="168">
        <v>4502</v>
      </c>
      <c r="E12" s="18" t="s">
        <v>1091</v>
      </c>
      <c r="F12" s="18" t="s">
        <v>42</v>
      </c>
      <c r="G12" s="17" t="s">
        <v>26</v>
      </c>
      <c r="H12" s="90" t="s">
        <v>56</v>
      </c>
      <c r="I12" s="95">
        <v>4502001</v>
      </c>
      <c r="J12" s="90" t="s">
        <v>51</v>
      </c>
      <c r="K12" s="17" t="s">
        <v>26</v>
      </c>
      <c r="L12" s="90" t="s">
        <v>57</v>
      </c>
      <c r="M12" s="95">
        <v>450200101</v>
      </c>
      <c r="N12" s="90" t="s">
        <v>1015</v>
      </c>
      <c r="O12" s="94" t="s">
        <v>1212</v>
      </c>
      <c r="P12" s="118">
        <v>12</v>
      </c>
      <c r="Q12" s="118"/>
      <c r="R12" s="118">
        <f t="shared" si="1"/>
        <v>12</v>
      </c>
      <c r="S12" s="91">
        <v>2020003630043</v>
      </c>
      <c r="T12" s="18" t="s">
        <v>1152</v>
      </c>
      <c r="U12" s="92" t="s">
        <v>58</v>
      </c>
      <c r="V12" s="30"/>
      <c r="W12" s="30"/>
      <c r="X12" s="30"/>
      <c r="Y12" s="30"/>
      <c r="Z12" s="30"/>
      <c r="AA12" s="30"/>
      <c r="AB12" s="28">
        <v>35000000</v>
      </c>
      <c r="AC12" s="30"/>
      <c r="AD12" s="30"/>
      <c r="AE12" s="30"/>
      <c r="AF12" s="93">
        <f t="shared" si="0"/>
        <v>35000000</v>
      </c>
      <c r="AG12" s="143" t="s">
        <v>1218</v>
      </c>
      <c r="AI12" s="21"/>
      <c r="AJ12" s="21"/>
    </row>
    <row r="13" spans="1:36" ht="117" hidden="1" customHeight="1" x14ac:dyDescent="0.2">
      <c r="A13" s="162">
        <v>305</v>
      </c>
      <c r="B13" s="115" t="s">
        <v>1072</v>
      </c>
      <c r="C13" s="17">
        <v>4</v>
      </c>
      <c r="D13" s="168">
        <v>4599</v>
      </c>
      <c r="E13" s="18" t="s">
        <v>1093</v>
      </c>
      <c r="F13" s="18" t="s">
        <v>25</v>
      </c>
      <c r="G13" s="17" t="s">
        <v>26</v>
      </c>
      <c r="H13" s="18" t="s">
        <v>59</v>
      </c>
      <c r="I13" s="17">
        <v>4599018</v>
      </c>
      <c r="J13" s="18" t="s">
        <v>60</v>
      </c>
      <c r="K13" s="17" t="s">
        <v>26</v>
      </c>
      <c r="L13" s="18" t="s">
        <v>61</v>
      </c>
      <c r="M13" s="17">
        <v>459901800</v>
      </c>
      <c r="N13" s="90" t="s">
        <v>62</v>
      </c>
      <c r="O13" s="94" t="s">
        <v>1212</v>
      </c>
      <c r="P13" s="91">
        <v>5</v>
      </c>
      <c r="Q13" s="91"/>
      <c r="R13" s="118">
        <f t="shared" si="1"/>
        <v>5</v>
      </c>
      <c r="S13" s="91">
        <v>2020003630044</v>
      </c>
      <c r="T13" s="18" t="s">
        <v>1153</v>
      </c>
      <c r="U13" s="92" t="s">
        <v>63</v>
      </c>
      <c r="V13" s="30"/>
      <c r="W13" s="30"/>
      <c r="X13" s="30"/>
      <c r="Y13" s="30"/>
      <c r="Z13" s="30"/>
      <c r="AA13" s="30"/>
      <c r="AB13" s="28">
        <f>144000000+71000000</f>
        <v>215000000</v>
      </c>
      <c r="AC13" s="30"/>
      <c r="AD13" s="30"/>
      <c r="AE13" s="30"/>
      <c r="AF13" s="93">
        <f t="shared" si="0"/>
        <v>215000000</v>
      </c>
      <c r="AG13" s="143" t="s">
        <v>1218</v>
      </c>
      <c r="AI13" s="21"/>
      <c r="AJ13" s="21"/>
    </row>
    <row r="14" spans="1:36" ht="117" hidden="1" customHeight="1" x14ac:dyDescent="0.2">
      <c r="A14" s="162">
        <v>305</v>
      </c>
      <c r="B14" s="115" t="s">
        <v>1072</v>
      </c>
      <c r="C14" s="17">
        <v>4</v>
      </c>
      <c r="D14" s="168">
        <v>4599</v>
      </c>
      <c r="E14" s="18" t="s">
        <v>1093</v>
      </c>
      <c r="F14" s="18" t="s">
        <v>25</v>
      </c>
      <c r="G14" s="17" t="s">
        <v>26</v>
      </c>
      <c r="H14" s="18" t="s">
        <v>64</v>
      </c>
      <c r="I14" s="17">
        <v>4599025</v>
      </c>
      <c r="J14" s="18" t="s">
        <v>65</v>
      </c>
      <c r="K14" s="17" t="s">
        <v>26</v>
      </c>
      <c r="L14" s="90" t="s">
        <v>66</v>
      </c>
      <c r="M14" s="17">
        <v>459902500</v>
      </c>
      <c r="N14" s="90" t="s">
        <v>67</v>
      </c>
      <c r="O14" s="94" t="s">
        <v>1212</v>
      </c>
      <c r="P14" s="91">
        <v>1</v>
      </c>
      <c r="Q14" s="91"/>
      <c r="R14" s="118">
        <f t="shared" si="1"/>
        <v>1</v>
      </c>
      <c r="S14" s="91">
        <v>2020003630045</v>
      </c>
      <c r="T14" s="18" t="s">
        <v>1154</v>
      </c>
      <c r="U14" s="92" t="s">
        <v>68</v>
      </c>
      <c r="V14" s="30"/>
      <c r="W14" s="30"/>
      <c r="X14" s="30"/>
      <c r="Y14" s="30"/>
      <c r="Z14" s="30"/>
      <c r="AA14" s="30"/>
      <c r="AB14" s="28">
        <f>76000000+23000000</f>
        <v>99000000</v>
      </c>
      <c r="AC14" s="30"/>
      <c r="AD14" s="30"/>
      <c r="AE14" s="30"/>
      <c r="AF14" s="93">
        <f t="shared" si="0"/>
        <v>99000000</v>
      </c>
      <c r="AG14" s="143" t="s">
        <v>1218</v>
      </c>
      <c r="AI14" s="21"/>
      <c r="AJ14" s="21"/>
    </row>
    <row r="15" spans="1:36" ht="117" hidden="1" customHeight="1" x14ac:dyDescent="0.2">
      <c r="A15" s="162">
        <v>305</v>
      </c>
      <c r="B15" s="115" t="s">
        <v>1072</v>
      </c>
      <c r="C15" s="17">
        <v>4</v>
      </c>
      <c r="D15" s="168">
        <v>4599</v>
      </c>
      <c r="E15" s="18" t="s">
        <v>1093</v>
      </c>
      <c r="F15" s="18" t="s">
        <v>25</v>
      </c>
      <c r="G15" s="17" t="s">
        <v>26</v>
      </c>
      <c r="H15" s="18" t="s">
        <v>1027</v>
      </c>
      <c r="I15" s="17">
        <v>4599025</v>
      </c>
      <c r="J15" s="18" t="s">
        <v>65</v>
      </c>
      <c r="K15" s="17" t="s">
        <v>26</v>
      </c>
      <c r="L15" s="90" t="s">
        <v>69</v>
      </c>
      <c r="M15" s="17">
        <v>459902500</v>
      </c>
      <c r="N15" s="90" t="s">
        <v>67</v>
      </c>
      <c r="O15" s="94" t="s">
        <v>1212</v>
      </c>
      <c r="P15" s="91">
        <v>1</v>
      </c>
      <c r="Q15" s="91"/>
      <c r="R15" s="118">
        <f t="shared" si="1"/>
        <v>1</v>
      </c>
      <c r="S15" s="91">
        <v>2020003630046</v>
      </c>
      <c r="T15" s="18" t="s">
        <v>70</v>
      </c>
      <c r="U15" s="92" t="s">
        <v>71</v>
      </c>
      <c r="V15" s="30"/>
      <c r="W15" s="30"/>
      <c r="X15" s="30"/>
      <c r="Y15" s="30"/>
      <c r="Z15" s="30"/>
      <c r="AA15" s="30"/>
      <c r="AB15" s="28">
        <f>300000000+100000000</f>
        <v>400000000</v>
      </c>
      <c r="AC15" s="30"/>
      <c r="AD15" s="30"/>
      <c r="AE15" s="30"/>
      <c r="AF15" s="93">
        <f t="shared" si="0"/>
        <v>400000000</v>
      </c>
      <c r="AG15" s="143" t="s">
        <v>1218</v>
      </c>
      <c r="AI15" s="21"/>
      <c r="AJ15" s="21"/>
    </row>
    <row r="16" spans="1:36" ht="117" hidden="1" customHeight="1" x14ac:dyDescent="0.2">
      <c r="A16" s="162">
        <v>305</v>
      </c>
      <c r="B16" s="115" t="s">
        <v>1072</v>
      </c>
      <c r="C16" s="17">
        <v>4</v>
      </c>
      <c r="D16" s="168">
        <v>4599</v>
      </c>
      <c r="E16" s="18" t="s">
        <v>1093</v>
      </c>
      <c r="F16" s="18" t="s">
        <v>72</v>
      </c>
      <c r="G16" s="17" t="s">
        <v>26</v>
      </c>
      <c r="H16" s="18" t="s">
        <v>73</v>
      </c>
      <c r="I16" s="17">
        <v>4599031</v>
      </c>
      <c r="J16" s="18" t="s">
        <v>74</v>
      </c>
      <c r="K16" s="17" t="s">
        <v>26</v>
      </c>
      <c r="L16" s="90" t="s">
        <v>75</v>
      </c>
      <c r="M16" s="17">
        <v>459903101</v>
      </c>
      <c r="N16" s="90" t="s">
        <v>76</v>
      </c>
      <c r="O16" s="94" t="s">
        <v>1212</v>
      </c>
      <c r="P16" s="91">
        <v>12</v>
      </c>
      <c r="Q16" s="91"/>
      <c r="R16" s="118">
        <f t="shared" si="1"/>
        <v>12</v>
      </c>
      <c r="S16" s="91">
        <v>2020003630047</v>
      </c>
      <c r="T16" s="18" t="s">
        <v>77</v>
      </c>
      <c r="U16" s="92" t="s">
        <v>78</v>
      </c>
      <c r="V16" s="30"/>
      <c r="W16" s="30"/>
      <c r="X16" s="30"/>
      <c r="Y16" s="30"/>
      <c r="Z16" s="30"/>
      <c r="AA16" s="30"/>
      <c r="AB16" s="28">
        <f>36000000-200000</f>
        <v>35800000</v>
      </c>
      <c r="AC16" s="30"/>
      <c r="AD16" s="30"/>
      <c r="AE16" s="30"/>
      <c r="AF16" s="93">
        <f t="shared" si="0"/>
        <v>35800000</v>
      </c>
      <c r="AG16" s="143" t="s">
        <v>1218</v>
      </c>
      <c r="AI16" s="21"/>
      <c r="AJ16" s="21"/>
    </row>
    <row r="17" spans="1:36" ht="117" hidden="1" customHeight="1" x14ac:dyDescent="0.2">
      <c r="A17" s="162">
        <v>305</v>
      </c>
      <c r="B17" s="115" t="s">
        <v>1072</v>
      </c>
      <c r="C17" s="17">
        <v>4</v>
      </c>
      <c r="D17" s="168">
        <v>4599</v>
      </c>
      <c r="E17" s="18" t="s">
        <v>1093</v>
      </c>
      <c r="F17" s="18" t="s">
        <v>72</v>
      </c>
      <c r="G17" s="17" t="s">
        <v>26</v>
      </c>
      <c r="H17" s="18" t="s">
        <v>79</v>
      </c>
      <c r="I17" s="17">
        <v>4599031</v>
      </c>
      <c r="J17" s="18" t="s">
        <v>74</v>
      </c>
      <c r="K17" s="17" t="s">
        <v>26</v>
      </c>
      <c r="L17" s="90" t="s">
        <v>80</v>
      </c>
      <c r="M17" s="17">
        <v>459903101</v>
      </c>
      <c r="N17" s="90" t="s">
        <v>76</v>
      </c>
      <c r="O17" s="94" t="s">
        <v>1212</v>
      </c>
      <c r="P17" s="91">
        <v>12</v>
      </c>
      <c r="Q17" s="91"/>
      <c r="R17" s="118">
        <f t="shared" si="1"/>
        <v>12</v>
      </c>
      <c r="S17" s="91">
        <v>2020003630047</v>
      </c>
      <c r="T17" s="18" t="s">
        <v>77</v>
      </c>
      <c r="U17" s="92" t="s">
        <v>78</v>
      </c>
      <c r="V17" s="30"/>
      <c r="W17" s="30"/>
      <c r="X17" s="30"/>
      <c r="Y17" s="30"/>
      <c r="Z17" s="30"/>
      <c r="AA17" s="30"/>
      <c r="AB17" s="28">
        <v>36000000</v>
      </c>
      <c r="AC17" s="30"/>
      <c r="AD17" s="30"/>
      <c r="AE17" s="30"/>
      <c r="AF17" s="93">
        <f t="shared" si="0"/>
        <v>36000000</v>
      </c>
      <c r="AG17" s="143" t="s">
        <v>1218</v>
      </c>
      <c r="AI17" s="21"/>
      <c r="AJ17" s="21"/>
    </row>
    <row r="18" spans="1:36" ht="117" hidden="1" customHeight="1" x14ac:dyDescent="0.2">
      <c r="A18" s="162">
        <v>305</v>
      </c>
      <c r="B18" s="115" t="s">
        <v>1072</v>
      </c>
      <c r="C18" s="17">
        <v>4</v>
      </c>
      <c r="D18" s="168">
        <v>4599</v>
      </c>
      <c r="E18" s="18" t="s">
        <v>1093</v>
      </c>
      <c r="F18" s="18" t="s">
        <v>72</v>
      </c>
      <c r="G18" s="17" t="s">
        <v>26</v>
      </c>
      <c r="H18" s="18" t="s">
        <v>81</v>
      </c>
      <c r="I18" s="17">
        <v>4599031</v>
      </c>
      <c r="J18" s="18" t="s">
        <v>74</v>
      </c>
      <c r="K18" s="17" t="s">
        <v>26</v>
      </c>
      <c r="L18" s="90" t="s">
        <v>82</v>
      </c>
      <c r="M18" s="17">
        <v>459903101</v>
      </c>
      <c r="N18" s="90" t="s">
        <v>76</v>
      </c>
      <c r="O18" s="94" t="s">
        <v>1212</v>
      </c>
      <c r="P18" s="91">
        <v>12</v>
      </c>
      <c r="Q18" s="91"/>
      <c r="R18" s="118">
        <f t="shared" si="1"/>
        <v>12</v>
      </c>
      <c r="S18" s="91">
        <v>2020003630047</v>
      </c>
      <c r="T18" s="18" t="s">
        <v>77</v>
      </c>
      <c r="U18" s="92" t="s">
        <v>78</v>
      </c>
      <c r="V18" s="30"/>
      <c r="W18" s="30"/>
      <c r="X18" s="30"/>
      <c r="Y18" s="30"/>
      <c r="Z18" s="30"/>
      <c r="AA18" s="30"/>
      <c r="AB18" s="28">
        <f>36000000+36000000+200000</f>
        <v>72200000</v>
      </c>
      <c r="AC18" s="30"/>
      <c r="AD18" s="30"/>
      <c r="AE18" s="30"/>
      <c r="AF18" s="93">
        <f t="shared" si="0"/>
        <v>72200000</v>
      </c>
      <c r="AG18" s="143" t="s">
        <v>1218</v>
      </c>
      <c r="AI18" s="21"/>
      <c r="AJ18" s="21"/>
    </row>
    <row r="19" spans="1:36" ht="117" hidden="1" customHeight="1" x14ac:dyDescent="0.2">
      <c r="A19" s="162">
        <v>305</v>
      </c>
      <c r="B19" s="115" t="s">
        <v>1072</v>
      </c>
      <c r="C19" s="17">
        <v>4</v>
      </c>
      <c r="D19" s="168">
        <v>4599</v>
      </c>
      <c r="E19" s="18" t="s">
        <v>1093</v>
      </c>
      <c r="F19" s="18" t="s">
        <v>72</v>
      </c>
      <c r="G19" s="17" t="s">
        <v>26</v>
      </c>
      <c r="H19" s="18" t="s">
        <v>83</v>
      </c>
      <c r="I19" s="17">
        <v>4599031</v>
      </c>
      <c r="J19" s="18" t="s">
        <v>74</v>
      </c>
      <c r="K19" s="17" t="s">
        <v>26</v>
      </c>
      <c r="L19" s="90" t="s">
        <v>82</v>
      </c>
      <c r="M19" s="17">
        <v>459903101</v>
      </c>
      <c r="N19" s="90" t="s">
        <v>76</v>
      </c>
      <c r="O19" s="94" t="s">
        <v>1212</v>
      </c>
      <c r="P19" s="91">
        <v>12</v>
      </c>
      <c r="Q19" s="91"/>
      <c r="R19" s="118">
        <f t="shared" si="1"/>
        <v>12</v>
      </c>
      <c r="S19" s="91">
        <v>2020003630047</v>
      </c>
      <c r="T19" s="18" t="s">
        <v>77</v>
      </c>
      <c r="U19" s="92" t="s">
        <v>78</v>
      </c>
      <c r="V19" s="30"/>
      <c r="W19" s="30"/>
      <c r="X19" s="30"/>
      <c r="Y19" s="30"/>
      <c r="Z19" s="30"/>
      <c r="AA19" s="30"/>
      <c r="AB19" s="28">
        <v>36000000</v>
      </c>
      <c r="AC19" s="30"/>
      <c r="AD19" s="30"/>
      <c r="AE19" s="30"/>
      <c r="AF19" s="93">
        <f t="shared" si="0"/>
        <v>36000000</v>
      </c>
      <c r="AG19" s="143" t="s">
        <v>1218</v>
      </c>
      <c r="AI19" s="21"/>
      <c r="AJ19" s="21"/>
    </row>
    <row r="20" spans="1:36" ht="117" hidden="1" customHeight="1" x14ac:dyDescent="0.2">
      <c r="A20" s="162">
        <v>305</v>
      </c>
      <c r="B20" s="115" t="s">
        <v>1072</v>
      </c>
      <c r="C20" s="17">
        <v>4</v>
      </c>
      <c r="D20" s="168">
        <v>4599</v>
      </c>
      <c r="E20" s="18" t="s">
        <v>1093</v>
      </c>
      <c r="F20" s="18" t="s">
        <v>72</v>
      </c>
      <c r="G20" s="17" t="s">
        <v>26</v>
      </c>
      <c r="H20" s="18" t="s">
        <v>84</v>
      </c>
      <c r="I20" s="17">
        <v>4599031</v>
      </c>
      <c r="J20" s="18" t="s">
        <v>74</v>
      </c>
      <c r="K20" s="17" t="s">
        <v>26</v>
      </c>
      <c r="L20" s="90" t="s">
        <v>82</v>
      </c>
      <c r="M20" s="17">
        <v>459903101</v>
      </c>
      <c r="N20" s="90" t="s">
        <v>76</v>
      </c>
      <c r="O20" s="94" t="s">
        <v>1212</v>
      </c>
      <c r="P20" s="91">
        <v>12</v>
      </c>
      <c r="Q20" s="91"/>
      <c r="R20" s="118">
        <f t="shared" si="1"/>
        <v>12</v>
      </c>
      <c r="S20" s="91">
        <v>2020003630047</v>
      </c>
      <c r="T20" s="18" t="s">
        <v>77</v>
      </c>
      <c r="U20" s="92" t="s">
        <v>78</v>
      </c>
      <c r="V20" s="30"/>
      <c r="W20" s="30"/>
      <c r="X20" s="30"/>
      <c r="Y20" s="30"/>
      <c r="Z20" s="30"/>
      <c r="AA20" s="30"/>
      <c r="AB20" s="28">
        <v>36000000</v>
      </c>
      <c r="AC20" s="30"/>
      <c r="AD20" s="30"/>
      <c r="AE20" s="30"/>
      <c r="AF20" s="93">
        <f t="shared" si="0"/>
        <v>36000000</v>
      </c>
      <c r="AG20" s="143" t="s">
        <v>1218</v>
      </c>
      <c r="AI20" s="21"/>
      <c r="AJ20" s="21"/>
    </row>
    <row r="21" spans="1:36" ht="117" hidden="1" customHeight="1" x14ac:dyDescent="0.2">
      <c r="A21" s="162">
        <v>305</v>
      </c>
      <c r="B21" s="115" t="s">
        <v>1072</v>
      </c>
      <c r="C21" s="17">
        <v>4</v>
      </c>
      <c r="D21" s="168">
        <v>4599</v>
      </c>
      <c r="E21" s="18" t="s">
        <v>1093</v>
      </c>
      <c r="F21" s="18" t="s">
        <v>72</v>
      </c>
      <c r="G21" s="17" t="s">
        <v>26</v>
      </c>
      <c r="H21" s="18" t="s">
        <v>85</v>
      </c>
      <c r="I21" s="17">
        <v>4599031</v>
      </c>
      <c r="J21" s="18" t="s">
        <v>74</v>
      </c>
      <c r="K21" s="17" t="s">
        <v>26</v>
      </c>
      <c r="L21" s="90" t="s">
        <v>82</v>
      </c>
      <c r="M21" s="17">
        <v>459903101</v>
      </c>
      <c r="N21" s="90" t="s">
        <v>76</v>
      </c>
      <c r="O21" s="94" t="s">
        <v>1212</v>
      </c>
      <c r="P21" s="91">
        <v>12</v>
      </c>
      <c r="Q21" s="91"/>
      <c r="R21" s="118">
        <f t="shared" si="1"/>
        <v>12</v>
      </c>
      <c r="S21" s="91">
        <v>2020003630047</v>
      </c>
      <c r="T21" s="18" t="s">
        <v>77</v>
      </c>
      <c r="U21" s="92" t="s">
        <v>78</v>
      </c>
      <c r="V21" s="30"/>
      <c r="W21" s="30"/>
      <c r="X21" s="30"/>
      <c r="Y21" s="30"/>
      <c r="Z21" s="30"/>
      <c r="AA21" s="30"/>
      <c r="AB21" s="28">
        <v>36000000</v>
      </c>
      <c r="AC21" s="30"/>
      <c r="AD21" s="30"/>
      <c r="AE21" s="30"/>
      <c r="AF21" s="93">
        <f t="shared" si="0"/>
        <v>36000000</v>
      </c>
      <c r="AG21" s="143" t="s">
        <v>1218</v>
      </c>
      <c r="AI21" s="21"/>
      <c r="AJ21" s="21"/>
    </row>
    <row r="22" spans="1:36" ht="117" hidden="1" customHeight="1" x14ac:dyDescent="0.2">
      <c r="A22" s="162">
        <v>305</v>
      </c>
      <c r="B22" s="115" t="s">
        <v>1072</v>
      </c>
      <c r="C22" s="17">
        <v>4</v>
      </c>
      <c r="D22" s="168">
        <v>4599</v>
      </c>
      <c r="E22" s="18" t="s">
        <v>1093</v>
      </c>
      <c r="F22" s="18" t="s">
        <v>25</v>
      </c>
      <c r="G22" s="17" t="s">
        <v>26</v>
      </c>
      <c r="H22" s="18" t="s">
        <v>27</v>
      </c>
      <c r="I22" s="17">
        <v>4599023</v>
      </c>
      <c r="J22" s="18" t="s">
        <v>86</v>
      </c>
      <c r="K22" s="17" t="s">
        <v>26</v>
      </c>
      <c r="L22" s="90" t="s">
        <v>87</v>
      </c>
      <c r="M22" s="17">
        <v>459902300</v>
      </c>
      <c r="N22" s="90" t="s">
        <v>30</v>
      </c>
      <c r="O22" s="94" t="s">
        <v>1212</v>
      </c>
      <c r="P22" s="91">
        <v>18</v>
      </c>
      <c r="Q22" s="91"/>
      <c r="R22" s="118">
        <f t="shared" si="1"/>
        <v>18</v>
      </c>
      <c r="S22" s="91">
        <v>2020003630008</v>
      </c>
      <c r="T22" s="18" t="s">
        <v>1155</v>
      </c>
      <c r="U22" s="92" t="s">
        <v>88</v>
      </c>
      <c r="V22" s="26"/>
      <c r="W22" s="26"/>
      <c r="X22" s="26"/>
      <c r="Y22" s="26"/>
      <c r="Z22" s="26"/>
      <c r="AA22" s="26"/>
      <c r="AB22" s="28">
        <v>72000000</v>
      </c>
      <c r="AC22" s="26"/>
      <c r="AD22" s="26"/>
      <c r="AE22" s="26"/>
      <c r="AF22" s="93">
        <f t="shared" si="0"/>
        <v>72000000</v>
      </c>
      <c r="AG22" s="143" t="s">
        <v>1218</v>
      </c>
      <c r="AI22" s="21"/>
      <c r="AJ22" s="21"/>
    </row>
    <row r="23" spans="1:36" ht="117" hidden="1" customHeight="1" x14ac:dyDescent="0.2">
      <c r="A23" s="162">
        <v>307</v>
      </c>
      <c r="B23" s="115" t="s">
        <v>1073</v>
      </c>
      <c r="C23" s="17">
        <v>4</v>
      </c>
      <c r="D23" s="168">
        <v>4599</v>
      </c>
      <c r="E23" s="18" t="s">
        <v>1093</v>
      </c>
      <c r="F23" s="18" t="s">
        <v>89</v>
      </c>
      <c r="G23" s="17" t="s">
        <v>26</v>
      </c>
      <c r="H23" s="97" t="s">
        <v>90</v>
      </c>
      <c r="I23" s="17">
        <v>4599002</v>
      </c>
      <c r="J23" s="97" t="s">
        <v>34</v>
      </c>
      <c r="K23" s="17" t="s">
        <v>26</v>
      </c>
      <c r="L23" s="90" t="s">
        <v>91</v>
      </c>
      <c r="M23" s="17">
        <v>459900201</v>
      </c>
      <c r="N23" s="90" t="s">
        <v>92</v>
      </c>
      <c r="O23" s="94" t="s">
        <v>1212</v>
      </c>
      <c r="P23" s="119">
        <v>1</v>
      </c>
      <c r="Q23" s="119"/>
      <c r="R23" s="118">
        <f t="shared" si="1"/>
        <v>1</v>
      </c>
      <c r="S23" s="91">
        <v>2020003630048</v>
      </c>
      <c r="T23" s="18" t="s">
        <v>93</v>
      </c>
      <c r="U23" s="92" t="s">
        <v>94</v>
      </c>
      <c r="V23" s="51"/>
      <c r="W23" s="51"/>
      <c r="X23" s="51"/>
      <c r="Y23" s="51"/>
      <c r="Z23" s="51"/>
      <c r="AA23" s="51"/>
      <c r="AB23" s="28">
        <f>1570000000-189210826-280789174+280789174+435650586+1000000000-40000000-163000000</f>
        <v>2613439760</v>
      </c>
      <c r="AC23" s="28"/>
      <c r="AD23" s="28"/>
      <c r="AE23" s="34">
        <f>250000000+138533774.16+228382640-25000000</f>
        <v>591916414.15999997</v>
      </c>
      <c r="AF23" s="93">
        <f t="shared" si="0"/>
        <v>3205356174.1599998</v>
      </c>
      <c r="AG23" s="18" t="s">
        <v>1220</v>
      </c>
      <c r="AI23" s="21"/>
      <c r="AJ23" s="21"/>
    </row>
    <row r="24" spans="1:36" ht="117" hidden="1" customHeight="1" x14ac:dyDescent="0.2">
      <c r="A24" s="162">
        <v>307</v>
      </c>
      <c r="B24" s="115" t="s">
        <v>1073</v>
      </c>
      <c r="C24" s="17">
        <v>4</v>
      </c>
      <c r="D24" s="168">
        <v>4599</v>
      </c>
      <c r="E24" s="18" t="s">
        <v>1093</v>
      </c>
      <c r="F24" s="18" t="s">
        <v>89</v>
      </c>
      <c r="G24" s="17" t="s">
        <v>26</v>
      </c>
      <c r="H24" s="97" t="s">
        <v>95</v>
      </c>
      <c r="I24" s="17">
        <v>4599002</v>
      </c>
      <c r="J24" s="97" t="s">
        <v>96</v>
      </c>
      <c r="K24" s="17" t="s">
        <v>26</v>
      </c>
      <c r="L24" s="90" t="s">
        <v>97</v>
      </c>
      <c r="M24" s="17">
        <v>459900200</v>
      </c>
      <c r="N24" s="90" t="s">
        <v>1016</v>
      </c>
      <c r="O24" s="94" t="s">
        <v>1212</v>
      </c>
      <c r="P24" s="119">
        <v>1</v>
      </c>
      <c r="Q24" s="119"/>
      <c r="R24" s="118">
        <f t="shared" si="1"/>
        <v>1</v>
      </c>
      <c r="S24" s="91">
        <v>2020003630049</v>
      </c>
      <c r="T24" s="18" t="s">
        <v>98</v>
      </c>
      <c r="U24" s="92" t="s">
        <v>99</v>
      </c>
      <c r="V24" s="30"/>
      <c r="W24" s="30"/>
      <c r="X24" s="30"/>
      <c r="Y24" s="30"/>
      <c r="Z24" s="30"/>
      <c r="AA24" s="30"/>
      <c r="AB24" s="28">
        <f>270000000-40000000+300000000+40000000+63000000</f>
        <v>633000000</v>
      </c>
      <c r="AC24" s="30"/>
      <c r="AD24" s="30"/>
      <c r="AE24" s="30"/>
      <c r="AF24" s="93">
        <f t="shared" si="0"/>
        <v>633000000</v>
      </c>
      <c r="AG24" s="18" t="s">
        <v>1220</v>
      </c>
      <c r="AI24" s="21"/>
      <c r="AJ24" s="21"/>
    </row>
    <row r="25" spans="1:36" ht="204.75" hidden="1" customHeight="1" x14ac:dyDescent="0.2">
      <c r="A25" s="162">
        <v>308</v>
      </c>
      <c r="B25" s="115" t="s">
        <v>1074</v>
      </c>
      <c r="C25" s="17">
        <v>1</v>
      </c>
      <c r="D25" s="168">
        <v>1202</v>
      </c>
      <c r="E25" s="18" t="s">
        <v>1094</v>
      </c>
      <c r="F25" s="92" t="s">
        <v>100</v>
      </c>
      <c r="G25" s="17" t="s">
        <v>26</v>
      </c>
      <c r="H25" s="16" t="s">
        <v>101</v>
      </c>
      <c r="I25" s="17">
        <v>1202019</v>
      </c>
      <c r="J25" s="16" t="s">
        <v>102</v>
      </c>
      <c r="K25" s="17" t="s">
        <v>26</v>
      </c>
      <c r="L25" s="16" t="s">
        <v>103</v>
      </c>
      <c r="M25" s="77">
        <v>120201900</v>
      </c>
      <c r="N25" s="16" t="s">
        <v>104</v>
      </c>
      <c r="O25" s="94" t="s">
        <v>1213</v>
      </c>
      <c r="P25" s="105">
        <v>4</v>
      </c>
      <c r="Q25" s="105"/>
      <c r="R25" s="118">
        <f t="shared" si="1"/>
        <v>4</v>
      </c>
      <c r="S25" s="91">
        <v>2020003630017</v>
      </c>
      <c r="T25" s="18" t="s">
        <v>105</v>
      </c>
      <c r="U25" s="92" t="s">
        <v>106</v>
      </c>
      <c r="V25" s="50"/>
      <c r="W25" s="30"/>
      <c r="X25" s="30"/>
      <c r="Y25" s="30"/>
      <c r="Z25" s="30"/>
      <c r="AA25" s="30"/>
      <c r="AB25" s="28">
        <f>23750000+20500000+20000000</f>
        <v>64250000</v>
      </c>
      <c r="AC25" s="30"/>
      <c r="AD25" s="30"/>
      <c r="AE25" s="26"/>
      <c r="AF25" s="93">
        <f t="shared" si="0"/>
        <v>64250000</v>
      </c>
      <c r="AG25" s="18" t="s">
        <v>1227</v>
      </c>
      <c r="AI25" s="21"/>
      <c r="AJ25" s="21"/>
    </row>
    <row r="26" spans="1:36" ht="117" hidden="1" customHeight="1" x14ac:dyDescent="0.2">
      <c r="A26" s="162">
        <v>308</v>
      </c>
      <c r="B26" s="114" t="s">
        <v>1074</v>
      </c>
      <c r="C26" s="169">
        <v>1</v>
      </c>
      <c r="D26" s="168">
        <v>1906</v>
      </c>
      <c r="E26" s="18" t="s">
        <v>1086</v>
      </c>
      <c r="F26" s="116" t="s">
        <v>1201</v>
      </c>
      <c r="G26" s="117" t="s">
        <v>26</v>
      </c>
      <c r="H26" s="146" t="s">
        <v>1202</v>
      </c>
      <c r="I26" s="117">
        <v>1906015</v>
      </c>
      <c r="J26" s="80" t="s">
        <v>1203</v>
      </c>
      <c r="K26" s="117" t="s">
        <v>26</v>
      </c>
      <c r="L26" s="133" t="s">
        <v>1204</v>
      </c>
      <c r="M26" s="134">
        <v>190601500</v>
      </c>
      <c r="N26" s="81" t="s">
        <v>1203</v>
      </c>
      <c r="O26" s="94" t="s">
        <v>1215</v>
      </c>
      <c r="P26" s="135">
        <v>1</v>
      </c>
      <c r="Q26" s="135"/>
      <c r="R26" s="118">
        <f t="shared" si="1"/>
        <v>1</v>
      </c>
      <c r="S26" s="136">
        <v>2020003630018</v>
      </c>
      <c r="T26" s="18" t="s">
        <v>1205</v>
      </c>
      <c r="U26" s="137" t="s">
        <v>1206</v>
      </c>
      <c r="V26" s="50"/>
      <c r="W26" s="30"/>
      <c r="X26" s="30"/>
      <c r="Y26" s="30"/>
      <c r="Z26" s="30"/>
      <c r="AA26" s="30"/>
      <c r="AB26" s="28">
        <f>391811948+100000000+25000000</f>
        <v>516811948</v>
      </c>
      <c r="AC26" s="30"/>
      <c r="AD26" s="30"/>
      <c r="AE26" s="26"/>
      <c r="AF26" s="93">
        <f t="shared" si="0"/>
        <v>516811948</v>
      </c>
      <c r="AG26" s="18" t="s">
        <v>1227</v>
      </c>
      <c r="AI26" s="21"/>
      <c r="AJ26" s="21"/>
    </row>
    <row r="27" spans="1:36" ht="117" hidden="1" customHeight="1" x14ac:dyDescent="0.2">
      <c r="A27" s="162">
        <v>308</v>
      </c>
      <c r="B27" s="115" t="s">
        <v>1074</v>
      </c>
      <c r="C27" s="17">
        <v>1</v>
      </c>
      <c r="D27" s="168">
        <v>2201</v>
      </c>
      <c r="E27" s="18" t="s">
        <v>1106</v>
      </c>
      <c r="F27" s="18" t="s">
        <v>107</v>
      </c>
      <c r="G27" s="17" t="s">
        <v>26</v>
      </c>
      <c r="H27" s="18" t="s">
        <v>108</v>
      </c>
      <c r="I27" s="17">
        <v>2201062</v>
      </c>
      <c r="J27" s="18" t="s">
        <v>109</v>
      </c>
      <c r="K27" s="17" t="s">
        <v>26</v>
      </c>
      <c r="L27" s="90" t="s">
        <v>110</v>
      </c>
      <c r="M27" s="17">
        <v>220106200</v>
      </c>
      <c r="N27" s="90" t="s">
        <v>111</v>
      </c>
      <c r="O27" s="94" t="s">
        <v>1213</v>
      </c>
      <c r="P27" s="105">
        <v>15</v>
      </c>
      <c r="Q27" s="105">
        <v>6</v>
      </c>
      <c r="R27" s="118">
        <f t="shared" si="1"/>
        <v>21</v>
      </c>
      <c r="S27" s="91">
        <v>2020003630050</v>
      </c>
      <c r="T27" s="18" t="s">
        <v>1156</v>
      </c>
      <c r="U27" s="92" t="s">
        <v>112</v>
      </c>
      <c r="V27" s="50">
        <f>1500000000+1160848790.23+150000000+1091428109.65</f>
        <v>3902276899.8800001</v>
      </c>
      <c r="W27" s="30"/>
      <c r="X27" s="30"/>
      <c r="Y27" s="30"/>
      <c r="Z27" s="30"/>
      <c r="AA27" s="30"/>
      <c r="AB27" s="28"/>
      <c r="AC27" s="30"/>
      <c r="AD27" s="30"/>
      <c r="AE27" s="26"/>
      <c r="AF27" s="93">
        <f t="shared" si="0"/>
        <v>3902276899.8800001</v>
      </c>
      <c r="AG27" s="18" t="s">
        <v>1227</v>
      </c>
      <c r="AI27" s="21"/>
      <c r="AJ27" s="21"/>
    </row>
    <row r="28" spans="1:36" ht="117" hidden="1" customHeight="1" x14ac:dyDescent="0.2">
      <c r="A28" s="162">
        <v>308</v>
      </c>
      <c r="B28" s="115" t="s">
        <v>1074</v>
      </c>
      <c r="C28" s="17">
        <v>1</v>
      </c>
      <c r="D28" s="168">
        <v>3301</v>
      </c>
      <c r="E28" s="18" t="s">
        <v>1115</v>
      </c>
      <c r="F28" s="18" t="s">
        <v>113</v>
      </c>
      <c r="G28" s="17" t="s">
        <v>114</v>
      </c>
      <c r="H28" s="18" t="s">
        <v>115</v>
      </c>
      <c r="I28" s="17" t="s">
        <v>114</v>
      </c>
      <c r="J28" s="18" t="s">
        <v>115</v>
      </c>
      <c r="K28" s="77" t="s">
        <v>116</v>
      </c>
      <c r="L28" s="16" t="s">
        <v>117</v>
      </c>
      <c r="M28" s="77">
        <v>330106800</v>
      </c>
      <c r="N28" s="16" t="s">
        <v>117</v>
      </c>
      <c r="O28" s="94" t="s">
        <v>1213</v>
      </c>
      <c r="P28" s="105">
        <v>4</v>
      </c>
      <c r="Q28" s="105"/>
      <c r="R28" s="118">
        <f t="shared" si="1"/>
        <v>4</v>
      </c>
      <c r="S28" s="99">
        <v>2021003630001</v>
      </c>
      <c r="T28" s="18" t="s">
        <v>1157</v>
      </c>
      <c r="U28" s="92" t="s">
        <v>118</v>
      </c>
      <c r="V28" s="30"/>
      <c r="W28" s="30"/>
      <c r="X28" s="30"/>
      <c r="Y28" s="30"/>
      <c r="Z28" s="30"/>
      <c r="AA28" s="30"/>
      <c r="AB28" s="27">
        <f>50000000+17500000</f>
        <v>67500000</v>
      </c>
      <c r="AC28" s="30"/>
      <c r="AD28" s="30"/>
      <c r="AE28" s="30"/>
      <c r="AF28" s="93">
        <f t="shared" si="0"/>
        <v>67500000</v>
      </c>
      <c r="AG28" s="18" t="s">
        <v>1227</v>
      </c>
      <c r="AI28" s="21"/>
      <c r="AJ28" s="21"/>
    </row>
    <row r="29" spans="1:36" ht="117" hidden="1" customHeight="1" x14ac:dyDescent="0.2">
      <c r="A29" s="162">
        <v>308</v>
      </c>
      <c r="B29" s="115" t="s">
        <v>1074</v>
      </c>
      <c r="C29" s="17">
        <v>1</v>
      </c>
      <c r="D29" s="168">
        <v>4104</v>
      </c>
      <c r="E29" s="18" t="s">
        <v>1124</v>
      </c>
      <c r="F29" s="18" t="s">
        <v>1029</v>
      </c>
      <c r="G29" s="88">
        <v>4104036</v>
      </c>
      <c r="H29" s="90" t="s">
        <v>1030</v>
      </c>
      <c r="I29" s="88">
        <v>4104036</v>
      </c>
      <c r="J29" s="18" t="s">
        <v>1031</v>
      </c>
      <c r="K29" s="95">
        <v>410403600</v>
      </c>
      <c r="L29" s="90" t="s">
        <v>1032</v>
      </c>
      <c r="M29" s="95">
        <v>410403600</v>
      </c>
      <c r="N29" s="16" t="s">
        <v>1033</v>
      </c>
      <c r="O29" s="94" t="s">
        <v>1213</v>
      </c>
      <c r="P29" s="120">
        <v>0.6</v>
      </c>
      <c r="Q29" s="120"/>
      <c r="R29" s="130">
        <f t="shared" si="1"/>
        <v>0.6</v>
      </c>
      <c r="S29" s="91">
        <v>2021003630017</v>
      </c>
      <c r="T29" s="18" t="s">
        <v>1140</v>
      </c>
      <c r="U29" s="92" t="s">
        <v>1143</v>
      </c>
      <c r="V29" s="30"/>
      <c r="W29" s="30"/>
      <c r="X29" s="30"/>
      <c r="Y29" s="30"/>
      <c r="Z29" s="30"/>
      <c r="AA29" s="30"/>
      <c r="AB29" s="28">
        <f>50000000-10000000+10000000</f>
        <v>50000000</v>
      </c>
      <c r="AC29" s="30"/>
      <c r="AD29" s="30"/>
      <c r="AE29" s="30"/>
      <c r="AF29" s="93">
        <f t="shared" si="0"/>
        <v>50000000</v>
      </c>
      <c r="AG29" s="18" t="s">
        <v>1227</v>
      </c>
      <c r="AI29" s="21"/>
      <c r="AJ29" s="21"/>
    </row>
    <row r="30" spans="1:36" ht="171" hidden="1" customHeight="1" x14ac:dyDescent="0.2">
      <c r="A30" s="162">
        <v>308</v>
      </c>
      <c r="B30" s="115" t="s">
        <v>1074</v>
      </c>
      <c r="C30" s="17">
        <v>1</v>
      </c>
      <c r="D30" s="168">
        <v>4301</v>
      </c>
      <c r="E30" s="18" t="s">
        <v>1126</v>
      </c>
      <c r="F30" s="92" t="s">
        <v>119</v>
      </c>
      <c r="G30" s="17" t="s">
        <v>26</v>
      </c>
      <c r="H30" s="16" t="s">
        <v>120</v>
      </c>
      <c r="I30" s="17">
        <v>4301004</v>
      </c>
      <c r="J30" s="16" t="s">
        <v>121</v>
      </c>
      <c r="K30" s="17" t="s">
        <v>26</v>
      </c>
      <c r="L30" s="16" t="s">
        <v>122</v>
      </c>
      <c r="M30" s="17">
        <v>430100401</v>
      </c>
      <c r="N30" s="16" t="s">
        <v>123</v>
      </c>
      <c r="O30" s="94" t="s">
        <v>1213</v>
      </c>
      <c r="P30" s="105">
        <v>3</v>
      </c>
      <c r="Q30" s="105"/>
      <c r="R30" s="118">
        <f t="shared" si="1"/>
        <v>3</v>
      </c>
      <c r="S30" s="91">
        <v>2020003630052</v>
      </c>
      <c r="T30" s="18" t="s">
        <v>124</v>
      </c>
      <c r="U30" s="92" t="s">
        <v>125</v>
      </c>
      <c r="V30" s="39">
        <f>768349952+1664967+130000000+3034000000</f>
        <v>3934014919</v>
      </c>
      <c r="W30" s="30"/>
      <c r="X30" s="30"/>
      <c r="Y30" s="30"/>
      <c r="Z30" s="30"/>
      <c r="AA30" s="30"/>
      <c r="AB30" s="28"/>
      <c r="AC30" s="30"/>
      <c r="AD30" s="30"/>
      <c r="AE30" s="30"/>
      <c r="AF30" s="93">
        <f t="shared" si="0"/>
        <v>3934014919</v>
      </c>
      <c r="AG30" s="18" t="s">
        <v>1227</v>
      </c>
      <c r="AI30" s="21"/>
      <c r="AJ30" s="21"/>
    </row>
    <row r="31" spans="1:36" ht="117" hidden="1" customHeight="1" x14ac:dyDescent="0.2">
      <c r="A31" s="162">
        <v>308</v>
      </c>
      <c r="B31" s="115" t="s">
        <v>1074</v>
      </c>
      <c r="C31" s="17">
        <v>2</v>
      </c>
      <c r="D31" s="168">
        <v>1709</v>
      </c>
      <c r="E31" s="18" t="s">
        <v>1103</v>
      </c>
      <c r="F31" s="46" t="s">
        <v>318</v>
      </c>
      <c r="G31" s="88">
        <v>1709065</v>
      </c>
      <c r="H31" s="46" t="s">
        <v>1034</v>
      </c>
      <c r="I31" s="88">
        <v>1709065</v>
      </c>
      <c r="J31" s="46" t="s">
        <v>1034</v>
      </c>
      <c r="K31" s="88">
        <v>170906500</v>
      </c>
      <c r="L31" s="46" t="s">
        <v>1034</v>
      </c>
      <c r="M31" s="88">
        <v>170906500</v>
      </c>
      <c r="N31" s="46" t="s">
        <v>1036</v>
      </c>
      <c r="O31" s="94" t="s">
        <v>1212</v>
      </c>
      <c r="P31" s="91">
        <v>1</v>
      </c>
      <c r="Q31" s="91"/>
      <c r="R31" s="118">
        <f t="shared" si="1"/>
        <v>1</v>
      </c>
      <c r="S31" s="91">
        <v>2021003630018</v>
      </c>
      <c r="T31" s="46" t="s">
        <v>1141</v>
      </c>
      <c r="U31" s="92" t="s">
        <v>1147</v>
      </c>
      <c r="V31" s="39"/>
      <c r="W31" s="52"/>
      <c r="X31" s="52"/>
      <c r="Y31" s="52"/>
      <c r="Z31" s="52"/>
      <c r="AA31" s="52"/>
      <c r="AB31" s="28">
        <f>50000000-10000000-36600000</f>
        <v>3400000</v>
      </c>
      <c r="AC31" s="52"/>
      <c r="AD31" s="52"/>
      <c r="AE31" s="52"/>
      <c r="AF31" s="93">
        <f t="shared" si="0"/>
        <v>3400000</v>
      </c>
      <c r="AG31" s="18" t="s">
        <v>1227</v>
      </c>
      <c r="AI31" s="21"/>
      <c r="AJ31" s="21"/>
    </row>
    <row r="32" spans="1:36" ht="117" hidden="1" customHeight="1" x14ac:dyDescent="0.2">
      <c r="A32" s="162">
        <v>308</v>
      </c>
      <c r="B32" s="115" t="s">
        <v>1074</v>
      </c>
      <c r="C32" s="17">
        <v>2</v>
      </c>
      <c r="D32" s="168">
        <v>1709</v>
      </c>
      <c r="E32" s="18" t="s">
        <v>1103</v>
      </c>
      <c r="F32" s="46" t="s">
        <v>318</v>
      </c>
      <c r="G32" s="88">
        <v>1709078</v>
      </c>
      <c r="H32" s="46" t="s">
        <v>1035</v>
      </c>
      <c r="I32" s="88">
        <v>1709078</v>
      </c>
      <c r="J32" s="46" t="s">
        <v>1035</v>
      </c>
      <c r="K32" s="88">
        <v>170907800</v>
      </c>
      <c r="L32" s="46" t="s">
        <v>1035</v>
      </c>
      <c r="M32" s="88">
        <v>170907800</v>
      </c>
      <c r="N32" s="46" t="s">
        <v>1035</v>
      </c>
      <c r="O32" s="94" t="s">
        <v>1212</v>
      </c>
      <c r="P32" s="91">
        <v>1</v>
      </c>
      <c r="Q32" s="91"/>
      <c r="R32" s="118">
        <f t="shared" si="1"/>
        <v>1</v>
      </c>
      <c r="S32" s="91">
        <v>2021003630019</v>
      </c>
      <c r="T32" s="46" t="s">
        <v>1142</v>
      </c>
      <c r="U32" s="92" t="s">
        <v>1148</v>
      </c>
      <c r="V32" s="39"/>
      <c r="W32" s="52"/>
      <c r="X32" s="52"/>
      <c r="Y32" s="52"/>
      <c r="Z32" s="52"/>
      <c r="AA32" s="52"/>
      <c r="AB32" s="28">
        <f>50000000-10000000</f>
        <v>40000000</v>
      </c>
      <c r="AC32" s="52"/>
      <c r="AD32" s="52"/>
      <c r="AE32" s="52"/>
      <c r="AF32" s="93">
        <f t="shared" si="0"/>
        <v>40000000</v>
      </c>
      <c r="AG32" s="18" t="s">
        <v>1227</v>
      </c>
      <c r="AI32" s="21"/>
      <c r="AJ32" s="21"/>
    </row>
    <row r="33" spans="1:39" ht="117" hidden="1" customHeight="1" x14ac:dyDescent="0.2">
      <c r="A33" s="162">
        <v>308</v>
      </c>
      <c r="B33" s="115" t="s">
        <v>1074</v>
      </c>
      <c r="C33" s="17">
        <v>3</v>
      </c>
      <c r="D33" s="168">
        <v>2402</v>
      </c>
      <c r="E33" s="18" t="s">
        <v>1108</v>
      </c>
      <c r="F33" s="18" t="s">
        <v>126</v>
      </c>
      <c r="G33" s="17" t="s">
        <v>26</v>
      </c>
      <c r="H33" s="16" t="s">
        <v>127</v>
      </c>
      <c r="I33" s="17">
        <v>2402022</v>
      </c>
      <c r="J33" s="16" t="s">
        <v>128</v>
      </c>
      <c r="K33" s="17" t="s">
        <v>26</v>
      </c>
      <c r="L33" s="16" t="s">
        <v>129</v>
      </c>
      <c r="M33" s="17">
        <v>240202200</v>
      </c>
      <c r="N33" s="16" t="s">
        <v>130</v>
      </c>
      <c r="O33" s="94" t="s">
        <v>1212</v>
      </c>
      <c r="P33" s="121">
        <v>1</v>
      </c>
      <c r="Q33" s="121"/>
      <c r="R33" s="118">
        <f t="shared" si="1"/>
        <v>1</v>
      </c>
      <c r="S33" s="91">
        <v>2020003630053</v>
      </c>
      <c r="T33" s="18" t="s">
        <v>131</v>
      </c>
      <c r="U33" s="92" t="s">
        <v>132</v>
      </c>
      <c r="V33" s="30"/>
      <c r="W33" s="30"/>
      <c r="X33" s="30"/>
      <c r="Y33" s="30"/>
      <c r="Z33" s="30"/>
      <c r="AA33" s="30"/>
      <c r="AB33" s="28">
        <v>50000000</v>
      </c>
      <c r="AC33" s="27">
        <f>50000000+50000000</f>
        <v>100000000</v>
      </c>
      <c r="AD33" s="27"/>
      <c r="AE33" s="30"/>
      <c r="AF33" s="93">
        <f t="shared" si="0"/>
        <v>150000000</v>
      </c>
      <c r="AG33" s="18" t="s">
        <v>1227</v>
      </c>
      <c r="AI33" s="21"/>
      <c r="AJ33" s="21"/>
    </row>
    <row r="34" spans="1:39" ht="117" hidden="1" customHeight="1" x14ac:dyDescent="0.2">
      <c r="A34" s="162">
        <v>308</v>
      </c>
      <c r="B34" s="115" t="s">
        <v>1074</v>
      </c>
      <c r="C34" s="17">
        <v>3</v>
      </c>
      <c r="D34" s="168">
        <v>2402</v>
      </c>
      <c r="E34" s="18" t="s">
        <v>1108</v>
      </c>
      <c r="F34" s="16" t="s">
        <v>126</v>
      </c>
      <c r="G34" s="17" t="s">
        <v>26</v>
      </c>
      <c r="H34" s="16" t="s">
        <v>133</v>
      </c>
      <c r="I34" s="37">
        <v>2402041</v>
      </c>
      <c r="J34" s="16" t="s">
        <v>134</v>
      </c>
      <c r="K34" s="17" t="s">
        <v>26</v>
      </c>
      <c r="L34" s="16" t="s">
        <v>135</v>
      </c>
      <c r="M34" s="77">
        <v>240204100</v>
      </c>
      <c r="N34" s="16" t="s">
        <v>136</v>
      </c>
      <c r="O34" s="94" t="s">
        <v>1212</v>
      </c>
      <c r="P34" s="122">
        <v>70.379000000000005</v>
      </c>
      <c r="Q34" s="122"/>
      <c r="R34" s="132">
        <f t="shared" si="1"/>
        <v>70.379000000000005</v>
      </c>
      <c r="S34" s="91">
        <v>2020003630053</v>
      </c>
      <c r="T34" s="18" t="s">
        <v>131</v>
      </c>
      <c r="U34" s="92" t="s">
        <v>132</v>
      </c>
      <c r="V34" s="30"/>
      <c r="W34" s="30"/>
      <c r="X34" s="30"/>
      <c r="Y34" s="30"/>
      <c r="Z34" s="30"/>
      <c r="AA34" s="30"/>
      <c r="AB34" s="28">
        <f>300000000-250000000+7297411+210829+20000000</f>
        <v>77508240</v>
      </c>
      <c r="AC34" s="50">
        <f>1495430273-50000000-426000000</f>
        <v>1019430273</v>
      </c>
      <c r="AD34" s="50"/>
      <c r="AE34" s="30">
        <f>1609419084+1945093560+401080689+13798323517</f>
        <v>17753916850</v>
      </c>
      <c r="AF34" s="93">
        <f t="shared" si="0"/>
        <v>18850855363</v>
      </c>
      <c r="AG34" s="18" t="s">
        <v>1227</v>
      </c>
      <c r="AI34" s="138"/>
      <c r="AJ34" s="21"/>
      <c r="AK34" s="138"/>
      <c r="AL34" s="138"/>
      <c r="AM34" s="138"/>
    </row>
    <row r="35" spans="1:39" ht="117" hidden="1" customHeight="1" x14ac:dyDescent="0.2">
      <c r="A35" s="162">
        <v>308</v>
      </c>
      <c r="B35" s="115" t="s">
        <v>1074</v>
      </c>
      <c r="C35" s="17">
        <v>3</v>
      </c>
      <c r="D35" s="168">
        <v>2402</v>
      </c>
      <c r="E35" s="18" t="s">
        <v>1108</v>
      </c>
      <c r="F35" s="16" t="s">
        <v>126</v>
      </c>
      <c r="G35" s="17" t="s">
        <v>26</v>
      </c>
      <c r="H35" s="18" t="s">
        <v>137</v>
      </c>
      <c r="I35" s="17">
        <v>2402118</v>
      </c>
      <c r="J35" s="18" t="s">
        <v>138</v>
      </c>
      <c r="K35" s="17" t="s">
        <v>26</v>
      </c>
      <c r="L35" s="90" t="s">
        <v>139</v>
      </c>
      <c r="M35" s="17">
        <v>240211800</v>
      </c>
      <c r="N35" s="90" t="s">
        <v>140</v>
      </c>
      <c r="O35" s="94" t="s">
        <v>1213</v>
      </c>
      <c r="P35" s="105">
        <v>1</v>
      </c>
      <c r="Q35" s="105">
        <v>4</v>
      </c>
      <c r="R35" s="118">
        <f t="shared" si="1"/>
        <v>5</v>
      </c>
      <c r="S35" s="91">
        <v>2020003630054</v>
      </c>
      <c r="T35" s="90" t="s">
        <v>1158</v>
      </c>
      <c r="U35" s="92" t="s">
        <v>141</v>
      </c>
      <c r="V35" s="30"/>
      <c r="W35" s="30"/>
      <c r="X35" s="30"/>
      <c r="Y35" s="30"/>
      <c r="Z35" s="30"/>
      <c r="AA35" s="30"/>
      <c r="AB35" s="28">
        <f>50000000-10000000+115000000</f>
        <v>155000000</v>
      </c>
      <c r="AC35" s="27">
        <f>150000000-150000000</f>
        <v>0</v>
      </c>
      <c r="AD35" s="27"/>
      <c r="AE35" s="30"/>
      <c r="AF35" s="93">
        <f t="shared" si="0"/>
        <v>155000000</v>
      </c>
      <c r="AG35" s="18" t="s">
        <v>1227</v>
      </c>
      <c r="AI35" s="21"/>
      <c r="AJ35" s="21"/>
    </row>
    <row r="36" spans="1:39" ht="117" hidden="1" customHeight="1" x14ac:dyDescent="0.2">
      <c r="A36" s="162">
        <v>308</v>
      </c>
      <c r="B36" s="115" t="s">
        <v>1074</v>
      </c>
      <c r="C36" s="17">
        <v>3</v>
      </c>
      <c r="D36" s="168">
        <v>3205</v>
      </c>
      <c r="E36" s="18" t="s">
        <v>1113</v>
      </c>
      <c r="F36" s="18" t="s">
        <v>142</v>
      </c>
      <c r="G36" s="77">
        <v>3205010</v>
      </c>
      <c r="H36" s="18" t="s">
        <v>143</v>
      </c>
      <c r="I36" s="77">
        <v>3205010</v>
      </c>
      <c r="J36" s="18" t="s">
        <v>143</v>
      </c>
      <c r="K36" s="77" t="s">
        <v>144</v>
      </c>
      <c r="L36" s="90" t="s">
        <v>145</v>
      </c>
      <c r="M36" s="77">
        <v>320501000</v>
      </c>
      <c r="N36" s="90" t="s">
        <v>145</v>
      </c>
      <c r="O36" s="94" t="s">
        <v>1213</v>
      </c>
      <c r="P36" s="105">
        <v>3</v>
      </c>
      <c r="Q36" s="105">
        <v>1</v>
      </c>
      <c r="R36" s="118">
        <f t="shared" si="1"/>
        <v>4</v>
      </c>
      <c r="S36" s="25">
        <v>2021003630004</v>
      </c>
      <c r="T36" s="90" t="s">
        <v>146</v>
      </c>
      <c r="U36" s="92" t="s">
        <v>147</v>
      </c>
      <c r="V36" s="30"/>
      <c r="W36" s="30"/>
      <c r="X36" s="30"/>
      <c r="Y36" s="30"/>
      <c r="Z36" s="30"/>
      <c r="AA36" s="30"/>
      <c r="AB36" s="28">
        <f>60000000+980696869.44+373588130.56</f>
        <v>1414285000</v>
      </c>
      <c r="AC36" s="27">
        <f>1000000000-400000000</f>
        <v>600000000</v>
      </c>
      <c r="AD36" s="27"/>
      <c r="AE36" s="30"/>
      <c r="AF36" s="93">
        <f t="shared" si="0"/>
        <v>2014285000</v>
      </c>
      <c r="AG36" s="18" t="s">
        <v>1227</v>
      </c>
      <c r="AI36" s="21"/>
      <c r="AJ36" s="21"/>
    </row>
    <row r="37" spans="1:39" ht="117" hidden="1" customHeight="1" x14ac:dyDescent="0.2">
      <c r="A37" s="162">
        <v>308</v>
      </c>
      <c r="B37" s="115" t="s">
        <v>1074</v>
      </c>
      <c r="C37" s="17">
        <v>3</v>
      </c>
      <c r="D37" s="168">
        <v>3205</v>
      </c>
      <c r="E37" s="18" t="s">
        <v>1113</v>
      </c>
      <c r="F37" s="18" t="s">
        <v>1028</v>
      </c>
      <c r="G37" s="77">
        <v>3205021</v>
      </c>
      <c r="H37" s="18" t="s">
        <v>148</v>
      </c>
      <c r="I37" s="77">
        <v>3205021</v>
      </c>
      <c r="J37" s="18" t="s">
        <v>148</v>
      </c>
      <c r="K37" s="77">
        <v>320502100</v>
      </c>
      <c r="L37" s="90" t="s">
        <v>149</v>
      </c>
      <c r="M37" s="77">
        <v>320502100</v>
      </c>
      <c r="N37" s="90" t="s">
        <v>149</v>
      </c>
      <c r="O37" s="94" t="s">
        <v>1213</v>
      </c>
      <c r="P37" s="105">
        <v>3</v>
      </c>
      <c r="Q37" s="105">
        <v>1</v>
      </c>
      <c r="R37" s="118">
        <f t="shared" si="1"/>
        <v>4</v>
      </c>
      <c r="S37" s="25">
        <v>2021003630002</v>
      </c>
      <c r="T37" s="90" t="s">
        <v>1159</v>
      </c>
      <c r="U37" s="92" t="s">
        <v>150</v>
      </c>
      <c r="V37" s="30"/>
      <c r="W37" s="30"/>
      <c r="X37" s="30"/>
      <c r="Y37" s="30"/>
      <c r="Z37" s="30"/>
      <c r="AA37" s="30"/>
      <c r="AB37" s="28">
        <f>100000000+58000000+5000000+788472133.72</f>
        <v>951472133.72000003</v>
      </c>
      <c r="AC37" s="27">
        <v>300000000</v>
      </c>
      <c r="AD37" s="27"/>
      <c r="AE37" s="30"/>
      <c r="AF37" s="93">
        <f t="shared" si="0"/>
        <v>1251472133.72</v>
      </c>
      <c r="AG37" s="18" t="s">
        <v>1227</v>
      </c>
      <c r="AI37" s="21"/>
      <c r="AJ37" s="21"/>
    </row>
    <row r="38" spans="1:39" ht="117" hidden="1" customHeight="1" x14ac:dyDescent="0.2">
      <c r="A38" s="162">
        <v>308</v>
      </c>
      <c r="B38" s="115" t="s">
        <v>1074</v>
      </c>
      <c r="C38" s="17">
        <v>3</v>
      </c>
      <c r="D38" s="168">
        <v>4001</v>
      </c>
      <c r="E38" s="18" t="s">
        <v>1120</v>
      </c>
      <c r="F38" s="18" t="s">
        <v>151</v>
      </c>
      <c r="G38" s="37">
        <v>4001015</v>
      </c>
      <c r="H38" s="18" t="s">
        <v>152</v>
      </c>
      <c r="I38" s="37">
        <v>4001015</v>
      </c>
      <c r="J38" s="18" t="s">
        <v>152</v>
      </c>
      <c r="K38" s="95" t="s">
        <v>153</v>
      </c>
      <c r="L38" s="90" t="s">
        <v>154</v>
      </c>
      <c r="M38" s="95">
        <v>400101500</v>
      </c>
      <c r="N38" s="90" t="s">
        <v>154</v>
      </c>
      <c r="O38" s="94" t="s">
        <v>1213</v>
      </c>
      <c r="P38" s="105">
        <v>120</v>
      </c>
      <c r="Q38" s="105">
        <v>46</v>
      </c>
      <c r="R38" s="118">
        <f t="shared" si="1"/>
        <v>166</v>
      </c>
      <c r="S38" s="91">
        <v>2020003630057</v>
      </c>
      <c r="T38" s="90" t="s">
        <v>155</v>
      </c>
      <c r="U38" s="92" t="s">
        <v>156</v>
      </c>
      <c r="V38" s="30">
        <v>360000000</v>
      </c>
      <c r="W38" s="30"/>
      <c r="X38" s="30"/>
      <c r="Y38" s="30"/>
      <c r="Z38" s="30"/>
      <c r="AA38" s="30"/>
      <c r="AB38" s="28">
        <v>20000000</v>
      </c>
      <c r="AC38" s="27"/>
      <c r="AD38" s="27"/>
      <c r="AE38" s="30"/>
      <c r="AF38" s="93">
        <f t="shared" si="0"/>
        <v>380000000</v>
      </c>
      <c r="AG38" s="18" t="s">
        <v>1227</v>
      </c>
      <c r="AI38" s="21"/>
      <c r="AJ38" s="21"/>
    </row>
    <row r="39" spans="1:39" ht="117" hidden="1" customHeight="1" x14ac:dyDescent="0.2">
      <c r="A39" s="162">
        <v>308</v>
      </c>
      <c r="B39" s="115" t="s">
        <v>1074</v>
      </c>
      <c r="C39" s="17">
        <v>3</v>
      </c>
      <c r="D39" s="168">
        <v>4003</v>
      </c>
      <c r="E39" s="18" t="s">
        <v>1121</v>
      </c>
      <c r="F39" s="16" t="s">
        <v>157</v>
      </c>
      <c r="G39" s="77" t="s">
        <v>26</v>
      </c>
      <c r="H39" s="18" t="s">
        <v>158</v>
      </c>
      <c r="I39" s="17">
        <v>4003006</v>
      </c>
      <c r="J39" s="18" t="s">
        <v>159</v>
      </c>
      <c r="K39" s="77" t="s">
        <v>26</v>
      </c>
      <c r="L39" s="90" t="s">
        <v>160</v>
      </c>
      <c r="M39" s="17">
        <v>400300600</v>
      </c>
      <c r="N39" s="90" t="s">
        <v>161</v>
      </c>
      <c r="O39" s="94" t="s">
        <v>1212</v>
      </c>
      <c r="P39" s="121">
        <v>0</v>
      </c>
      <c r="Q39" s="121">
        <v>1</v>
      </c>
      <c r="R39" s="118">
        <f t="shared" si="1"/>
        <v>1</v>
      </c>
      <c r="S39" s="91">
        <v>2020003630014</v>
      </c>
      <c r="T39" s="90" t="s">
        <v>1048</v>
      </c>
      <c r="U39" s="92" t="s">
        <v>162</v>
      </c>
      <c r="V39" s="30"/>
      <c r="W39" s="30"/>
      <c r="X39" s="30"/>
      <c r="Y39" s="30"/>
      <c r="Z39" s="30"/>
      <c r="AA39" s="30">
        <v>100000000</v>
      </c>
      <c r="AB39" s="28"/>
      <c r="AC39" s="27"/>
      <c r="AD39" s="27"/>
      <c r="AE39" s="30"/>
      <c r="AF39" s="93">
        <f t="shared" ref="AF39:AF70" si="2">V39+W39+X39+Y39+Z39+AA39+AB39+AC39+AE39</f>
        <v>100000000</v>
      </c>
      <c r="AG39" s="18" t="s">
        <v>1227</v>
      </c>
      <c r="AI39" s="21"/>
      <c r="AJ39" s="21"/>
    </row>
    <row r="40" spans="1:39" ht="117" hidden="1" customHeight="1" x14ac:dyDescent="0.2">
      <c r="A40" s="162">
        <v>308</v>
      </c>
      <c r="B40" s="115" t="s">
        <v>1074</v>
      </c>
      <c r="C40" s="17">
        <v>3</v>
      </c>
      <c r="D40" s="168">
        <v>4003</v>
      </c>
      <c r="E40" s="18" t="s">
        <v>1121</v>
      </c>
      <c r="F40" s="16" t="s">
        <v>163</v>
      </c>
      <c r="G40" s="77">
        <v>4003018</v>
      </c>
      <c r="H40" s="16" t="s">
        <v>164</v>
      </c>
      <c r="I40" s="77">
        <v>4003018</v>
      </c>
      <c r="J40" s="16" t="s">
        <v>164</v>
      </c>
      <c r="K40" s="77">
        <v>400301802</v>
      </c>
      <c r="L40" s="90" t="s">
        <v>165</v>
      </c>
      <c r="M40" s="77">
        <v>400301802</v>
      </c>
      <c r="N40" s="90" t="s">
        <v>165</v>
      </c>
      <c r="O40" s="94" t="s">
        <v>1213</v>
      </c>
      <c r="P40" s="121">
        <v>0</v>
      </c>
      <c r="Q40" s="121">
        <v>1</v>
      </c>
      <c r="R40" s="118">
        <f>P40+Q40</f>
        <v>1</v>
      </c>
      <c r="S40" s="91">
        <v>2020003630014</v>
      </c>
      <c r="T40" s="90" t="s">
        <v>1048</v>
      </c>
      <c r="U40" s="92" t="s">
        <v>162</v>
      </c>
      <c r="V40" s="30"/>
      <c r="W40" s="30"/>
      <c r="X40" s="30"/>
      <c r="Y40" s="30"/>
      <c r="Z40" s="30"/>
      <c r="AA40" s="30">
        <f>514799289+311522</f>
        <v>515110811</v>
      </c>
      <c r="AB40" s="28"/>
      <c r="AC40" s="27"/>
      <c r="AD40" s="27"/>
      <c r="AE40" s="30"/>
      <c r="AF40" s="93">
        <f t="shared" si="2"/>
        <v>515110811</v>
      </c>
      <c r="AG40" s="18" t="s">
        <v>1227</v>
      </c>
      <c r="AI40" s="21"/>
      <c r="AJ40" s="21"/>
    </row>
    <row r="41" spans="1:39" ht="117" hidden="1" customHeight="1" x14ac:dyDescent="0.2">
      <c r="A41" s="162">
        <v>308</v>
      </c>
      <c r="B41" s="115" t="s">
        <v>1074</v>
      </c>
      <c r="C41" s="17">
        <v>3</v>
      </c>
      <c r="D41" s="168">
        <v>4003</v>
      </c>
      <c r="E41" s="18" t="s">
        <v>1121</v>
      </c>
      <c r="F41" s="16" t="s">
        <v>157</v>
      </c>
      <c r="G41" s="77">
        <v>4003025</v>
      </c>
      <c r="H41" s="16" t="s">
        <v>166</v>
      </c>
      <c r="I41" s="77">
        <v>4003025</v>
      </c>
      <c r="J41" s="16" t="s">
        <v>166</v>
      </c>
      <c r="K41" s="88">
        <v>400302500</v>
      </c>
      <c r="L41" s="46" t="s">
        <v>167</v>
      </c>
      <c r="M41" s="88">
        <v>400302500</v>
      </c>
      <c r="N41" s="46" t="s">
        <v>167</v>
      </c>
      <c r="O41" s="94" t="s">
        <v>1213</v>
      </c>
      <c r="P41" s="121">
        <v>4</v>
      </c>
      <c r="Q41" s="121">
        <v>2</v>
      </c>
      <c r="R41" s="118">
        <f t="shared" si="1"/>
        <v>6</v>
      </c>
      <c r="S41" s="91">
        <v>2020003630014</v>
      </c>
      <c r="T41" s="90" t="s">
        <v>1048</v>
      </c>
      <c r="U41" s="92" t="s">
        <v>162</v>
      </c>
      <c r="V41" s="30">
        <f>900000000+443419128</f>
        <v>1343419128</v>
      </c>
      <c r="W41" s="30"/>
      <c r="X41" s="30"/>
      <c r="Y41" s="30"/>
      <c r="Z41" s="30"/>
      <c r="AA41" s="30">
        <f>300000000+664789.8</f>
        <v>300664789.80000001</v>
      </c>
      <c r="AB41" s="28"/>
      <c r="AC41" s="27"/>
      <c r="AD41" s="27"/>
      <c r="AE41" s="30"/>
      <c r="AF41" s="93">
        <f t="shared" si="2"/>
        <v>1644083917.8</v>
      </c>
      <c r="AG41" s="18" t="s">
        <v>1227</v>
      </c>
      <c r="AI41" s="21"/>
      <c r="AJ41" s="21"/>
    </row>
    <row r="42" spans="1:39" ht="117" hidden="1" customHeight="1" x14ac:dyDescent="0.2">
      <c r="A42" s="162">
        <v>308</v>
      </c>
      <c r="B42" s="115" t="s">
        <v>1074</v>
      </c>
      <c r="C42" s="17">
        <v>3</v>
      </c>
      <c r="D42" s="168">
        <v>4003</v>
      </c>
      <c r="E42" s="18" t="s">
        <v>1121</v>
      </c>
      <c r="F42" s="16" t="s">
        <v>157</v>
      </c>
      <c r="G42" s="77">
        <v>4003028</v>
      </c>
      <c r="H42" s="16" t="s">
        <v>168</v>
      </c>
      <c r="I42" s="77">
        <v>4003028</v>
      </c>
      <c r="J42" s="16" t="s">
        <v>168</v>
      </c>
      <c r="K42" s="77">
        <v>400302801</v>
      </c>
      <c r="L42" s="90" t="s">
        <v>169</v>
      </c>
      <c r="M42" s="77">
        <v>400302801</v>
      </c>
      <c r="N42" s="90" t="s">
        <v>169</v>
      </c>
      <c r="O42" s="94" t="s">
        <v>1212</v>
      </c>
      <c r="P42" s="121">
        <v>4</v>
      </c>
      <c r="Q42" s="121"/>
      <c r="R42" s="118">
        <f t="shared" si="1"/>
        <v>4</v>
      </c>
      <c r="S42" s="91">
        <v>2020003630014</v>
      </c>
      <c r="T42" s="90" t="s">
        <v>1048</v>
      </c>
      <c r="U42" s="92" t="s">
        <v>162</v>
      </c>
      <c r="V42" s="30"/>
      <c r="W42" s="30"/>
      <c r="X42" s="30"/>
      <c r="Y42" s="30"/>
      <c r="Z42" s="30"/>
      <c r="AA42" s="30">
        <v>185000000</v>
      </c>
      <c r="AB42" s="28"/>
      <c r="AC42" s="27"/>
      <c r="AD42" s="27"/>
      <c r="AE42" s="30"/>
      <c r="AF42" s="93">
        <f t="shared" si="2"/>
        <v>185000000</v>
      </c>
      <c r="AG42" s="18" t="s">
        <v>1227</v>
      </c>
      <c r="AI42" s="21"/>
      <c r="AJ42" s="21"/>
    </row>
    <row r="43" spans="1:39" ht="117" hidden="1" customHeight="1" x14ac:dyDescent="0.2">
      <c r="A43" s="162">
        <v>308</v>
      </c>
      <c r="B43" s="115" t="s">
        <v>1074</v>
      </c>
      <c r="C43" s="17">
        <v>3</v>
      </c>
      <c r="D43" s="168">
        <v>4003</v>
      </c>
      <c r="E43" s="18" t="s">
        <v>1121</v>
      </c>
      <c r="F43" s="16" t="s">
        <v>157</v>
      </c>
      <c r="G43" s="77">
        <v>4003042</v>
      </c>
      <c r="H43" s="16" t="s">
        <v>170</v>
      </c>
      <c r="I43" s="77">
        <v>4003042</v>
      </c>
      <c r="J43" s="16" t="s">
        <v>170</v>
      </c>
      <c r="K43" s="77">
        <v>400304200</v>
      </c>
      <c r="L43" s="90" t="s">
        <v>171</v>
      </c>
      <c r="M43" s="77">
        <v>400304200</v>
      </c>
      <c r="N43" s="123" t="s">
        <v>171</v>
      </c>
      <c r="O43" s="94" t="s">
        <v>1213</v>
      </c>
      <c r="P43" s="121">
        <v>2</v>
      </c>
      <c r="Q43" s="121"/>
      <c r="R43" s="118">
        <f t="shared" si="1"/>
        <v>2</v>
      </c>
      <c r="S43" s="91">
        <v>2020003630014</v>
      </c>
      <c r="T43" s="90" t="s">
        <v>1048</v>
      </c>
      <c r="U43" s="92" t="s">
        <v>162</v>
      </c>
      <c r="V43" s="30"/>
      <c r="W43" s="30"/>
      <c r="X43" s="30"/>
      <c r="Y43" s="30"/>
      <c r="Z43" s="30"/>
      <c r="AA43" s="30">
        <v>650000000</v>
      </c>
      <c r="AB43" s="28"/>
      <c r="AC43" s="27"/>
      <c r="AD43" s="27"/>
      <c r="AE43" s="30"/>
      <c r="AF43" s="93">
        <f t="shared" si="2"/>
        <v>650000000</v>
      </c>
      <c r="AG43" s="18" t="s">
        <v>1227</v>
      </c>
      <c r="AI43" s="21"/>
      <c r="AJ43" s="21"/>
    </row>
    <row r="44" spans="1:39" ht="117" hidden="1" customHeight="1" x14ac:dyDescent="0.2">
      <c r="A44" s="162">
        <v>308</v>
      </c>
      <c r="B44" s="115" t="s">
        <v>1074</v>
      </c>
      <c r="C44" s="17">
        <v>3</v>
      </c>
      <c r="D44" s="168">
        <v>4003</v>
      </c>
      <c r="E44" s="18" t="s">
        <v>1121</v>
      </c>
      <c r="F44" s="16" t="s">
        <v>157</v>
      </c>
      <c r="G44" s="77" t="s">
        <v>172</v>
      </c>
      <c r="H44" s="16" t="s">
        <v>173</v>
      </c>
      <c r="I44" s="77" t="s">
        <v>172</v>
      </c>
      <c r="J44" s="16" t="s">
        <v>173</v>
      </c>
      <c r="K44" s="88">
        <v>400302600</v>
      </c>
      <c r="L44" s="46" t="s">
        <v>174</v>
      </c>
      <c r="M44" s="88">
        <v>400302600</v>
      </c>
      <c r="N44" s="46" t="s">
        <v>174</v>
      </c>
      <c r="O44" s="94" t="s">
        <v>1213</v>
      </c>
      <c r="P44" s="148">
        <v>0.5</v>
      </c>
      <c r="Q44" s="124"/>
      <c r="R44" s="130">
        <f t="shared" si="1"/>
        <v>0.5</v>
      </c>
      <c r="S44" s="91">
        <v>2020003630014</v>
      </c>
      <c r="T44" s="90" t="s">
        <v>1048</v>
      </c>
      <c r="U44" s="92" t="s">
        <v>1179</v>
      </c>
      <c r="V44" s="30"/>
      <c r="W44" s="30"/>
      <c r="X44" s="30"/>
      <c r="Y44" s="30"/>
      <c r="Z44" s="30"/>
      <c r="AA44" s="30">
        <f>1242000000-125187203</f>
        <v>1116812797</v>
      </c>
      <c r="AB44" s="28"/>
      <c r="AC44" s="27"/>
      <c r="AD44" s="27"/>
      <c r="AE44" s="30"/>
      <c r="AF44" s="93">
        <f t="shared" si="2"/>
        <v>1116812797</v>
      </c>
      <c r="AG44" s="18" t="s">
        <v>1227</v>
      </c>
      <c r="AI44" s="21"/>
      <c r="AJ44" s="21"/>
    </row>
    <row r="45" spans="1:39" ht="117" hidden="1" customHeight="1" x14ac:dyDescent="0.2">
      <c r="A45" s="162">
        <v>308</v>
      </c>
      <c r="B45" s="115" t="s">
        <v>1074</v>
      </c>
      <c r="C45" s="17">
        <v>4</v>
      </c>
      <c r="D45" s="168">
        <v>4599</v>
      </c>
      <c r="E45" s="18" t="s">
        <v>1093</v>
      </c>
      <c r="F45" s="18" t="s">
        <v>25</v>
      </c>
      <c r="G45" s="17" t="s">
        <v>26</v>
      </c>
      <c r="H45" s="18" t="s">
        <v>175</v>
      </c>
      <c r="I45" s="77" t="s">
        <v>176</v>
      </c>
      <c r="J45" s="18" t="s">
        <v>111</v>
      </c>
      <c r="K45" s="17" t="s">
        <v>26</v>
      </c>
      <c r="L45" s="90" t="s">
        <v>177</v>
      </c>
      <c r="M45" s="77">
        <v>459901600</v>
      </c>
      <c r="N45" s="18" t="s">
        <v>111</v>
      </c>
      <c r="O45" s="94" t="s">
        <v>1212</v>
      </c>
      <c r="P45" s="105">
        <v>4</v>
      </c>
      <c r="Q45" s="105"/>
      <c r="R45" s="118">
        <f t="shared" si="1"/>
        <v>4</v>
      </c>
      <c r="S45" s="100">
        <v>2021003630003</v>
      </c>
      <c r="T45" s="90" t="s">
        <v>1017</v>
      </c>
      <c r="U45" s="96" t="s">
        <v>178</v>
      </c>
      <c r="V45" s="39"/>
      <c r="W45" s="30"/>
      <c r="X45" s="30"/>
      <c r="Y45" s="30"/>
      <c r="Z45" s="30"/>
      <c r="AA45" s="30"/>
      <c r="AB45" s="28">
        <f>40000000+10000000+16000000+60660648</f>
        <v>126660648</v>
      </c>
      <c r="AC45" s="30"/>
      <c r="AD45" s="30"/>
      <c r="AE45" s="30"/>
      <c r="AF45" s="93">
        <f t="shared" si="2"/>
        <v>126660648</v>
      </c>
      <c r="AG45" s="18" t="s">
        <v>1227</v>
      </c>
      <c r="AI45" s="21"/>
      <c r="AJ45" s="21"/>
    </row>
    <row r="46" spans="1:39" ht="117" hidden="1" customHeight="1" x14ac:dyDescent="0.2">
      <c r="A46" s="162">
        <v>308</v>
      </c>
      <c r="B46" s="115" t="s">
        <v>1074</v>
      </c>
      <c r="C46" s="17">
        <v>4</v>
      </c>
      <c r="D46" s="168">
        <v>4502</v>
      </c>
      <c r="E46" s="18" t="s">
        <v>1091</v>
      </c>
      <c r="F46" s="18" t="s">
        <v>49</v>
      </c>
      <c r="G46" s="77">
        <v>4502003</v>
      </c>
      <c r="H46" s="16" t="s">
        <v>179</v>
      </c>
      <c r="I46" s="77">
        <v>4502003</v>
      </c>
      <c r="J46" s="16" t="s">
        <v>180</v>
      </c>
      <c r="K46" s="77">
        <v>450200300</v>
      </c>
      <c r="L46" s="90" t="s">
        <v>179</v>
      </c>
      <c r="M46" s="77">
        <v>450200300</v>
      </c>
      <c r="N46" s="90" t="s">
        <v>179</v>
      </c>
      <c r="O46" s="94" t="s">
        <v>1213</v>
      </c>
      <c r="P46" s="105">
        <v>2</v>
      </c>
      <c r="Q46" s="105"/>
      <c r="R46" s="118">
        <f t="shared" si="1"/>
        <v>2</v>
      </c>
      <c r="S46" s="25">
        <v>2021003630006</v>
      </c>
      <c r="T46" s="90" t="s">
        <v>181</v>
      </c>
      <c r="U46" s="96" t="s">
        <v>182</v>
      </c>
      <c r="V46" s="39"/>
      <c r="W46" s="30"/>
      <c r="X46" s="30"/>
      <c r="Y46" s="30"/>
      <c r="Z46" s="30"/>
      <c r="AA46" s="30"/>
      <c r="AB46" s="28">
        <f>38000000</f>
        <v>38000000</v>
      </c>
      <c r="AC46" s="30"/>
      <c r="AD46" s="30"/>
      <c r="AE46" s="30"/>
      <c r="AF46" s="93">
        <f t="shared" si="2"/>
        <v>38000000</v>
      </c>
      <c r="AG46" s="18" t="s">
        <v>1227</v>
      </c>
      <c r="AI46" s="21"/>
      <c r="AJ46" s="21"/>
    </row>
    <row r="47" spans="1:39" ht="180.75" hidden="1" customHeight="1" x14ac:dyDescent="0.2">
      <c r="A47" s="162">
        <v>309</v>
      </c>
      <c r="B47" s="115" t="s">
        <v>1075</v>
      </c>
      <c r="C47" s="17">
        <v>1</v>
      </c>
      <c r="D47" s="168">
        <v>1202</v>
      </c>
      <c r="E47" s="18" t="s">
        <v>1094</v>
      </c>
      <c r="F47" s="92" t="s">
        <v>100</v>
      </c>
      <c r="G47" s="17">
        <v>1202004</v>
      </c>
      <c r="H47" s="18" t="s">
        <v>183</v>
      </c>
      <c r="I47" s="17">
        <v>1202004</v>
      </c>
      <c r="J47" s="18" t="s">
        <v>183</v>
      </c>
      <c r="K47" s="77">
        <v>120200400</v>
      </c>
      <c r="L47" s="90" t="s">
        <v>76</v>
      </c>
      <c r="M47" s="77">
        <v>120200400</v>
      </c>
      <c r="N47" s="90" t="s">
        <v>76</v>
      </c>
      <c r="O47" s="94" t="s">
        <v>1212</v>
      </c>
      <c r="P47" s="105">
        <v>12</v>
      </c>
      <c r="Q47" s="105"/>
      <c r="R47" s="118">
        <f t="shared" si="1"/>
        <v>12</v>
      </c>
      <c r="S47" s="91">
        <v>2020003630060</v>
      </c>
      <c r="T47" s="90" t="s">
        <v>1160</v>
      </c>
      <c r="U47" s="96" t="s">
        <v>184</v>
      </c>
      <c r="V47" s="30"/>
      <c r="W47" s="30"/>
      <c r="X47" s="30"/>
      <c r="Y47" s="30"/>
      <c r="Z47" s="30"/>
      <c r="AA47" s="30"/>
      <c r="AB47" s="28">
        <f>114000000-30000000+10000000</f>
        <v>94000000</v>
      </c>
      <c r="AC47" s="30"/>
      <c r="AD47" s="30"/>
      <c r="AE47" s="30"/>
      <c r="AF47" s="93">
        <f t="shared" si="2"/>
        <v>94000000</v>
      </c>
      <c r="AG47" s="18" t="s">
        <v>1219</v>
      </c>
      <c r="AI47" s="21"/>
      <c r="AJ47" s="21"/>
    </row>
    <row r="48" spans="1:39" ht="180.75" hidden="1" customHeight="1" x14ac:dyDescent="0.2">
      <c r="A48" s="162">
        <v>309</v>
      </c>
      <c r="B48" s="115" t="s">
        <v>1075</v>
      </c>
      <c r="C48" s="17">
        <v>1</v>
      </c>
      <c r="D48" s="168">
        <v>1203</v>
      </c>
      <c r="E48" s="18" t="s">
        <v>1095</v>
      </c>
      <c r="F48" s="92" t="s">
        <v>100</v>
      </c>
      <c r="G48" s="17">
        <v>1203002</v>
      </c>
      <c r="H48" s="18" t="s">
        <v>185</v>
      </c>
      <c r="I48" s="17">
        <v>1203002</v>
      </c>
      <c r="J48" s="18" t="s">
        <v>185</v>
      </c>
      <c r="K48" s="17">
        <v>120300200</v>
      </c>
      <c r="L48" s="90" t="s">
        <v>186</v>
      </c>
      <c r="M48" s="17">
        <v>120300200</v>
      </c>
      <c r="N48" s="90" t="s">
        <v>186</v>
      </c>
      <c r="O48" s="94" t="s">
        <v>1213</v>
      </c>
      <c r="P48" s="105">
        <v>50</v>
      </c>
      <c r="Q48" s="105"/>
      <c r="R48" s="118">
        <f t="shared" si="1"/>
        <v>50</v>
      </c>
      <c r="S48" s="91">
        <v>2020003630061</v>
      </c>
      <c r="T48" s="90" t="s">
        <v>1161</v>
      </c>
      <c r="U48" s="96" t="s">
        <v>187</v>
      </c>
      <c r="V48" s="30"/>
      <c r="W48" s="30"/>
      <c r="X48" s="30"/>
      <c r="Y48" s="30"/>
      <c r="Z48" s="30"/>
      <c r="AA48" s="30"/>
      <c r="AB48" s="28">
        <f>36000000+4875872</f>
        <v>40875872</v>
      </c>
      <c r="AC48" s="30"/>
      <c r="AD48" s="30"/>
      <c r="AE48" s="39"/>
      <c r="AF48" s="93">
        <f t="shared" si="2"/>
        <v>40875872</v>
      </c>
      <c r="AG48" s="18" t="s">
        <v>1219</v>
      </c>
      <c r="AI48" s="21"/>
      <c r="AJ48" s="21"/>
    </row>
    <row r="49" spans="1:36" ht="180.75" hidden="1" customHeight="1" x14ac:dyDescent="0.2">
      <c r="A49" s="162">
        <v>309</v>
      </c>
      <c r="B49" s="115" t="s">
        <v>1075</v>
      </c>
      <c r="C49" s="17">
        <v>1</v>
      </c>
      <c r="D49" s="168">
        <v>1206</v>
      </c>
      <c r="E49" s="18" t="s">
        <v>1096</v>
      </c>
      <c r="F49" s="92" t="s">
        <v>100</v>
      </c>
      <c r="G49" s="17">
        <v>1206005</v>
      </c>
      <c r="H49" s="18" t="s">
        <v>188</v>
      </c>
      <c r="I49" s="17">
        <v>1206005</v>
      </c>
      <c r="J49" s="18" t="s">
        <v>188</v>
      </c>
      <c r="K49" s="77">
        <v>120600500</v>
      </c>
      <c r="L49" s="18" t="s">
        <v>189</v>
      </c>
      <c r="M49" s="77">
        <v>120600500</v>
      </c>
      <c r="N49" s="90" t="s">
        <v>189</v>
      </c>
      <c r="O49" s="94" t="s">
        <v>1213</v>
      </c>
      <c r="P49" s="105">
        <v>30</v>
      </c>
      <c r="Q49" s="105">
        <v>30</v>
      </c>
      <c r="R49" s="118">
        <f t="shared" si="1"/>
        <v>60</v>
      </c>
      <c r="S49" s="91">
        <v>2020003630062</v>
      </c>
      <c r="T49" s="90" t="s">
        <v>190</v>
      </c>
      <c r="U49" s="92" t="s">
        <v>191</v>
      </c>
      <c r="V49" s="30"/>
      <c r="W49" s="30"/>
      <c r="X49" s="30"/>
      <c r="Y49" s="30"/>
      <c r="Z49" s="30"/>
      <c r="AA49" s="30"/>
      <c r="AB49" s="28">
        <f>36000000+10000000</f>
        <v>46000000</v>
      </c>
      <c r="AC49" s="30"/>
      <c r="AD49" s="30"/>
      <c r="AE49" s="30"/>
      <c r="AF49" s="93">
        <f t="shared" si="2"/>
        <v>46000000</v>
      </c>
      <c r="AG49" s="18" t="s">
        <v>1219</v>
      </c>
      <c r="AI49" s="21"/>
      <c r="AJ49" s="21"/>
    </row>
    <row r="50" spans="1:36" ht="117" hidden="1" customHeight="1" x14ac:dyDescent="0.2">
      <c r="A50" s="162">
        <v>309</v>
      </c>
      <c r="B50" s="115" t="s">
        <v>1075</v>
      </c>
      <c r="C50" s="17">
        <v>1</v>
      </c>
      <c r="D50" s="168">
        <v>2201</v>
      </c>
      <c r="E50" s="18" t="s">
        <v>1106</v>
      </c>
      <c r="F50" s="92" t="s">
        <v>192</v>
      </c>
      <c r="G50" s="37">
        <v>2201068</v>
      </c>
      <c r="H50" s="18" t="s">
        <v>193</v>
      </c>
      <c r="I50" s="37">
        <v>2201068</v>
      </c>
      <c r="J50" s="18" t="s">
        <v>193</v>
      </c>
      <c r="K50" s="77">
        <v>220106800</v>
      </c>
      <c r="L50" s="90" t="s">
        <v>194</v>
      </c>
      <c r="M50" s="77">
        <v>220106800</v>
      </c>
      <c r="N50" s="90" t="s">
        <v>194</v>
      </c>
      <c r="O50" s="94" t="s">
        <v>1213</v>
      </c>
      <c r="P50" s="105">
        <v>76</v>
      </c>
      <c r="Q50" s="105"/>
      <c r="R50" s="118">
        <f t="shared" si="1"/>
        <v>76</v>
      </c>
      <c r="S50" s="91">
        <v>2020003630063</v>
      </c>
      <c r="T50" s="90" t="s">
        <v>1200</v>
      </c>
      <c r="U50" s="92" t="s">
        <v>195</v>
      </c>
      <c r="V50" s="30"/>
      <c r="W50" s="30"/>
      <c r="X50" s="30"/>
      <c r="Y50" s="30"/>
      <c r="Z50" s="30"/>
      <c r="AA50" s="30"/>
      <c r="AB50" s="28">
        <f>30000000+21943002</f>
        <v>51943002</v>
      </c>
      <c r="AC50" s="30"/>
      <c r="AD50" s="30"/>
      <c r="AE50" s="30"/>
      <c r="AF50" s="93">
        <f t="shared" si="2"/>
        <v>51943002</v>
      </c>
      <c r="AG50" s="18" t="s">
        <v>1219</v>
      </c>
      <c r="AI50" s="21"/>
      <c r="AJ50" s="21"/>
    </row>
    <row r="51" spans="1:36" ht="117" hidden="1" customHeight="1" x14ac:dyDescent="0.2">
      <c r="A51" s="162">
        <v>309</v>
      </c>
      <c r="B51" s="115" t="s">
        <v>1075</v>
      </c>
      <c r="C51" s="17">
        <v>1</v>
      </c>
      <c r="D51" s="168">
        <v>4101</v>
      </c>
      <c r="E51" s="18" t="s">
        <v>1122</v>
      </c>
      <c r="F51" s="92" t="s">
        <v>196</v>
      </c>
      <c r="G51" s="77">
        <v>4101023</v>
      </c>
      <c r="H51" s="18" t="s">
        <v>197</v>
      </c>
      <c r="I51" s="77">
        <v>4101023</v>
      </c>
      <c r="J51" s="18" t="s">
        <v>197</v>
      </c>
      <c r="K51" s="77">
        <v>410102300</v>
      </c>
      <c r="L51" s="90" t="s">
        <v>198</v>
      </c>
      <c r="M51" s="77">
        <v>410102300</v>
      </c>
      <c r="N51" s="90" t="s">
        <v>198</v>
      </c>
      <c r="O51" s="94" t="s">
        <v>1213</v>
      </c>
      <c r="P51" s="105">
        <v>900</v>
      </c>
      <c r="Q51" s="105"/>
      <c r="R51" s="118">
        <f t="shared" si="1"/>
        <v>900</v>
      </c>
      <c r="S51" s="91">
        <v>2020003630064</v>
      </c>
      <c r="T51" s="90" t="s">
        <v>199</v>
      </c>
      <c r="U51" s="92" t="s">
        <v>200</v>
      </c>
      <c r="V51" s="30"/>
      <c r="W51" s="30"/>
      <c r="X51" s="30"/>
      <c r="Y51" s="30"/>
      <c r="Z51" s="30"/>
      <c r="AA51" s="30"/>
      <c r="AB51" s="28">
        <f>70000000+77840398+8506600-5500000+35000000+16000000</f>
        <v>201846998</v>
      </c>
      <c r="AC51" s="30"/>
      <c r="AD51" s="30"/>
      <c r="AE51" s="30"/>
      <c r="AF51" s="93">
        <f t="shared" si="2"/>
        <v>201846998</v>
      </c>
      <c r="AG51" s="18" t="s">
        <v>1219</v>
      </c>
      <c r="AI51" s="21"/>
      <c r="AJ51" s="21"/>
    </row>
    <row r="52" spans="1:36" ht="117" hidden="1" customHeight="1" x14ac:dyDescent="0.2">
      <c r="A52" s="162">
        <v>309</v>
      </c>
      <c r="B52" s="115" t="s">
        <v>1075</v>
      </c>
      <c r="C52" s="17">
        <v>1</v>
      </c>
      <c r="D52" s="168">
        <v>4101</v>
      </c>
      <c r="E52" s="18" t="s">
        <v>1122</v>
      </c>
      <c r="F52" s="92" t="s">
        <v>196</v>
      </c>
      <c r="G52" s="88">
        <v>4101025</v>
      </c>
      <c r="H52" s="18" t="s">
        <v>201</v>
      </c>
      <c r="I52" s="77">
        <v>4101025</v>
      </c>
      <c r="J52" s="18" t="s">
        <v>201</v>
      </c>
      <c r="K52" s="77">
        <v>410102511</v>
      </c>
      <c r="L52" s="90" t="s">
        <v>202</v>
      </c>
      <c r="M52" s="77">
        <v>410102511</v>
      </c>
      <c r="N52" s="90" t="s">
        <v>202</v>
      </c>
      <c r="O52" s="94" t="s">
        <v>1213</v>
      </c>
      <c r="P52" s="105">
        <v>100</v>
      </c>
      <c r="Q52" s="105">
        <v>129</v>
      </c>
      <c r="R52" s="118">
        <f t="shared" si="1"/>
        <v>229</v>
      </c>
      <c r="S52" s="91">
        <v>2020003630064</v>
      </c>
      <c r="T52" s="90" t="s">
        <v>199</v>
      </c>
      <c r="U52" s="92" t="s">
        <v>200</v>
      </c>
      <c r="V52" s="30"/>
      <c r="W52" s="30"/>
      <c r="X52" s="30"/>
      <c r="Y52" s="30"/>
      <c r="Z52" s="30"/>
      <c r="AA52" s="30"/>
      <c r="AB52" s="28">
        <f>40000000+6079352</f>
        <v>46079352</v>
      </c>
      <c r="AC52" s="30"/>
      <c r="AD52" s="30"/>
      <c r="AE52" s="30"/>
      <c r="AF52" s="93">
        <f t="shared" si="2"/>
        <v>46079352</v>
      </c>
      <c r="AG52" s="18" t="s">
        <v>1219</v>
      </c>
      <c r="AI52" s="21"/>
      <c r="AJ52" s="21"/>
    </row>
    <row r="53" spans="1:36" ht="117" hidden="1" customHeight="1" x14ac:dyDescent="0.2">
      <c r="A53" s="162">
        <v>309</v>
      </c>
      <c r="B53" s="115" t="s">
        <v>1075</v>
      </c>
      <c r="C53" s="17">
        <v>1</v>
      </c>
      <c r="D53" s="168">
        <v>4101</v>
      </c>
      <c r="E53" s="18" t="s">
        <v>1122</v>
      </c>
      <c r="F53" s="92" t="s">
        <v>196</v>
      </c>
      <c r="G53" s="77">
        <v>4101038</v>
      </c>
      <c r="H53" s="18" t="s">
        <v>203</v>
      </c>
      <c r="I53" s="77">
        <v>4101038</v>
      </c>
      <c r="J53" s="18" t="s">
        <v>203</v>
      </c>
      <c r="K53" s="77">
        <v>410103800</v>
      </c>
      <c r="L53" s="90" t="s">
        <v>204</v>
      </c>
      <c r="M53" s="77">
        <v>410103800</v>
      </c>
      <c r="N53" s="90" t="s">
        <v>204</v>
      </c>
      <c r="O53" s="94" t="s">
        <v>1213</v>
      </c>
      <c r="P53" s="105">
        <v>12</v>
      </c>
      <c r="Q53" s="105"/>
      <c r="R53" s="118">
        <f t="shared" si="1"/>
        <v>12</v>
      </c>
      <c r="S53" s="91">
        <v>2020003630064</v>
      </c>
      <c r="T53" s="90" t="s">
        <v>199</v>
      </c>
      <c r="U53" s="92" t="s">
        <v>200</v>
      </c>
      <c r="V53" s="30"/>
      <c r="W53" s="30"/>
      <c r="X53" s="30"/>
      <c r="Y53" s="30"/>
      <c r="Z53" s="30"/>
      <c r="AA53" s="30"/>
      <c r="AB53" s="28">
        <f>41000000+5636096+5500000</f>
        <v>52136096</v>
      </c>
      <c r="AC53" s="30"/>
      <c r="AD53" s="30"/>
      <c r="AE53" s="30"/>
      <c r="AF53" s="93">
        <f t="shared" si="2"/>
        <v>52136096</v>
      </c>
      <c r="AG53" s="18" t="s">
        <v>1219</v>
      </c>
      <c r="AI53" s="21"/>
      <c r="AJ53" s="21"/>
    </row>
    <row r="54" spans="1:36" ht="117" hidden="1" customHeight="1" x14ac:dyDescent="0.2">
      <c r="A54" s="162">
        <v>309</v>
      </c>
      <c r="B54" s="115" t="s">
        <v>1075</v>
      </c>
      <c r="C54" s="17">
        <v>1</v>
      </c>
      <c r="D54" s="168">
        <v>4101</v>
      </c>
      <c r="E54" s="18" t="s">
        <v>1122</v>
      </c>
      <c r="F54" s="92" t="s">
        <v>205</v>
      </c>
      <c r="G54" s="77">
        <v>4101073</v>
      </c>
      <c r="H54" s="18" t="s">
        <v>206</v>
      </c>
      <c r="I54" s="77">
        <v>4101073</v>
      </c>
      <c r="J54" s="18" t="s">
        <v>206</v>
      </c>
      <c r="K54" s="77">
        <v>410107300</v>
      </c>
      <c r="L54" s="90" t="s">
        <v>207</v>
      </c>
      <c r="M54" s="77">
        <v>410107300</v>
      </c>
      <c r="N54" s="90" t="s">
        <v>207</v>
      </c>
      <c r="O54" s="94" t="s">
        <v>1213</v>
      </c>
      <c r="P54" s="105">
        <v>75</v>
      </c>
      <c r="Q54" s="105">
        <v>20</v>
      </c>
      <c r="R54" s="118">
        <f t="shared" si="1"/>
        <v>95</v>
      </c>
      <c r="S54" s="91">
        <v>2020003630064</v>
      </c>
      <c r="T54" s="90" t="s">
        <v>199</v>
      </c>
      <c r="U54" s="92" t="s">
        <v>200</v>
      </c>
      <c r="V54" s="30"/>
      <c r="W54" s="30"/>
      <c r="X54" s="30"/>
      <c r="Y54" s="30"/>
      <c r="Z54" s="30"/>
      <c r="AA54" s="30"/>
      <c r="AB54" s="28">
        <f>40000000+16062832-35000000</f>
        <v>21062832</v>
      </c>
      <c r="AC54" s="30"/>
      <c r="AD54" s="30"/>
      <c r="AE54" s="30"/>
      <c r="AF54" s="93">
        <f t="shared" si="2"/>
        <v>21062832</v>
      </c>
      <c r="AG54" s="18" t="s">
        <v>1219</v>
      </c>
      <c r="AI54" s="21"/>
      <c r="AJ54" s="21"/>
    </row>
    <row r="55" spans="1:36" ht="117" hidden="1" customHeight="1" x14ac:dyDescent="0.2">
      <c r="A55" s="162">
        <v>309</v>
      </c>
      <c r="B55" s="115" t="s">
        <v>1075</v>
      </c>
      <c r="C55" s="17">
        <v>1</v>
      </c>
      <c r="D55" s="168">
        <v>4101</v>
      </c>
      <c r="E55" s="18" t="s">
        <v>1122</v>
      </c>
      <c r="F55" s="92" t="s">
        <v>208</v>
      </c>
      <c r="G55" s="77">
        <v>4101011</v>
      </c>
      <c r="H55" s="18" t="s">
        <v>209</v>
      </c>
      <c r="I55" s="77">
        <v>4101011</v>
      </c>
      <c r="J55" s="18" t="s">
        <v>209</v>
      </c>
      <c r="K55" s="77">
        <v>410101100</v>
      </c>
      <c r="L55" s="90" t="s">
        <v>210</v>
      </c>
      <c r="M55" s="77">
        <v>410101100</v>
      </c>
      <c r="N55" s="90" t="s">
        <v>210</v>
      </c>
      <c r="O55" s="94" t="s">
        <v>1213</v>
      </c>
      <c r="P55" s="105">
        <v>3</v>
      </c>
      <c r="Q55" s="105">
        <v>1</v>
      </c>
      <c r="R55" s="118">
        <f t="shared" si="1"/>
        <v>4</v>
      </c>
      <c r="S55" s="91">
        <v>2020003630064</v>
      </c>
      <c r="T55" s="90" t="s">
        <v>199</v>
      </c>
      <c r="U55" s="92" t="s">
        <v>200</v>
      </c>
      <c r="V55" s="30"/>
      <c r="W55" s="30"/>
      <c r="X55" s="30"/>
      <c r="Y55" s="30"/>
      <c r="Z55" s="30"/>
      <c r="AA55" s="30"/>
      <c r="AB55" s="28">
        <f>15000000+9019167</f>
        <v>24019167</v>
      </c>
      <c r="AC55" s="30"/>
      <c r="AD55" s="30"/>
      <c r="AE55" s="30"/>
      <c r="AF55" s="93">
        <f t="shared" si="2"/>
        <v>24019167</v>
      </c>
      <c r="AG55" s="18" t="s">
        <v>1219</v>
      </c>
      <c r="AI55" s="21"/>
      <c r="AJ55" s="21"/>
    </row>
    <row r="56" spans="1:36" ht="117" hidden="1" customHeight="1" x14ac:dyDescent="0.2">
      <c r="A56" s="162">
        <v>309</v>
      </c>
      <c r="B56" s="115" t="s">
        <v>1075</v>
      </c>
      <c r="C56" s="17">
        <v>1</v>
      </c>
      <c r="D56" s="168">
        <v>4103</v>
      </c>
      <c r="E56" s="18" t="s">
        <v>1123</v>
      </c>
      <c r="F56" s="92" t="s">
        <v>211</v>
      </c>
      <c r="G56" s="17" t="s">
        <v>26</v>
      </c>
      <c r="H56" s="18" t="s">
        <v>212</v>
      </c>
      <c r="I56" s="77">
        <v>4103052</v>
      </c>
      <c r="J56" s="18" t="s">
        <v>213</v>
      </c>
      <c r="K56" s="17" t="s">
        <v>26</v>
      </c>
      <c r="L56" s="90" t="s">
        <v>214</v>
      </c>
      <c r="M56" s="77">
        <v>410305201</v>
      </c>
      <c r="N56" s="90" t="s">
        <v>215</v>
      </c>
      <c r="O56" s="94" t="s">
        <v>1213</v>
      </c>
      <c r="P56" s="105">
        <v>25</v>
      </c>
      <c r="Q56" s="105"/>
      <c r="R56" s="118">
        <f t="shared" si="1"/>
        <v>25</v>
      </c>
      <c r="S56" s="91">
        <v>2020003630065</v>
      </c>
      <c r="T56" s="90" t="s">
        <v>216</v>
      </c>
      <c r="U56" s="92" t="s">
        <v>217</v>
      </c>
      <c r="V56" s="30"/>
      <c r="W56" s="30"/>
      <c r="X56" s="30"/>
      <c r="Y56" s="30"/>
      <c r="Z56" s="30"/>
      <c r="AA56" s="30"/>
      <c r="AB56" s="28">
        <f>18000000+7735500</f>
        <v>25735500</v>
      </c>
      <c r="AC56" s="30"/>
      <c r="AD56" s="30"/>
      <c r="AE56" s="30"/>
      <c r="AF56" s="93">
        <f t="shared" si="2"/>
        <v>25735500</v>
      </c>
      <c r="AG56" s="18" t="s">
        <v>1219</v>
      </c>
      <c r="AI56" s="21"/>
      <c r="AJ56" s="21"/>
    </row>
    <row r="57" spans="1:36" ht="192" hidden="1" customHeight="1" x14ac:dyDescent="0.2">
      <c r="A57" s="162">
        <v>309</v>
      </c>
      <c r="B57" s="115" t="s">
        <v>1075</v>
      </c>
      <c r="C57" s="17">
        <v>1</v>
      </c>
      <c r="D57" s="168">
        <v>4501</v>
      </c>
      <c r="E57" s="18" t="s">
        <v>1125</v>
      </c>
      <c r="F57" s="92" t="s">
        <v>100</v>
      </c>
      <c r="G57" s="17" t="s">
        <v>26</v>
      </c>
      <c r="H57" s="18" t="s">
        <v>218</v>
      </c>
      <c r="I57" s="77">
        <v>4501029</v>
      </c>
      <c r="J57" s="18" t="s">
        <v>219</v>
      </c>
      <c r="K57" s="17" t="s">
        <v>26</v>
      </c>
      <c r="L57" s="90" t="s">
        <v>220</v>
      </c>
      <c r="M57" s="77">
        <v>450102900</v>
      </c>
      <c r="N57" s="90" t="s">
        <v>221</v>
      </c>
      <c r="O57" s="94" t="s">
        <v>1212</v>
      </c>
      <c r="P57" s="105">
        <v>5</v>
      </c>
      <c r="Q57" s="105"/>
      <c r="R57" s="118">
        <f t="shared" si="1"/>
        <v>5</v>
      </c>
      <c r="S57" s="91">
        <v>2020003630066</v>
      </c>
      <c r="T57" s="90" t="s">
        <v>1163</v>
      </c>
      <c r="U57" s="92" t="s">
        <v>1170</v>
      </c>
      <c r="V57" s="30"/>
      <c r="W57" s="30"/>
      <c r="X57" s="30"/>
      <c r="Y57" s="30"/>
      <c r="Z57" s="30"/>
      <c r="AA57" s="30"/>
      <c r="AB57" s="28"/>
      <c r="AC57" s="30">
        <f>1613517223+168740786+3032347900.15</f>
        <v>4814605909.1499996</v>
      </c>
      <c r="AD57" s="30"/>
      <c r="AE57" s="30"/>
      <c r="AF57" s="93">
        <f t="shared" si="2"/>
        <v>4814605909.1499996</v>
      </c>
      <c r="AG57" s="18" t="s">
        <v>1219</v>
      </c>
      <c r="AI57" s="21"/>
      <c r="AJ57" s="21"/>
    </row>
    <row r="58" spans="1:36" ht="192" hidden="1" customHeight="1" x14ac:dyDescent="0.2">
      <c r="A58" s="162">
        <v>309</v>
      </c>
      <c r="B58" s="115" t="s">
        <v>1075</v>
      </c>
      <c r="C58" s="17">
        <v>1</v>
      </c>
      <c r="D58" s="168">
        <v>4501</v>
      </c>
      <c r="E58" s="18" t="s">
        <v>1125</v>
      </c>
      <c r="F58" s="92" t="s">
        <v>100</v>
      </c>
      <c r="G58" s="17">
        <v>4501001</v>
      </c>
      <c r="H58" s="18" t="s">
        <v>74</v>
      </c>
      <c r="I58" s="17">
        <v>4501001</v>
      </c>
      <c r="J58" s="18" t="s">
        <v>74</v>
      </c>
      <c r="K58" s="17">
        <v>450100100</v>
      </c>
      <c r="L58" s="90" t="s">
        <v>222</v>
      </c>
      <c r="M58" s="17">
        <v>450100100</v>
      </c>
      <c r="N58" s="90" t="s">
        <v>222</v>
      </c>
      <c r="O58" s="94" t="s">
        <v>1212</v>
      </c>
      <c r="P58" s="105">
        <v>12</v>
      </c>
      <c r="Q58" s="105"/>
      <c r="R58" s="118">
        <f t="shared" si="1"/>
        <v>12</v>
      </c>
      <c r="S58" s="91">
        <v>2020003630068</v>
      </c>
      <c r="T58" s="90" t="s">
        <v>1018</v>
      </c>
      <c r="U58" s="92" t="s">
        <v>223</v>
      </c>
      <c r="V58" s="53"/>
      <c r="W58" s="30"/>
      <c r="X58" s="30"/>
      <c r="Y58" s="30"/>
      <c r="Z58" s="30"/>
      <c r="AA58" s="30"/>
      <c r="AB58" s="28">
        <v>36000000</v>
      </c>
      <c r="AC58" s="30"/>
      <c r="AD58" s="30"/>
      <c r="AE58" s="30"/>
      <c r="AF58" s="93">
        <f t="shared" si="2"/>
        <v>36000000</v>
      </c>
      <c r="AG58" s="18" t="s">
        <v>1219</v>
      </c>
      <c r="AI58" s="21"/>
      <c r="AJ58" s="21"/>
    </row>
    <row r="59" spans="1:36" ht="117" hidden="1" customHeight="1" x14ac:dyDescent="0.2">
      <c r="A59" s="162">
        <v>309</v>
      </c>
      <c r="B59" s="115" t="s">
        <v>1075</v>
      </c>
      <c r="C59" s="17">
        <v>3</v>
      </c>
      <c r="D59" s="168">
        <v>3205</v>
      </c>
      <c r="E59" s="18" t="s">
        <v>1113</v>
      </c>
      <c r="F59" s="92" t="s">
        <v>224</v>
      </c>
      <c r="G59" s="17">
        <v>3205002</v>
      </c>
      <c r="H59" s="18" t="s">
        <v>225</v>
      </c>
      <c r="I59" s="17">
        <v>3205002</v>
      </c>
      <c r="J59" s="18" t="s">
        <v>225</v>
      </c>
      <c r="K59" s="17">
        <v>320500200</v>
      </c>
      <c r="L59" s="90" t="s">
        <v>226</v>
      </c>
      <c r="M59" s="17">
        <v>320500200</v>
      </c>
      <c r="N59" s="90" t="s">
        <v>226</v>
      </c>
      <c r="O59" s="94" t="s">
        <v>1213</v>
      </c>
      <c r="P59" s="105">
        <v>3</v>
      </c>
      <c r="Q59" s="105">
        <v>1</v>
      </c>
      <c r="R59" s="118">
        <f t="shared" si="1"/>
        <v>4</v>
      </c>
      <c r="S59" s="91">
        <v>2020003630069</v>
      </c>
      <c r="T59" s="90" t="s">
        <v>227</v>
      </c>
      <c r="U59" s="92" t="s">
        <v>228</v>
      </c>
      <c r="V59" s="30"/>
      <c r="W59" s="30"/>
      <c r="X59" s="30"/>
      <c r="Y59" s="30"/>
      <c r="Z59" s="30"/>
      <c r="AA59" s="30"/>
      <c r="AB59" s="151">
        <f>45000000+186212500</f>
        <v>231212500</v>
      </c>
      <c r="AC59" s="30"/>
      <c r="AD59" s="30"/>
      <c r="AE59" s="30"/>
      <c r="AF59" s="93">
        <f t="shared" si="2"/>
        <v>231212500</v>
      </c>
      <c r="AG59" s="18" t="s">
        <v>1219</v>
      </c>
      <c r="AI59" s="21"/>
      <c r="AJ59" s="21"/>
    </row>
    <row r="60" spans="1:36" ht="117" hidden="1" customHeight="1" x14ac:dyDescent="0.2">
      <c r="A60" s="162">
        <v>309</v>
      </c>
      <c r="B60" s="115" t="s">
        <v>1075</v>
      </c>
      <c r="C60" s="17">
        <v>3</v>
      </c>
      <c r="D60" s="168">
        <v>4503</v>
      </c>
      <c r="E60" s="18" t="s">
        <v>1092</v>
      </c>
      <c r="F60" s="92" t="s">
        <v>229</v>
      </c>
      <c r="G60" s="17">
        <v>4503002</v>
      </c>
      <c r="H60" s="18" t="s">
        <v>230</v>
      </c>
      <c r="I60" s="17">
        <v>4503002</v>
      </c>
      <c r="J60" s="18" t="s">
        <v>230</v>
      </c>
      <c r="K60" s="17">
        <v>450300200</v>
      </c>
      <c r="L60" s="18" t="s">
        <v>231</v>
      </c>
      <c r="M60" s="17">
        <v>450300200</v>
      </c>
      <c r="N60" s="90" t="s">
        <v>231</v>
      </c>
      <c r="O60" s="94" t="s">
        <v>1213</v>
      </c>
      <c r="P60" s="105">
        <v>5000</v>
      </c>
      <c r="Q60" s="105"/>
      <c r="R60" s="118">
        <f t="shared" si="1"/>
        <v>5000</v>
      </c>
      <c r="S60" s="91">
        <v>2020003630070</v>
      </c>
      <c r="T60" s="92" t="s">
        <v>232</v>
      </c>
      <c r="U60" s="92" t="s">
        <v>233</v>
      </c>
      <c r="V60" s="30"/>
      <c r="W60" s="30"/>
      <c r="X60" s="30"/>
      <c r="Y60" s="30"/>
      <c r="Z60" s="30"/>
      <c r="AA60" s="30"/>
      <c r="AB60" s="28">
        <f>18000000+32195000</f>
        <v>50195000</v>
      </c>
      <c r="AC60" s="30"/>
      <c r="AD60" s="30"/>
      <c r="AE60" s="30"/>
      <c r="AF60" s="93">
        <f t="shared" si="2"/>
        <v>50195000</v>
      </c>
      <c r="AG60" s="18" t="s">
        <v>1219</v>
      </c>
      <c r="AI60" s="21"/>
      <c r="AJ60" s="21"/>
    </row>
    <row r="61" spans="1:36" ht="117" hidden="1" customHeight="1" x14ac:dyDescent="0.2">
      <c r="A61" s="162">
        <v>309</v>
      </c>
      <c r="B61" s="115" t="s">
        <v>1075</v>
      </c>
      <c r="C61" s="17">
        <v>3</v>
      </c>
      <c r="D61" s="168">
        <v>4503</v>
      </c>
      <c r="E61" s="18" t="s">
        <v>1092</v>
      </c>
      <c r="F61" s="92" t="s">
        <v>234</v>
      </c>
      <c r="G61" s="17">
        <v>4503003</v>
      </c>
      <c r="H61" s="18" t="s">
        <v>74</v>
      </c>
      <c r="I61" s="17">
        <v>4503003</v>
      </c>
      <c r="J61" s="18" t="s">
        <v>74</v>
      </c>
      <c r="K61" s="17">
        <v>450300300</v>
      </c>
      <c r="L61" s="90" t="s">
        <v>235</v>
      </c>
      <c r="M61" s="17">
        <v>450300300</v>
      </c>
      <c r="N61" s="90" t="s">
        <v>235</v>
      </c>
      <c r="O61" s="94" t="s">
        <v>1212</v>
      </c>
      <c r="P61" s="105">
        <v>12</v>
      </c>
      <c r="Q61" s="105"/>
      <c r="R61" s="118">
        <f t="shared" si="1"/>
        <v>12</v>
      </c>
      <c r="S61" s="91">
        <v>2020003630070</v>
      </c>
      <c r="T61" s="92" t="s">
        <v>232</v>
      </c>
      <c r="U61" s="92" t="s">
        <v>233</v>
      </c>
      <c r="V61" s="30"/>
      <c r="W61" s="30"/>
      <c r="X61" s="30"/>
      <c r="Y61" s="30"/>
      <c r="Z61" s="30"/>
      <c r="AA61" s="30"/>
      <c r="AB61" s="28">
        <f>100000000+114565000+47013200</f>
        <v>261578200</v>
      </c>
      <c r="AC61" s="30"/>
      <c r="AD61" s="30"/>
      <c r="AE61" s="30"/>
      <c r="AF61" s="93">
        <f t="shared" si="2"/>
        <v>261578200</v>
      </c>
      <c r="AG61" s="18" t="s">
        <v>1219</v>
      </c>
      <c r="AI61" s="21"/>
      <c r="AJ61" s="21"/>
    </row>
    <row r="62" spans="1:36" ht="117" hidden="1" customHeight="1" x14ac:dyDescent="0.2">
      <c r="A62" s="162">
        <v>309</v>
      </c>
      <c r="B62" s="115" t="s">
        <v>1075</v>
      </c>
      <c r="C62" s="17">
        <v>3</v>
      </c>
      <c r="D62" s="168">
        <v>4503</v>
      </c>
      <c r="E62" s="18" t="s">
        <v>1092</v>
      </c>
      <c r="F62" s="92" t="s">
        <v>234</v>
      </c>
      <c r="G62" s="17">
        <v>4503004</v>
      </c>
      <c r="H62" s="18" t="s">
        <v>236</v>
      </c>
      <c r="I62" s="17">
        <v>4503016</v>
      </c>
      <c r="J62" s="18" t="s">
        <v>237</v>
      </c>
      <c r="K62" s="17" t="s">
        <v>26</v>
      </c>
      <c r="L62" s="90" t="s">
        <v>238</v>
      </c>
      <c r="M62" s="17">
        <v>450301600</v>
      </c>
      <c r="N62" s="90" t="s">
        <v>239</v>
      </c>
      <c r="O62" s="94" t="s">
        <v>1212</v>
      </c>
      <c r="P62" s="105">
        <v>1</v>
      </c>
      <c r="Q62" s="105"/>
      <c r="R62" s="118">
        <f t="shared" si="1"/>
        <v>1</v>
      </c>
      <c r="S62" s="91">
        <v>2020003630070</v>
      </c>
      <c r="T62" s="92" t="s">
        <v>232</v>
      </c>
      <c r="U62" s="92" t="s">
        <v>233</v>
      </c>
      <c r="V62" s="30"/>
      <c r="W62" s="30"/>
      <c r="X62" s="30"/>
      <c r="Y62" s="30"/>
      <c r="Z62" s="30"/>
      <c r="AA62" s="30"/>
      <c r="AB62" s="28">
        <f>30000000+30199823.94</f>
        <v>60199823.939999998</v>
      </c>
      <c r="AC62" s="30"/>
      <c r="AD62" s="30"/>
      <c r="AE62" s="30"/>
      <c r="AF62" s="93">
        <f t="shared" si="2"/>
        <v>60199823.939999998</v>
      </c>
      <c r="AG62" s="18" t="s">
        <v>1219</v>
      </c>
      <c r="AI62" s="21"/>
      <c r="AJ62" s="21"/>
    </row>
    <row r="63" spans="1:36" ht="117" hidden="1" customHeight="1" x14ac:dyDescent="0.2">
      <c r="A63" s="162">
        <v>309</v>
      </c>
      <c r="B63" s="115" t="s">
        <v>1075</v>
      </c>
      <c r="C63" s="17">
        <v>4</v>
      </c>
      <c r="D63" s="168">
        <v>4502</v>
      </c>
      <c r="E63" s="18" t="s">
        <v>1091</v>
      </c>
      <c r="F63" s="92" t="s">
        <v>240</v>
      </c>
      <c r="G63" s="17">
        <v>4502024</v>
      </c>
      <c r="H63" s="18" t="s">
        <v>241</v>
      </c>
      <c r="I63" s="17">
        <v>4502024</v>
      </c>
      <c r="J63" s="18" t="s">
        <v>241</v>
      </c>
      <c r="K63" s="95">
        <v>450202400</v>
      </c>
      <c r="L63" s="90" t="s">
        <v>242</v>
      </c>
      <c r="M63" s="95">
        <v>450202400</v>
      </c>
      <c r="N63" s="90" t="s">
        <v>242</v>
      </c>
      <c r="O63" s="94" t="s">
        <v>1212</v>
      </c>
      <c r="P63" s="105">
        <v>10</v>
      </c>
      <c r="Q63" s="105"/>
      <c r="R63" s="118">
        <f t="shared" si="1"/>
        <v>10</v>
      </c>
      <c r="S63" s="91">
        <v>2020003630067</v>
      </c>
      <c r="T63" s="92" t="s">
        <v>1162</v>
      </c>
      <c r="U63" s="92" t="s">
        <v>243</v>
      </c>
      <c r="V63" s="30"/>
      <c r="W63" s="30"/>
      <c r="X63" s="30"/>
      <c r="Y63" s="30"/>
      <c r="Z63" s="30"/>
      <c r="AA63" s="30"/>
      <c r="AB63" s="28">
        <f>50000000+25982716.05+15000000+11540000</f>
        <v>102522716.05</v>
      </c>
      <c r="AC63" s="30"/>
      <c r="AD63" s="30"/>
      <c r="AE63" s="30"/>
      <c r="AF63" s="93">
        <f t="shared" si="2"/>
        <v>102522716.05</v>
      </c>
      <c r="AG63" s="18" t="s">
        <v>1219</v>
      </c>
      <c r="AI63" s="21"/>
      <c r="AJ63" s="21"/>
    </row>
    <row r="64" spans="1:36" ht="117" hidden="1" customHeight="1" x14ac:dyDescent="0.2">
      <c r="A64" s="162">
        <v>309</v>
      </c>
      <c r="B64" s="115" t="s">
        <v>1075</v>
      </c>
      <c r="C64" s="17">
        <v>4</v>
      </c>
      <c r="D64" s="168">
        <v>4502</v>
      </c>
      <c r="E64" s="18" t="s">
        <v>1091</v>
      </c>
      <c r="F64" s="92" t="s">
        <v>42</v>
      </c>
      <c r="G64" s="17">
        <v>4502001</v>
      </c>
      <c r="H64" s="18" t="s">
        <v>51</v>
      </c>
      <c r="I64" s="35">
        <v>4502001</v>
      </c>
      <c r="J64" s="18" t="s">
        <v>51</v>
      </c>
      <c r="K64" s="17">
        <v>450200100</v>
      </c>
      <c r="L64" s="90" t="s">
        <v>244</v>
      </c>
      <c r="M64" s="95">
        <v>450200100</v>
      </c>
      <c r="N64" s="90" t="s">
        <v>53</v>
      </c>
      <c r="O64" s="94" t="s">
        <v>1212</v>
      </c>
      <c r="P64" s="105">
        <v>3</v>
      </c>
      <c r="Q64" s="105"/>
      <c r="R64" s="118">
        <f t="shared" si="1"/>
        <v>3</v>
      </c>
      <c r="S64" s="91">
        <v>2020003630071</v>
      </c>
      <c r="T64" s="92" t="s">
        <v>1199</v>
      </c>
      <c r="U64" s="92" t="s">
        <v>245</v>
      </c>
      <c r="V64" s="30"/>
      <c r="W64" s="30"/>
      <c r="X64" s="30"/>
      <c r="Y64" s="30"/>
      <c r="Z64" s="30"/>
      <c r="AA64" s="30"/>
      <c r="AB64" s="28">
        <f>130000000+15000000+13000000+18920000</f>
        <v>176920000</v>
      </c>
      <c r="AC64" s="30"/>
      <c r="AD64" s="30"/>
      <c r="AE64" s="30"/>
      <c r="AF64" s="93">
        <f t="shared" si="2"/>
        <v>176920000</v>
      </c>
      <c r="AG64" s="18" t="s">
        <v>1219</v>
      </c>
      <c r="AI64" s="21"/>
      <c r="AJ64" s="21"/>
    </row>
    <row r="65" spans="1:36" ht="117" hidden="1" customHeight="1" x14ac:dyDescent="0.2">
      <c r="A65" s="162">
        <v>309</v>
      </c>
      <c r="B65" s="115" t="s">
        <v>1075</v>
      </c>
      <c r="C65" s="17">
        <v>4</v>
      </c>
      <c r="D65" s="168">
        <v>4502</v>
      </c>
      <c r="E65" s="18" t="s">
        <v>1091</v>
      </c>
      <c r="F65" s="92" t="s">
        <v>42</v>
      </c>
      <c r="G65" s="17" t="s">
        <v>26</v>
      </c>
      <c r="H65" s="18" t="s">
        <v>246</v>
      </c>
      <c r="I65" s="35">
        <v>4502001</v>
      </c>
      <c r="J65" s="18" t="s">
        <v>51</v>
      </c>
      <c r="K65" s="17" t="s">
        <v>26</v>
      </c>
      <c r="L65" s="90" t="s">
        <v>247</v>
      </c>
      <c r="M65" s="95">
        <v>450200111</v>
      </c>
      <c r="N65" s="90" t="s">
        <v>248</v>
      </c>
      <c r="O65" s="94" t="s">
        <v>1212</v>
      </c>
      <c r="P65" s="125">
        <v>1</v>
      </c>
      <c r="Q65" s="125"/>
      <c r="R65" s="118">
        <f t="shared" si="1"/>
        <v>1</v>
      </c>
      <c r="S65" s="91">
        <v>2020003630071</v>
      </c>
      <c r="T65" s="92" t="s">
        <v>1199</v>
      </c>
      <c r="U65" s="92" t="s">
        <v>245</v>
      </c>
      <c r="V65" s="30"/>
      <c r="W65" s="30"/>
      <c r="X65" s="30"/>
      <c r="Y65" s="30"/>
      <c r="Z65" s="30"/>
      <c r="AA65" s="30"/>
      <c r="AB65" s="28">
        <f>73000000+10000000</f>
        <v>83000000</v>
      </c>
      <c r="AC65" s="30"/>
      <c r="AD65" s="30"/>
      <c r="AE65" s="30"/>
      <c r="AF65" s="93">
        <f t="shared" si="2"/>
        <v>83000000</v>
      </c>
      <c r="AG65" s="18" t="s">
        <v>1219</v>
      </c>
      <c r="AI65" s="21"/>
      <c r="AJ65" s="21"/>
    </row>
    <row r="66" spans="1:36" ht="160.5" hidden="1" customHeight="1" x14ac:dyDescent="0.2">
      <c r="A66" s="162">
        <v>309</v>
      </c>
      <c r="B66" s="115" t="s">
        <v>1075</v>
      </c>
      <c r="C66" s="17">
        <v>4</v>
      </c>
      <c r="D66" s="168">
        <v>4502</v>
      </c>
      <c r="E66" s="18" t="s">
        <v>1091</v>
      </c>
      <c r="F66" s="92" t="s">
        <v>42</v>
      </c>
      <c r="G66" s="17" t="s">
        <v>26</v>
      </c>
      <c r="H66" s="18" t="s">
        <v>249</v>
      </c>
      <c r="I66" s="17">
        <v>4502001</v>
      </c>
      <c r="J66" s="18" t="s">
        <v>51</v>
      </c>
      <c r="K66" s="17" t="s">
        <v>26</v>
      </c>
      <c r="L66" s="90" t="s">
        <v>1019</v>
      </c>
      <c r="M66" s="95">
        <v>450200109</v>
      </c>
      <c r="N66" s="90" t="s">
        <v>250</v>
      </c>
      <c r="O66" s="94" t="s">
        <v>1212</v>
      </c>
      <c r="P66" s="105">
        <v>12</v>
      </c>
      <c r="Q66" s="105"/>
      <c r="R66" s="118">
        <f t="shared" si="1"/>
        <v>12</v>
      </c>
      <c r="S66" s="91">
        <v>2020003630071</v>
      </c>
      <c r="T66" s="92" t="s">
        <v>1199</v>
      </c>
      <c r="U66" s="92" t="s">
        <v>245</v>
      </c>
      <c r="V66" s="30"/>
      <c r="W66" s="30"/>
      <c r="X66" s="30"/>
      <c r="Y66" s="30"/>
      <c r="Z66" s="30"/>
      <c r="AA66" s="30"/>
      <c r="AB66" s="28">
        <f>35000000+2540000</f>
        <v>37540000</v>
      </c>
      <c r="AC66" s="30"/>
      <c r="AD66" s="30"/>
      <c r="AE66" s="30"/>
      <c r="AF66" s="93">
        <f t="shared" si="2"/>
        <v>37540000</v>
      </c>
      <c r="AG66" s="18" t="s">
        <v>1219</v>
      </c>
      <c r="AI66" s="21"/>
      <c r="AJ66" s="21"/>
    </row>
    <row r="67" spans="1:36" ht="117" hidden="1" customHeight="1" x14ac:dyDescent="0.2">
      <c r="A67" s="162">
        <v>309</v>
      </c>
      <c r="B67" s="115" t="s">
        <v>1075</v>
      </c>
      <c r="C67" s="17">
        <v>4</v>
      </c>
      <c r="D67" s="168">
        <v>4502</v>
      </c>
      <c r="E67" s="18" t="s">
        <v>1091</v>
      </c>
      <c r="F67" s="92" t="s">
        <v>42</v>
      </c>
      <c r="G67" s="17" t="s">
        <v>26</v>
      </c>
      <c r="H67" s="18" t="s">
        <v>251</v>
      </c>
      <c r="I67" s="35">
        <v>4502035</v>
      </c>
      <c r="J67" s="18" t="s">
        <v>252</v>
      </c>
      <c r="K67" s="17" t="s">
        <v>26</v>
      </c>
      <c r="L67" s="90" t="s">
        <v>253</v>
      </c>
      <c r="M67" s="35">
        <v>450203501</v>
      </c>
      <c r="N67" s="90" t="s">
        <v>254</v>
      </c>
      <c r="O67" s="94" t="s">
        <v>1213</v>
      </c>
      <c r="P67" s="120">
        <v>0.2</v>
      </c>
      <c r="Q67" s="120"/>
      <c r="R67" s="131">
        <f t="shared" si="1"/>
        <v>0.2</v>
      </c>
      <c r="S67" s="91">
        <v>2020003630071</v>
      </c>
      <c r="T67" s="92" t="s">
        <v>1199</v>
      </c>
      <c r="U67" s="92" t="s">
        <v>245</v>
      </c>
      <c r="V67" s="30"/>
      <c r="W67" s="30"/>
      <c r="X67" s="30"/>
      <c r="Y67" s="30"/>
      <c r="Z67" s="30"/>
      <c r="AA67" s="30"/>
      <c r="AB67" s="28">
        <f>25000000+5747466.1+10506600+2000000</f>
        <v>43254066.100000001</v>
      </c>
      <c r="AC67" s="30"/>
      <c r="AD67" s="30"/>
      <c r="AE67" s="30"/>
      <c r="AF67" s="93">
        <f t="shared" si="2"/>
        <v>43254066.100000001</v>
      </c>
      <c r="AG67" s="18" t="s">
        <v>1219</v>
      </c>
      <c r="AI67" s="21"/>
      <c r="AJ67" s="21"/>
    </row>
    <row r="68" spans="1:36" ht="117" hidden="1" customHeight="1" x14ac:dyDescent="0.2">
      <c r="A68" s="162">
        <v>310</v>
      </c>
      <c r="B68" s="115" t="s">
        <v>1076</v>
      </c>
      <c r="C68" s="17">
        <v>1</v>
      </c>
      <c r="D68" s="168">
        <v>3301</v>
      </c>
      <c r="E68" s="18" t="s">
        <v>1115</v>
      </c>
      <c r="F68" s="92" t="s">
        <v>1037</v>
      </c>
      <c r="G68" s="17">
        <v>3301087</v>
      </c>
      <c r="H68" s="18" t="s">
        <v>255</v>
      </c>
      <c r="I68" s="17">
        <v>3301087</v>
      </c>
      <c r="J68" s="18" t="s">
        <v>255</v>
      </c>
      <c r="K68" s="17">
        <v>330108701</v>
      </c>
      <c r="L68" s="18" t="s">
        <v>231</v>
      </c>
      <c r="M68" s="17">
        <v>330108701</v>
      </c>
      <c r="N68" s="90" t="s">
        <v>231</v>
      </c>
      <c r="O68" s="94" t="s">
        <v>1213</v>
      </c>
      <c r="P68" s="105">
        <v>5735</v>
      </c>
      <c r="Q68" s="105">
        <v>309</v>
      </c>
      <c r="R68" s="118">
        <f t="shared" si="1"/>
        <v>6044</v>
      </c>
      <c r="S68" s="91">
        <v>2020003630021</v>
      </c>
      <c r="T68" s="92" t="s">
        <v>256</v>
      </c>
      <c r="U68" s="92" t="s">
        <v>257</v>
      </c>
      <c r="V68" s="26"/>
      <c r="W68" s="30"/>
      <c r="X68" s="30"/>
      <c r="Y68" s="30"/>
      <c r="Z68" s="30"/>
      <c r="AA68" s="30"/>
      <c r="AB68" s="27">
        <f>370000000+20000000+90000000</f>
        <v>480000000</v>
      </c>
      <c r="AC68" s="30"/>
      <c r="AD68" s="30"/>
      <c r="AE68" s="30"/>
      <c r="AF68" s="93">
        <f t="shared" si="2"/>
        <v>480000000</v>
      </c>
      <c r="AG68" s="18" t="s">
        <v>1216</v>
      </c>
      <c r="AI68" s="21"/>
      <c r="AJ68" s="21"/>
    </row>
    <row r="69" spans="1:36" ht="117" hidden="1" customHeight="1" x14ac:dyDescent="0.2">
      <c r="A69" s="162">
        <v>310</v>
      </c>
      <c r="B69" s="115" t="s">
        <v>1076</v>
      </c>
      <c r="C69" s="17">
        <v>1</v>
      </c>
      <c r="D69" s="168">
        <v>3301</v>
      </c>
      <c r="E69" s="18" t="s">
        <v>1115</v>
      </c>
      <c r="F69" s="92" t="s">
        <v>1038</v>
      </c>
      <c r="G69" s="17">
        <v>3301073</v>
      </c>
      <c r="H69" s="18" t="s">
        <v>258</v>
      </c>
      <c r="I69" s="17">
        <v>3301073</v>
      </c>
      <c r="J69" s="18" t="s">
        <v>258</v>
      </c>
      <c r="K69" s="17">
        <v>330107301</v>
      </c>
      <c r="L69" s="90" t="s">
        <v>259</v>
      </c>
      <c r="M69" s="17">
        <v>330107301</v>
      </c>
      <c r="N69" s="90" t="s">
        <v>259</v>
      </c>
      <c r="O69" s="94" t="s">
        <v>1213</v>
      </c>
      <c r="P69" s="105">
        <v>550</v>
      </c>
      <c r="Q69" s="105">
        <v>50</v>
      </c>
      <c r="R69" s="118">
        <f t="shared" si="1"/>
        <v>600</v>
      </c>
      <c r="S69" s="91">
        <v>2020003630021</v>
      </c>
      <c r="T69" s="92" t="s">
        <v>256</v>
      </c>
      <c r="U69" s="92" t="s">
        <v>257</v>
      </c>
      <c r="V69" s="30">
        <f>871588097+174317619+790301+158060+83733679.79</f>
        <v>1130587756.79</v>
      </c>
      <c r="W69" s="30"/>
      <c r="X69" s="30"/>
      <c r="Y69" s="30"/>
      <c r="Z69" s="30"/>
      <c r="AA69" s="30"/>
      <c r="AB69" s="27">
        <f>150000000+50000000+8226708+182132000+100000000-8226708</f>
        <v>482132000</v>
      </c>
      <c r="AC69" s="30"/>
      <c r="AD69" s="30"/>
      <c r="AE69" s="30"/>
      <c r="AF69" s="93">
        <f t="shared" si="2"/>
        <v>1612719756.79</v>
      </c>
      <c r="AG69" s="18" t="s">
        <v>1216</v>
      </c>
      <c r="AI69" s="21"/>
      <c r="AJ69" s="21"/>
    </row>
    <row r="70" spans="1:36" ht="117" hidden="1" customHeight="1" x14ac:dyDescent="0.2">
      <c r="A70" s="162">
        <v>310</v>
      </c>
      <c r="B70" s="115" t="s">
        <v>1076</v>
      </c>
      <c r="C70" s="17">
        <v>1</v>
      </c>
      <c r="D70" s="168">
        <v>3301</v>
      </c>
      <c r="E70" s="18" t="s">
        <v>1115</v>
      </c>
      <c r="F70" s="96" t="s">
        <v>113</v>
      </c>
      <c r="G70" s="17" t="s">
        <v>26</v>
      </c>
      <c r="H70" s="18" t="s">
        <v>260</v>
      </c>
      <c r="I70" s="17">
        <v>3301070</v>
      </c>
      <c r="J70" s="18" t="s">
        <v>261</v>
      </c>
      <c r="K70" s="17" t="s">
        <v>26</v>
      </c>
      <c r="L70" s="90" t="s">
        <v>262</v>
      </c>
      <c r="M70" s="17">
        <v>330107000</v>
      </c>
      <c r="N70" s="90" t="s">
        <v>62</v>
      </c>
      <c r="O70" s="94" t="s">
        <v>1213</v>
      </c>
      <c r="P70" s="120">
        <v>0.4</v>
      </c>
      <c r="Q70" s="120"/>
      <c r="R70" s="130">
        <f t="shared" si="1"/>
        <v>0.4</v>
      </c>
      <c r="S70" s="91">
        <v>2020003630021</v>
      </c>
      <c r="T70" s="92" t="s">
        <v>256</v>
      </c>
      <c r="U70" s="92" t="s">
        <v>257</v>
      </c>
      <c r="V70" s="29"/>
      <c r="W70" s="30"/>
      <c r="X70" s="30"/>
      <c r="Y70" s="30"/>
      <c r="Z70" s="30"/>
      <c r="AA70" s="30"/>
      <c r="AB70" s="27">
        <f>36000000+8226708</f>
        <v>44226708</v>
      </c>
      <c r="AC70" s="30"/>
      <c r="AD70" s="30"/>
      <c r="AE70" s="30"/>
      <c r="AF70" s="93">
        <f t="shared" si="2"/>
        <v>44226708</v>
      </c>
      <c r="AG70" s="18" t="s">
        <v>1216</v>
      </c>
      <c r="AI70" s="21"/>
      <c r="AJ70" s="21"/>
    </row>
    <row r="71" spans="1:36" ht="117" hidden="1" customHeight="1" x14ac:dyDescent="0.2">
      <c r="A71" s="162">
        <v>310</v>
      </c>
      <c r="B71" s="115" t="s">
        <v>1076</v>
      </c>
      <c r="C71" s="17">
        <v>1</v>
      </c>
      <c r="D71" s="168">
        <v>3301</v>
      </c>
      <c r="E71" s="18" t="s">
        <v>1115</v>
      </c>
      <c r="F71" s="92" t="s">
        <v>1038</v>
      </c>
      <c r="G71" s="17">
        <v>3301099</v>
      </c>
      <c r="H71" s="18" t="s">
        <v>1020</v>
      </c>
      <c r="I71" s="17">
        <v>3301099</v>
      </c>
      <c r="J71" s="18" t="s">
        <v>1020</v>
      </c>
      <c r="K71" s="38">
        <v>330109900</v>
      </c>
      <c r="L71" s="90" t="s">
        <v>1021</v>
      </c>
      <c r="M71" s="17">
        <v>330109900</v>
      </c>
      <c r="N71" s="90" t="s">
        <v>1021</v>
      </c>
      <c r="O71" s="94" t="s">
        <v>1212</v>
      </c>
      <c r="P71" s="105">
        <v>1</v>
      </c>
      <c r="Q71" s="105"/>
      <c r="R71" s="118">
        <f t="shared" si="1"/>
        <v>1</v>
      </c>
      <c r="S71" s="91">
        <v>2020003630021</v>
      </c>
      <c r="T71" s="92" t="s">
        <v>256</v>
      </c>
      <c r="U71" s="92" t="s">
        <v>257</v>
      </c>
      <c r="V71" s="29"/>
      <c r="W71" s="30"/>
      <c r="X71" s="30"/>
      <c r="Y71" s="30"/>
      <c r="Z71" s="30"/>
      <c r="AA71" s="30"/>
      <c r="AB71" s="27">
        <v>30000000</v>
      </c>
      <c r="AC71" s="30"/>
      <c r="AD71" s="30"/>
      <c r="AE71" s="30"/>
      <c r="AF71" s="93">
        <f t="shared" ref="AF71:AF94" si="3">V71+W71+X71+Y71+Z71+AA71+AB71+AC71+AE71</f>
        <v>30000000</v>
      </c>
      <c r="AG71" s="18" t="s">
        <v>1216</v>
      </c>
      <c r="AI71" s="21"/>
      <c r="AJ71" s="21"/>
    </row>
    <row r="72" spans="1:36" ht="117" hidden="1" customHeight="1" x14ac:dyDescent="0.2">
      <c r="A72" s="162">
        <v>310</v>
      </c>
      <c r="B72" s="115" t="s">
        <v>1076</v>
      </c>
      <c r="C72" s="17">
        <v>1</v>
      </c>
      <c r="D72" s="168">
        <v>3301</v>
      </c>
      <c r="E72" s="18" t="s">
        <v>1115</v>
      </c>
      <c r="F72" s="92" t="s">
        <v>1037</v>
      </c>
      <c r="G72" s="17">
        <v>3301052</v>
      </c>
      <c r="H72" s="18" t="s">
        <v>263</v>
      </c>
      <c r="I72" s="17">
        <v>3301052</v>
      </c>
      <c r="J72" s="18" t="s">
        <v>263</v>
      </c>
      <c r="K72" s="38">
        <v>330105203</v>
      </c>
      <c r="L72" s="90" t="s">
        <v>264</v>
      </c>
      <c r="M72" s="38">
        <v>330105203</v>
      </c>
      <c r="N72" s="90" t="s">
        <v>264</v>
      </c>
      <c r="O72" s="94" t="s">
        <v>1212</v>
      </c>
      <c r="P72" s="105">
        <v>135</v>
      </c>
      <c r="Q72" s="105"/>
      <c r="R72" s="118">
        <f t="shared" ref="R72:R135" si="4">P72+Q72</f>
        <v>135</v>
      </c>
      <c r="S72" s="91">
        <v>2020003630021</v>
      </c>
      <c r="T72" s="92" t="s">
        <v>256</v>
      </c>
      <c r="U72" s="92" t="s">
        <v>257</v>
      </c>
      <c r="V72" s="29"/>
      <c r="W72" s="30"/>
      <c r="X72" s="30"/>
      <c r="Y72" s="30"/>
      <c r="Z72" s="30"/>
      <c r="AA72" s="30"/>
      <c r="AB72" s="27">
        <v>20000000</v>
      </c>
      <c r="AC72" s="30"/>
      <c r="AD72" s="30"/>
      <c r="AE72" s="30"/>
      <c r="AF72" s="93">
        <f t="shared" si="3"/>
        <v>20000000</v>
      </c>
      <c r="AG72" s="18" t="s">
        <v>1216</v>
      </c>
      <c r="AI72" s="21"/>
      <c r="AJ72" s="21"/>
    </row>
    <row r="73" spans="1:36" ht="117" hidden="1" customHeight="1" x14ac:dyDescent="0.2">
      <c r="A73" s="162">
        <v>310</v>
      </c>
      <c r="B73" s="115" t="s">
        <v>1076</v>
      </c>
      <c r="C73" s="17">
        <v>1</v>
      </c>
      <c r="D73" s="168">
        <v>3301</v>
      </c>
      <c r="E73" s="18" t="s">
        <v>1115</v>
      </c>
      <c r="F73" s="92" t="s">
        <v>1039</v>
      </c>
      <c r="G73" s="17">
        <v>3301085</v>
      </c>
      <c r="H73" s="18" t="s">
        <v>265</v>
      </c>
      <c r="I73" s="17">
        <v>3301085</v>
      </c>
      <c r="J73" s="18" t="s">
        <v>265</v>
      </c>
      <c r="K73" s="17" t="s">
        <v>266</v>
      </c>
      <c r="L73" s="90" t="s">
        <v>267</v>
      </c>
      <c r="M73" s="17">
        <v>330108500</v>
      </c>
      <c r="N73" s="90" t="s">
        <v>267</v>
      </c>
      <c r="O73" s="94" t="s">
        <v>1213</v>
      </c>
      <c r="P73" s="105">
        <v>115000</v>
      </c>
      <c r="Q73" s="105">
        <v>362</v>
      </c>
      <c r="R73" s="118">
        <f t="shared" si="4"/>
        <v>115362</v>
      </c>
      <c r="S73" s="91">
        <v>2020003630020</v>
      </c>
      <c r="T73" s="92" t="s">
        <v>268</v>
      </c>
      <c r="U73" s="92" t="s">
        <v>269</v>
      </c>
      <c r="V73" s="27">
        <f>110000000+68238766.06</f>
        <v>178238766.06</v>
      </c>
      <c r="W73" s="30"/>
      <c r="X73" s="30"/>
      <c r="Y73" s="30"/>
      <c r="Z73" s="30"/>
      <c r="AA73" s="30"/>
      <c r="AB73" s="28">
        <f>20000000+80000000+160000000</f>
        <v>260000000</v>
      </c>
      <c r="AC73" s="30"/>
      <c r="AD73" s="30"/>
      <c r="AE73" s="30"/>
      <c r="AF73" s="93">
        <f t="shared" si="3"/>
        <v>438238766.06</v>
      </c>
      <c r="AG73" s="18" t="s">
        <v>1216</v>
      </c>
      <c r="AI73" s="21"/>
      <c r="AJ73" s="21"/>
    </row>
    <row r="74" spans="1:36" ht="117" hidden="1" customHeight="1" x14ac:dyDescent="0.2">
      <c r="A74" s="162">
        <v>310</v>
      </c>
      <c r="B74" s="115" t="s">
        <v>1076</v>
      </c>
      <c r="C74" s="17">
        <v>1</v>
      </c>
      <c r="D74" s="168">
        <v>3301</v>
      </c>
      <c r="E74" s="18" t="s">
        <v>1115</v>
      </c>
      <c r="F74" s="92" t="s">
        <v>1039</v>
      </c>
      <c r="G74" s="17">
        <v>3301100</v>
      </c>
      <c r="H74" s="18" t="s">
        <v>270</v>
      </c>
      <c r="I74" s="17">
        <v>3301100</v>
      </c>
      <c r="J74" s="18" t="s">
        <v>270</v>
      </c>
      <c r="K74" s="38" t="s">
        <v>271</v>
      </c>
      <c r="L74" s="90" t="s">
        <v>272</v>
      </c>
      <c r="M74" s="38">
        <v>330110000</v>
      </c>
      <c r="N74" s="90" t="s">
        <v>272</v>
      </c>
      <c r="O74" s="94" t="s">
        <v>1213</v>
      </c>
      <c r="P74" s="105">
        <v>15</v>
      </c>
      <c r="Q74" s="105"/>
      <c r="R74" s="118">
        <f t="shared" si="4"/>
        <v>15</v>
      </c>
      <c r="S74" s="91">
        <v>2020003630020</v>
      </c>
      <c r="T74" s="18" t="s">
        <v>268</v>
      </c>
      <c r="U74" s="92" t="s">
        <v>269</v>
      </c>
      <c r="V74" s="27">
        <f>64475679+40000000</f>
        <v>104475679</v>
      </c>
      <c r="W74" s="30"/>
      <c r="X74" s="30"/>
      <c r="Y74" s="30"/>
      <c r="Z74" s="30"/>
      <c r="AA74" s="30"/>
      <c r="AB74" s="30">
        <v>18000000</v>
      </c>
      <c r="AC74" s="30"/>
      <c r="AD74" s="30"/>
      <c r="AE74" s="30"/>
      <c r="AF74" s="93">
        <f t="shared" si="3"/>
        <v>122475679</v>
      </c>
      <c r="AG74" s="18" t="s">
        <v>1216</v>
      </c>
      <c r="AI74" s="21"/>
      <c r="AJ74" s="21"/>
    </row>
    <row r="75" spans="1:36" ht="117" hidden="1" customHeight="1" x14ac:dyDescent="0.2">
      <c r="A75" s="162">
        <v>310</v>
      </c>
      <c r="B75" s="115" t="s">
        <v>1076</v>
      </c>
      <c r="C75" s="17">
        <v>1</v>
      </c>
      <c r="D75" s="168">
        <v>3301</v>
      </c>
      <c r="E75" s="18" t="s">
        <v>1115</v>
      </c>
      <c r="F75" s="92" t="s">
        <v>1038</v>
      </c>
      <c r="G75" s="17">
        <v>3301095</v>
      </c>
      <c r="H75" s="18" t="s">
        <v>273</v>
      </c>
      <c r="I75" s="17">
        <v>3301095</v>
      </c>
      <c r="J75" s="18" t="s">
        <v>273</v>
      </c>
      <c r="K75" s="17" t="s">
        <v>274</v>
      </c>
      <c r="L75" s="90" t="s">
        <v>275</v>
      </c>
      <c r="M75" s="17">
        <v>330109500</v>
      </c>
      <c r="N75" s="18" t="s">
        <v>275</v>
      </c>
      <c r="O75" s="94" t="s">
        <v>1213</v>
      </c>
      <c r="P75" s="105">
        <v>150</v>
      </c>
      <c r="Q75" s="105"/>
      <c r="R75" s="118">
        <f t="shared" si="4"/>
        <v>150</v>
      </c>
      <c r="S75" s="91">
        <v>2020003630072</v>
      </c>
      <c r="T75" s="92" t="s">
        <v>1164</v>
      </c>
      <c r="U75" s="92" t="s">
        <v>276</v>
      </c>
      <c r="V75" s="30">
        <f>174317619+158060+252294235.73</f>
        <v>426769914.73000002</v>
      </c>
      <c r="W75" s="30"/>
      <c r="X75" s="30"/>
      <c r="Y75" s="30"/>
      <c r="Z75" s="30"/>
      <c r="AA75" s="30"/>
      <c r="AB75" s="27">
        <v>20000000</v>
      </c>
      <c r="AC75" s="30"/>
      <c r="AD75" s="30"/>
      <c r="AE75" s="30"/>
      <c r="AF75" s="93">
        <f t="shared" si="3"/>
        <v>446769914.73000002</v>
      </c>
      <c r="AG75" s="18" t="s">
        <v>1216</v>
      </c>
      <c r="AI75" s="21"/>
      <c r="AJ75" s="21"/>
    </row>
    <row r="76" spans="1:36" ht="117" hidden="1" customHeight="1" x14ac:dyDescent="0.2">
      <c r="A76" s="162">
        <v>310</v>
      </c>
      <c r="B76" s="115" t="s">
        <v>1076</v>
      </c>
      <c r="C76" s="17">
        <v>1</v>
      </c>
      <c r="D76" s="168">
        <v>3302</v>
      </c>
      <c r="E76" s="18" t="s">
        <v>1116</v>
      </c>
      <c r="F76" s="92" t="s">
        <v>1040</v>
      </c>
      <c r="G76" s="37">
        <v>3302042</v>
      </c>
      <c r="H76" s="18" t="s">
        <v>277</v>
      </c>
      <c r="I76" s="37">
        <v>3302042</v>
      </c>
      <c r="J76" s="18" t="s">
        <v>277</v>
      </c>
      <c r="K76" s="17" t="s">
        <v>278</v>
      </c>
      <c r="L76" s="90" t="s">
        <v>279</v>
      </c>
      <c r="M76" s="17">
        <v>330204200</v>
      </c>
      <c r="N76" s="90" t="s">
        <v>279</v>
      </c>
      <c r="O76" s="94" t="s">
        <v>1213</v>
      </c>
      <c r="P76" s="105">
        <v>12</v>
      </c>
      <c r="Q76" s="105"/>
      <c r="R76" s="118">
        <f t="shared" si="4"/>
        <v>12</v>
      </c>
      <c r="S76" s="91">
        <v>2020003630073</v>
      </c>
      <c r="T76" s="92" t="s">
        <v>1165</v>
      </c>
      <c r="U76" s="92" t="s">
        <v>280</v>
      </c>
      <c r="V76" s="30"/>
      <c r="W76" s="30"/>
      <c r="X76" s="30"/>
      <c r="Y76" s="30"/>
      <c r="Z76" s="30"/>
      <c r="AA76" s="30"/>
      <c r="AB76" s="28">
        <f>66500000+10000000</f>
        <v>76500000</v>
      </c>
      <c r="AC76" s="26"/>
      <c r="AD76" s="26"/>
      <c r="AE76" s="39"/>
      <c r="AF76" s="93">
        <f t="shared" si="3"/>
        <v>76500000</v>
      </c>
      <c r="AG76" s="18" t="s">
        <v>1216</v>
      </c>
      <c r="AI76" s="21"/>
      <c r="AJ76" s="21"/>
    </row>
    <row r="77" spans="1:36" ht="117" hidden="1" customHeight="1" x14ac:dyDescent="0.2">
      <c r="A77" s="162">
        <v>310</v>
      </c>
      <c r="B77" s="115" t="s">
        <v>1076</v>
      </c>
      <c r="C77" s="17">
        <v>1</v>
      </c>
      <c r="D77" s="168">
        <v>3302</v>
      </c>
      <c r="E77" s="18" t="s">
        <v>1116</v>
      </c>
      <c r="F77" s="92" t="s">
        <v>1040</v>
      </c>
      <c r="G77" s="37">
        <v>3302070</v>
      </c>
      <c r="H77" s="18" t="s">
        <v>281</v>
      </c>
      <c r="I77" s="37">
        <v>3302070</v>
      </c>
      <c r="J77" s="18" t="s">
        <v>281</v>
      </c>
      <c r="K77" s="38" t="s">
        <v>282</v>
      </c>
      <c r="L77" s="90" t="s">
        <v>272</v>
      </c>
      <c r="M77" s="38">
        <v>330207000</v>
      </c>
      <c r="N77" s="90" t="s">
        <v>272</v>
      </c>
      <c r="O77" s="94" t="s">
        <v>1212</v>
      </c>
      <c r="P77" s="105">
        <v>4</v>
      </c>
      <c r="Q77" s="105"/>
      <c r="R77" s="118">
        <f t="shared" si="4"/>
        <v>4</v>
      </c>
      <c r="S77" s="91">
        <v>2020003630073</v>
      </c>
      <c r="T77" s="92" t="s">
        <v>1165</v>
      </c>
      <c r="U77" s="92" t="s">
        <v>280</v>
      </c>
      <c r="V77" s="26"/>
      <c r="W77" s="30"/>
      <c r="X77" s="30"/>
      <c r="Y77" s="30"/>
      <c r="Z77" s="30"/>
      <c r="AA77" s="30"/>
      <c r="AB77" s="28">
        <f>66500000+28000000</f>
        <v>94500000</v>
      </c>
      <c r="AC77" s="28">
        <f>141163803+34433.3-37304381</f>
        <v>103893855.30000001</v>
      </c>
      <c r="AD77" s="39"/>
      <c r="AE77" s="39"/>
      <c r="AF77" s="93">
        <f t="shared" si="3"/>
        <v>198393855.30000001</v>
      </c>
      <c r="AG77" s="18" t="s">
        <v>1216</v>
      </c>
      <c r="AI77" s="21"/>
      <c r="AJ77" s="21"/>
    </row>
    <row r="78" spans="1:36" ht="117" hidden="1" customHeight="1" x14ac:dyDescent="0.2">
      <c r="A78" s="162">
        <v>311</v>
      </c>
      <c r="B78" s="115" t="s">
        <v>1077</v>
      </c>
      <c r="C78" s="35">
        <v>2</v>
      </c>
      <c r="D78" s="168">
        <v>3502</v>
      </c>
      <c r="E78" s="18" t="s">
        <v>1117</v>
      </c>
      <c r="F78" s="92" t="s">
        <v>283</v>
      </c>
      <c r="G78" s="17">
        <v>3502006</v>
      </c>
      <c r="H78" s="18" t="s">
        <v>284</v>
      </c>
      <c r="I78" s="35">
        <v>3502006</v>
      </c>
      <c r="J78" s="18" t="s">
        <v>284</v>
      </c>
      <c r="K78" s="17" t="s">
        <v>285</v>
      </c>
      <c r="L78" s="90" t="s">
        <v>286</v>
      </c>
      <c r="M78" s="17">
        <v>350200600</v>
      </c>
      <c r="N78" s="90" t="s">
        <v>286</v>
      </c>
      <c r="O78" s="94" t="s">
        <v>1213</v>
      </c>
      <c r="P78" s="105">
        <v>1</v>
      </c>
      <c r="Q78" s="105"/>
      <c r="R78" s="118">
        <f t="shared" si="4"/>
        <v>1</v>
      </c>
      <c r="S78" s="91">
        <v>2020003630074</v>
      </c>
      <c r="T78" s="92" t="s">
        <v>287</v>
      </c>
      <c r="U78" s="92" t="s">
        <v>288</v>
      </c>
      <c r="V78" s="30"/>
      <c r="W78" s="30"/>
      <c r="X78" s="30"/>
      <c r="Y78" s="30"/>
      <c r="Z78" s="30"/>
      <c r="AA78" s="30"/>
      <c r="AB78" s="28">
        <f>50000000+15970000+38117500</f>
        <v>104087500</v>
      </c>
      <c r="AC78" s="30"/>
      <c r="AD78" s="30"/>
      <c r="AE78" s="30"/>
      <c r="AF78" s="93">
        <f t="shared" si="3"/>
        <v>104087500</v>
      </c>
      <c r="AG78" s="144" t="s">
        <v>1221</v>
      </c>
      <c r="AI78" s="21"/>
      <c r="AJ78" s="21"/>
    </row>
    <row r="79" spans="1:36" ht="117" hidden="1" customHeight="1" x14ac:dyDescent="0.2">
      <c r="A79" s="162">
        <v>311</v>
      </c>
      <c r="B79" s="115" t="s">
        <v>1077</v>
      </c>
      <c r="C79" s="35">
        <v>2</v>
      </c>
      <c r="D79" s="168">
        <v>3502</v>
      </c>
      <c r="E79" s="18" t="s">
        <v>1117</v>
      </c>
      <c r="F79" s="92" t="s">
        <v>283</v>
      </c>
      <c r="G79" s="17">
        <v>3502007</v>
      </c>
      <c r="H79" s="18" t="s">
        <v>289</v>
      </c>
      <c r="I79" s="35">
        <v>3502007</v>
      </c>
      <c r="J79" s="18" t="s">
        <v>289</v>
      </c>
      <c r="K79" s="17" t="s">
        <v>290</v>
      </c>
      <c r="L79" s="90" t="s">
        <v>291</v>
      </c>
      <c r="M79" s="17">
        <v>350200700</v>
      </c>
      <c r="N79" s="90" t="s">
        <v>291</v>
      </c>
      <c r="O79" s="94" t="s">
        <v>1212</v>
      </c>
      <c r="P79" s="105">
        <v>7</v>
      </c>
      <c r="Q79" s="105"/>
      <c r="R79" s="118">
        <f t="shared" si="4"/>
        <v>7</v>
      </c>
      <c r="S79" s="91">
        <v>2020003630074</v>
      </c>
      <c r="T79" s="92" t="s">
        <v>287</v>
      </c>
      <c r="U79" s="92" t="s">
        <v>288</v>
      </c>
      <c r="V79" s="30"/>
      <c r="W79" s="30"/>
      <c r="X79" s="30"/>
      <c r="Y79" s="30"/>
      <c r="Z79" s="30"/>
      <c r="AA79" s="30"/>
      <c r="AB79" s="28">
        <f>27000000+23000000+3092500</f>
        <v>53092500</v>
      </c>
      <c r="AC79" s="30"/>
      <c r="AD79" s="30"/>
      <c r="AE79" s="30"/>
      <c r="AF79" s="93">
        <f t="shared" si="3"/>
        <v>53092500</v>
      </c>
      <c r="AG79" s="144" t="s">
        <v>1221</v>
      </c>
      <c r="AI79" s="21"/>
      <c r="AJ79" s="21"/>
    </row>
    <row r="80" spans="1:36" ht="117" hidden="1" customHeight="1" x14ac:dyDescent="0.2">
      <c r="A80" s="162">
        <v>311</v>
      </c>
      <c r="B80" s="115" t="s">
        <v>1077</v>
      </c>
      <c r="C80" s="35">
        <v>2</v>
      </c>
      <c r="D80" s="168">
        <v>3502</v>
      </c>
      <c r="E80" s="18" t="s">
        <v>1117</v>
      </c>
      <c r="F80" s="92" t="s">
        <v>283</v>
      </c>
      <c r="G80" s="77">
        <v>3502022</v>
      </c>
      <c r="H80" s="18" t="s">
        <v>1022</v>
      </c>
      <c r="I80" s="77">
        <v>3502022</v>
      </c>
      <c r="J80" s="18" t="s">
        <v>1022</v>
      </c>
      <c r="K80" s="88" t="s">
        <v>292</v>
      </c>
      <c r="L80" s="90" t="s">
        <v>293</v>
      </c>
      <c r="M80" s="17">
        <v>350202200</v>
      </c>
      <c r="N80" s="90" t="s">
        <v>293</v>
      </c>
      <c r="O80" s="94" t="s">
        <v>1212</v>
      </c>
      <c r="P80" s="105">
        <v>14</v>
      </c>
      <c r="Q80" s="105"/>
      <c r="R80" s="118">
        <f t="shared" si="4"/>
        <v>14</v>
      </c>
      <c r="S80" s="91">
        <v>2020003630075</v>
      </c>
      <c r="T80" s="92" t="s">
        <v>1198</v>
      </c>
      <c r="U80" s="92" t="s">
        <v>294</v>
      </c>
      <c r="V80" s="30"/>
      <c r="W80" s="30"/>
      <c r="X80" s="30"/>
      <c r="Y80" s="30"/>
      <c r="Z80" s="30"/>
      <c r="AA80" s="30"/>
      <c r="AB80" s="152">
        <f>90000000+160000000-90000000+6236000+125000000+55683168+15000000</f>
        <v>361919168</v>
      </c>
      <c r="AC80" s="30"/>
      <c r="AD80" s="30"/>
      <c r="AE80" s="30"/>
      <c r="AF80" s="93">
        <f t="shared" si="3"/>
        <v>361919168</v>
      </c>
      <c r="AG80" s="144" t="s">
        <v>1221</v>
      </c>
      <c r="AI80" s="21"/>
      <c r="AJ80" s="21"/>
    </row>
    <row r="81" spans="1:36" ht="117" hidden="1" customHeight="1" x14ac:dyDescent="0.2">
      <c r="A81" s="162">
        <v>311</v>
      </c>
      <c r="B81" s="115" t="s">
        <v>1077</v>
      </c>
      <c r="C81" s="35">
        <v>2</v>
      </c>
      <c r="D81" s="168">
        <v>3502</v>
      </c>
      <c r="E81" s="18" t="s">
        <v>1117</v>
      </c>
      <c r="F81" s="92" t="s">
        <v>295</v>
      </c>
      <c r="G81" s="77">
        <v>3502039</v>
      </c>
      <c r="H81" s="18" t="s">
        <v>296</v>
      </c>
      <c r="I81" s="77">
        <v>3502039</v>
      </c>
      <c r="J81" s="18" t="s">
        <v>296</v>
      </c>
      <c r="K81" s="17" t="s">
        <v>297</v>
      </c>
      <c r="L81" s="90" t="s">
        <v>76</v>
      </c>
      <c r="M81" s="17">
        <v>350203900</v>
      </c>
      <c r="N81" s="90" t="s">
        <v>76</v>
      </c>
      <c r="O81" s="94" t="s">
        <v>1212</v>
      </c>
      <c r="P81" s="105">
        <v>12</v>
      </c>
      <c r="Q81" s="105"/>
      <c r="R81" s="118">
        <f t="shared" si="4"/>
        <v>12</v>
      </c>
      <c r="S81" s="91">
        <v>2020003630076</v>
      </c>
      <c r="T81" s="92" t="s">
        <v>1144</v>
      </c>
      <c r="U81" s="92" t="s">
        <v>298</v>
      </c>
      <c r="V81" s="30"/>
      <c r="W81" s="30"/>
      <c r="X81" s="30"/>
      <c r="Y81" s="30"/>
      <c r="Z81" s="30"/>
      <c r="AA81" s="30"/>
      <c r="AB81" s="28">
        <f>80000000+65000000+133700000+150000000+15610833+42957390</f>
        <v>487268223</v>
      </c>
      <c r="AC81" s="30"/>
      <c r="AD81" s="30"/>
      <c r="AE81" s="30"/>
      <c r="AF81" s="93">
        <f t="shared" si="3"/>
        <v>487268223</v>
      </c>
      <c r="AG81" s="144" t="s">
        <v>1221</v>
      </c>
      <c r="AI81" s="21"/>
      <c r="AJ81" s="21"/>
    </row>
    <row r="82" spans="1:36" s="21" customFormat="1" ht="117" hidden="1" customHeight="1" x14ac:dyDescent="0.25">
      <c r="A82" s="162">
        <v>311</v>
      </c>
      <c r="B82" s="115" t="s">
        <v>1077</v>
      </c>
      <c r="C82" s="35">
        <v>2</v>
      </c>
      <c r="D82" s="168">
        <v>3502</v>
      </c>
      <c r="E82" s="18" t="s">
        <v>1117</v>
      </c>
      <c r="F82" s="92" t="s">
        <v>295</v>
      </c>
      <c r="G82" s="77">
        <v>3502039</v>
      </c>
      <c r="H82" s="18" t="s">
        <v>296</v>
      </c>
      <c r="I82" s="77">
        <v>3502039</v>
      </c>
      <c r="J82" s="18" t="s">
        <v>296</v>
      </c>
      <c r="K82" s="88">
        <v>350203910</v>
      </c>
      <c r="L82" s="90" t="s">
        <v>299</v>
      </c>
      <c r="M82" s="88">
        <v>350203910</v>
      </c>
      <c r="N82" s="90" t="s">
        <v>299</v>
      </c>
      <c r="O82" s="94" t="s">
        <v>1213</v>
      </c>
      <c r="P82" s="105">
        <v>2</v>
      </c>
      <c r="Q82" s="105"/>
      <c r="R82" s="118">
        <f t="shared" si="4"/>
        <v>2</v>
      </c>
      <c r="S82" s="91">
        <v>2020003630076</v>
      </c>
      <c r="T82" s="92" t="s">
        <v>1144</v>
      </c>
      <c r="U82" s="92" t="s">
        <v>298</v>
      </c>
      <c r="V82" s="30"/>
      <c r="W82" s="30"/>
      <c r="X82" s="30"/>
      <c r="Y82" s="30"/>
      <c r="Z82" s="30"/>
      <c r="AA82" s="30"/>
      <c r="AB82" s="28">
        <f>100000000+18000000-65000000</f>
        <v>53000000</v>
      </c>
      <c r="AC82" s="30"/>
      <c r="AD82" s="30"/>
      <c r="AE82" s="30"/>
      <c r="AF82" s="93">
        <f t="shared" si="3"/>
        <v>53000000</v>
      </c>
      <c r="AG82" s="144" t="s">
        <v>1221</v>
      </c>
    </row>
    <row r="83" spans="1:36" ht="117" hidden="1" customHeight="1" x14ac:dyDescent="0.2">
      <c r="A83" s="162">
        <v>311</v>
      </c>
      <c r="B83" s="115" t="s">
        <v>1077</v>
      </c>
      <c r="C83" s="35">
        <v>2</v>
      </c>
      <c r="D83" s="168">
        <v>3502</v>
      </c>
      <c r="E83" s="18" t="s">
        <v>1117</v>
      </c>
      <c r="F83" s="92" t="s">
        <v>295</v>
      </c>
      <c r="G83" s="77">
        <v>3502046</v>
      </c>
      <c r="H83" s="18" t="s">
        <v>300</v>
      </c>
      <c r="I83" s="77">
        <v>3502046</v>
      </c>
      <c r="J83" s="18" t="s">
        <v>300</v>
      </c>
      <c r="K83" s="17" t="s">
        <v>301</v>
      </c>
      <c r="L83" s="90" t="s">
        <v>302</v>
      </c>
      <c r="M83" s="17">
        <v>350204600</v>
      </c>
      <c r="N83" s="90" t="s">
        <v>302</v>
      </c>
      <c r="O83" s="94" t="s">
        <v>1213</v>
      </c>
      <c r="P83" s="105">
        <v>1</v>
      </c>
      <c r="Q83" s="105"/>
      <c r="R83" s="118">
        <f t="shared" si="4"/>
        <v>1</v>
      </c>
      <c r="S83" s="91">
        <v>2020003630077</v>
      </c>
      <c r="T83" s="92" t="s">
        <v>1197</v>
      </c>
      <c r="U83" s="92" t="s">
        <v>303</v>
      </c>
      <c r="V83" s="30"/>
      <c r="W83" s="30"/>
      <c r="X83" s="30"/>
      <c r="Y83" s="30"/>
      <c r="Z83" s="30"/>
      <c r="AA83" s="30"/>
      <c r="AB83" s="28">
        <f>66790000+600000000-600000000+37495999-57957390</f>
        <v>46328609</v>
      </c>
      <c r="AC83" s="39">
        <f>705363027+349900000+344442708.11</f>
        <v>1399705735.1100001</v>
      </c>
      <c r="AD83" s="39"/>
      <c r="AE83" s="49"/>
      <c r="AF83" s="93">
        <f t="shared" si="3"/>
        <v>1446034344.1100001</v>
      </c>
      <c r="AG83" s="144" t="s">
        <v>1221</v>
      </c>
      <c r="AI83" s="21"/>
      <c r="AJ83" s="21"/>
    </row>
    <row r="84" spans="1:36" ht="117" hidden="1" customHeight="1" x14ac:dyDescent="0.2">
      <c r="A84" s="162">
        <v>311</v>
      </c>
      <c r="B84" s="115" t="s">
        <v>1077</v>
      </c>
      <c r="C84" s="35">
        <v>2</v>
      </c>
      <c r="D84" s="168">
        <v>3602</v>
      </c>
      <c r="E84" s="18" t="s">
        <v>1118</v>
      </c>
      <c r="F84" s="92" t="s">
        <v>283</v>
      </c>
      <c r="G84" s="17">
        <v>3602018</v>
      </c>
      <c r="H84" s="18" t="s">
        <v>304</v>
      </c>
      <c r="I84" s="17">
        <v>3602018</v>
      </c>
      <c r="J84" s="18" t="s">
        <v>304</v>
      </c>
      <c r="K84" s="88" t="s">
        <v>305</v>
      </c>
      <c r="L84" s="90" t="s">
        <v>306</v>
      </c>
      <c r="M84" s="88">
        <v>360201800</v>
      </c>
      <c r="N84" s="90" t="s">
        <v>306</v>
      </c>
      <c r="O84" s="94" t="s">
        <v>1213</v>
      </c>
      <c r="P84" s="105">
        <v>4</v>
      </c>
      <c r="Q84" s="105">
        <v>3</v>
      </c>
      <c r="R84" s="118">
        <f t="shared" si="4"/>
        <v>7</v>
      </c>
      <c r="S84" s="91">
        <v>2020003630078</v>
      </c>
      <c r="T84" s="92" t="s">
        <v>307</v>
      </c>
      <c r="U84" s="92" t="s">
        <v>308</v>
      </c>
      <c r="V84" s="30"/>
      <c r="W84" s="30"/>
      <c r="X84" s="30"/>
      <c r="Y84" s="30"/>
      <c r="Z84" s="30"/>
      <c r="AA84" s="30"/>
      <c r="AB84" s="28">
        <f>120000000-20000000</f>
        <v>100000000</v>
      </c>
      <c r="AC84" s="30"/>
      <c r="AD84" s="30"/>
      <c r="AE84" s="30"/>
      <c r="AF84" s="93">
        <f t="shared" si="3"/>
        <v>100000000</v>
      </c>
      <c r="AG84" s="144" t="s">
        <v>1221</v>
      </c>
      <c r="AI84" s="21"/>
      <c r="AJ84" s="21"/>
    </row>
    <row r="85" spans="1:36" ht="117" hidden="1" customHeight="1" x14ac:dyDescent="0.2">
      <c r="A85" s="162">
        <v>311</v>
      </c>
      <c r="B85" s="115" t="s">
        <v>1077</v>
      </c>
      <c r="C85" s="35">
        <v>2</v>
      </c>
      <c r="D85" s="168">
        <v>3602</v>
      </c>
      <c r="E85" s="18" t="s">
        <v>1118</v>
      </c>
      <c r="F85" s="92" t="s">
        <v>283</v>
      </c>
      <c r="G85" s="17">
        <v>3602032</v>
      </c>
      <c r="H85" s="18" t="s">
        <v>309</v>
      </c>
      <c r="I85" s="35">
        <v>3602032</v>
      </c>
      <c r="J85" s="18" t="s">
        <v>309</v>
      </c>
      <c r="K85" s="88" t="s">
        <v>310</v>
      </c>
      <c r="L85" s="90" t="s">
        <v>311</v>
      </c>
      <c r="M85" s="88">
        <v>360203201</v>
      </c>
      <c r="N85" s="90" t="s">
        <v>311</v>
      </c>
      <c r="O85" s="94" t="s">
        <v>1212</v>
      </c>
      <c r="P85" s="105">
        <v>14</v>
      </c>
      <c r="Q85" s="105"/>
      <c r="R85" s="118">
        <f t="shared" si="4"/>
        <v>14</v>
      </c>
      <c r="S85" s="91">
        <v>2020003630078</v>
      </c>
      <c r="T85" s="92" t="s">
        <v>307</v>
      </c>
      <c r="U85" s="96" t="s">
        <v>308</v>
      </c>
      <c r="V85" s="30"/>
      <c r="W85" s="30"/>
      <c r="X85" s="30"/>
      <c r="Y85" s="30"/>
      <c r="Z85" s="30"/>
      <c r="AA85" s="30"/>
      <c r="AB85" s="28">
        <f>60000000+15000000+5770000</f>
        <v>80770000</v>
      </c>
      <c r="AC85" s="30"/>
      <c r="AD85" s="30"/>
      <c r="AE85" s="30"/>
      <c r="AF85" s="93">
        <f t="shared" si="3"/>
        <v>80770000</v>
      </c>
      <c r="AG85" s="144" t="s">
        <v>1221</v>
      </c>
      <c r="AI85" s="21"/>
      <c r="AJ85" s="21"/>
    </row>
    <row r="86" spans="1:36" ht="117" hidden="1" customHeight="1" x14ac:dyDescent="0.2">
      <c r="A86" s="162">
        <v>311</v>
      </c>
      <c r="B86" s="115" t="s">
        <v>1077</v>
      </c>
      <c r="C86" s="35">
        <v>2</v>
      </c>
      <c r="D86" s="168">
        <v>3602</v>
      </c>
      <c r="E86" s="18" t="s">
        <v>1118</v>
      </c>
      <c r="F86" s="92" t="s">
        <v>283</v>
      </c>
      <c r="G86" s="17">
        <v>3602029</v>
      </c>
      <c r="H86" s="18" t="s">
        <v>312</v>
      </c>
      <c r="I86" s="35">
        <v>3602029</v>
      </c>
      <c r="J86" s="18" t="s">
        <v>312</v>
      </c>
      <c r="K86" s="88" t="s">
        <v>313</v>
      </c>
      <c r="L86" s="90" t="s">
        <v>314</v>
      </c>
      <c r="M86" s="88">
        <v>360202904</v>
      </c>
      <c r="N86" s="90" t="s">
        <v>314</v>
      </c>
      <c r="O86" s="94" t="s">
        <v>1213</v>
      </c>
      <c r="P86" s="105">
        <v>12</v>
      </c>
      <c r="Q86" s="105"/>
      <c r="R86" s="118">
        <f t="shared" si="4"/>
        <v>12</v>
      </c>
      <c r="S86" s="91">
        <v>2020003630078</v>
      </c>
      <c r="T86" s="90" t="s">
        <v>307</v>
      </c>
      <c r="U86" s="96" t="s">
        <v>308</v>
      </c>
      <c r="V86" s="30"/>
      <c r="W86" s="30"/>
      <c r="X86" s="30"/>
      <c r="Y86" s="30"/>
      <c r="Z86" s="30"/>
      <c r="AA86" s="30"/>
      <c r="AB86" s="28">
        <f>22500000+47000000</f>
        <v>69500000</v>
      </c>
      <c r="AC86" s="30"/>
      <c r="AD86" s="30"/>
      <c r="AE86" s="30"/>
      <c r="AF86" s="93">
        <f t="shared" si="3"/>
        <v>69500000</v>
      </c>
      <c r="AG86" s="144" t="s">
        <v>1221</v>
      </c>
      <c r="AI86" s="21"/>
      <c r="AJ86" s="21"/>
    </row>
    <row r="87" spans="1:36" ht="117" hidden="1" customHeight="1" x14ac:dyDescent="0.2">
      <c r="A87" s="162">
        <v>311</v>
      </c>
      <c r="B87" s="115" t="s">
        <v>1077</v>
      </c>
      <c r="C87" s="35">
        <v>2</v>
      </c>
      <c r="D87" s="168">
        <v>3602</v>
      </c>
      <c r="E87" s="18" t="s">
        <v>1118</v>
      </c>
      <c r="F87" s="92" t="s">
        <v>283</v>
      </c>
      <c r="G87" s="17">
        <v>3602030</v>
      </c>
      <c r="H87" s="18" t="s">
        <v>315</v>
      </c>
      <c r="I87" s="35">
        <v>3602030</v>
      </c>
      <c r="J87" s="18" t="s">
        <v>315</v>
      </c>
      <c r="K87" s="88" t="s">
        <v>316</v>
      </c>
      <c r="L87" s="90" t="s">
        <v>317</v>
      </c>
      <c r="M87" s="88">
        <v>360203000</v>
      </c>
      <c r="N87" s="90" t="s">
        <v>317</v>
      </c>
      <c r="O87" s="94" t="s">
        <v>1213</v>
      </c>
      <c r="P87" s="105">
        <v>4</v>
      </c>
      <c r="Q87" s="105"/>
      <c r="R87" s="118">
        <f t="shared" si="4"/>
        <v>4</v>
      </c>
      <c r="S87" s="91">
        <v>2020003630078</v>
      </c>
      <c r="T87" s="90" t="s">
        <v>307</v>
      </c>
      <c r="U87" s="96" t="s">
        <v>308</v>
      </c>
      <c r="V87" s="30"/>
      <c r="W87" s="30"/>
      <c r="X87" s="30"/>
      <c r="Y87" s="30"/>
      <c r="Z87" s="30"/>
      <c r="AA87" s="30"/>
      <c r="AB87" s="28">
        <f>35000000+25000000+6600000</f>
        <v>66600000</v>
      </c>
      <c r="AC87" s="30"/>
      <c r="AD87" s="30"/>
      <c r="AE87" s="30"/>
      <c r="AF87" s="93">
        <f t="shared" si="3"/>
        <v>66600000</v>
      </c>
      <c r="AG87" s="144" t="s">
        <v>1221</v>
      </c>
      <c r="AI87" s="21"/>
      <c r="AJ87" s="21"/>
    </row>
    <row r="88" spans="1:36" ht="117" hidden="1" customHeight="1" x14ac:dyDescent="0.2">
      <c r="A88" s="162">
        <v>312</v>
      </c>
      <c r="B88" s="115" t="s">
        <v>1078</v>
      </c>
      <c r="C88" s="17">
        <v>2</v>
      </c>
      <c r="D88" s="168">
        <v>1702</v>
      </c>
      <c r="E88" s="18" t="s">
        <v>1097</v>
      </c>
      <c r="F88" s="92" t="s">
        <v>318</v>
      </c>
      <c r="G88" s="77">
        <v>1702011</v>
      </c>
      <c r="H88" s="18" t="s">
        <v>319</v>
      </c>
      <c r="I88" s="77">
        <v>1702011</v>
      </c>
      <c r="J88" s="18" t="s">
        <v>319</v>
      </c>
      <c r="K88" s="17" t="s">
        <v>320</v>
      </c>
      <c r="L88" s="18" t="s">
        <v>321</v>
      </c>
      <c r="M88" s="17">
        <v>170201100</v>
      </c>
      <c r="N88" s="90" t="s">
        <v>321</v>
      </c>
      <c r="O88" s="94" t="s">
        <v>1212</v>
      </c>
      <c r="P88" s="105">
        <v>30</v>
      </c>
      <c r="Q88" s="105"/>
      <c r="R88" s="118">
        <f t="shared" si="4"/>
        <v>30</v>
      </c>
      <c r="S88" s="91">
        <v>2020003630079</v>
      </c>
      <c r="T88" s="18" t="s">
        <v>322</v>
      </c>
      <c r="U88" s="92" t="s">
        <v>323</v>
      </c>
      <c r="V88" s="30"/>
      <c r="W88" s="30"/>
      <c r="X88" s="30"/>
      <c r="Y88" s="30"/>
      <c r="Z88" s="30"/>
      <c r="AA88" s="30"/>
      <c r="AB88" s="27">
        <f>226000000+61340887.37+64662500+15460000</f>
        <v>367463387.37</v>
      </c>
      <c r="AC88" s="49"/>
      <c r="AD88" s="49"/>
      <c r="AE88" s="49"/>
      <c r="AF88" s="93">
        <f t="shared" si="3"/>
        <v>367463387.37</v>
      </c>
      <c r="AG88" s="145" t="s">
        <v>1222</v>
      </c>
      <c r="AI88" s="21"/>
      <c r="AJ88" s="21"/>
    </row>
    <row r="89" spans="1:36" ht="117" hidden="1" customHeight="1" x14ac:dyDescent="0.2">
      <c r="A89" s="162">
        <v>312</v>
      </c>
      <c r="B89" s="115" t="s">
        <v>1078</v>
      </c>
      <c r="C89" s="17">
        <v>2</v>
      </c>
      <c r="D89" s="168">
        <v>1702</v>
      </c>
      <c r="E89" s="18" t="s">
        <v>1097</v>
      </c>
      <c r="F89" s="92" t="s">
        <v>318</v>
      </c>
      <c r="G89" s="77">
        <v>1702007</v>
      </c>
      <c r="H89" s="18" t="s">
        <v>324</v>
      </c>
      <c r="I89" s="77">
        <v>1702007</v>
      </c>
      <c r="J89" s="18" t="s">
        <v>324</v>
      </c>
      <c r="K89" s="88" t="s">
        <v>325</v>
      </c>
      <c r="L89" s="90" t="s">
        <v>326</v>
      </c>
      <c r="M89" s="88">
        <v>170200700</v>
      </c>
      <c r="N89" s="90" t="s">
        <v>326</v>
      </c>
      <c r="O89" s="94" t="s">
        <v>1213</v>
      </c>
      <c r="P89" s="105">
        <v>4</v>
      </c>
      <c r="Q89" s="105">
        <v>4</v>
      </c>
      <c r="R89" s="118">
        <f t="shared" si="4"/>
        <v>8</v>
      </c>
      <c r="S89" s="91">
        <v>2020003630079</v>
      </c>
      <c r="T89" s="18" t="s">
        <v>322</v>
      </c>
      <c r="U89" s="92" t="s">
        <v>323</v>
      </c>
      <c r="V89" s="30"/>
      <c r="W89" s="30"/>
      <c r="X89" s="30"/>
      <c r="Y89" s="30"/>
      <c r="Z89" s="30"/>
      <c r="AA89" s="30"/>
      <c r="AB89" s="27">
        <f>123000000+163000000+77000000</f>
        <v>363000000</v>
      </c>
      <c r="AC89" s="49"/>
      <c r="AD89" s="49"/>
      <c r="AE89" s="49"/>
      <c r="AF89" s="93">
        <f t="shared" si="3"/>
        <v>363000000</v>
      </c>
      <c r="AG89" s="145" t="s">
        <v>1222</v>
      </c>
      <c r="AI89" s="21"/>
      <c r="AJ89" s="21"/>
    </row>
    <row r="90" spans="1:36" ht="117" hidden="1" customHeight="1" x14ac:dyDescent="0.2">
      <c r="A90" s="162">
        <v>312</v>
      </c>
      <c r="B90" s="115" t="s">
        <v>1078</v>
      </c>
      <c r="C90" s="17">
        <v>2</v>
      </c>
      <c r="D90" s="168">
        <v>1702</v>
      </c>
      <c r="E90" s="18" t="s">
        <v>1097</v>
      </c>
      <c r="F90" s="92" t="s">
        <v>318</v>
      </c>
      <c r="G90" s="77">
        <v>1702009</v>
      </c>
      <c r="H90" s="18" t="s">
        <v>327</v>
      </c>
      <c r="I90" s="77">
        <v>1702009</v>
      </c>
      <c r="J90" s="18" t="s">
        <v>327</v>
      </c>
      <c r="K90" s="88" t="s">
        <v>328</v>
      </c>
      <c r="L90" s="90" t="s">
        <v>329</v>
      </c>
      <c r="M90" s="88">
        <v>170200900</v>
      </c>
      <c r="N90" s="90" t="s">
        <v>329</v>
      </c>
      <c r="O90" s="94" t="s">
        <v>1213</v>
      </c>
      <c r="P90" s="105">
        <v>166</v>
      </c>
      <c r="Q90" s="105"/>
      <c r="R90" s="118">
        <f t="shared" si="4"/>
        <v>166</v>
      </c>
      <c r="S90" s="91">
        <v>2020003630079</v>
      </c>
      <c r="T90" s="18" t="s">
        <v>322</v>
      </c>
      <c r="U90" s="92" t="s">
        <v>323</v>
      </c>
      <c r="V90" s="30"/>
      <c r="W90" s="30"/>
      <c r="X90" s="30"/>
      <c r="Y90" s="30"/>
      <c r="Z90" s="30"/>
      <c r="AA90" s="30"/>
      <c r="AB90" s="27">
        <f>90000000-77000000</f>
        <v>13000000</v>
      </c>
      <c r="AC90" s="49"/>
      <c r="AD90" s="49"/>
      <c r="AE90" s="49"/>
      <c r="AF90" s="93">
        <f t="shared" si="3"/>
        <v>13000000</v>
      </c>
      <c r="AG90" s="145" t="s">
        <v>1222</v>
      </c>
      <c r="AI90" s="21"/>
      <c r="AJ90" s="21"/>
    </row>
    <row r="91" spans="1:36" ht="117" hidden="1" customHeight="1" x14ac:dyDescent="0.2">
      <c r="A91" s="162">
        <v>312</v>
      </c>
      <c r="B91" s="115" t="s">
        <v>1078</v>
      </c>
      <c r="C91" s="17">
        <v>2</v>
      </c>
      <c r="D91" s="168">
        <v>1702</v>
      </c>
      <c r="E91" s="18" t="s">
        <v>1097</v>
      </c>
      <c r="F91" s="92" t="s">
        <v>318</v>
      </c>
      <c r="G91" s="77">
        <v>1702017</v>
      </c>
      <c r="H91" s="18" t="s">
        <v>330</v>
      </c>
      <c r="I91" s="47">
        <v>1702017</v>
      </c>
      <c r="J91" s="18" t="s">
        <v>330</v>
      </c>
      <c r="K91" s="88" t="s">
        <v>331</v>
      </c>
      <c r="L91" s="90" t="s">
        <v>332</v>
      </c>
      <c r="M91" s="88">
        <v>170201700</v>
      </c>
      <c r="N91" s="90" t="s">
        <v>332</v>
      </c>
      <c r="O91" s="94" t="s">
        <v>1213</v>
      </c>
      <c r="P91" s="105">
        <v>1400</v>
      </c>
      <c r="Q91" s="105"/>
      <c r="R91" s="118">
        <f t="shared" si="4"/>
        <v>1400</v>
      </c>
      <c r="S91" s="91">
        <v>2020003630023</v>
      </c>
      <c r="T91" s="90" t="s">
        <v>1050</v>
      </c>
      <c r="U91" s="96" t="s">
        <v>333</v>
      </c>
      <c r="V91" s="30"/>
      <c r="W91" s="30"/>
      <c r="X91" s="30"/>
      <c r="Y91" s="30"/>
      <c r="Z91" s="30"/>
      <c r="AA91" s="30"/>
      <c r="AB91" s="27">
        <f>130000000+62225000+75052526.97+32225000+50000000+4647500+9087500</f>
        <v>363237526.97000003</v>
      </c>
      <c r="AC91" s="49"/>
      <c r="AD91" s="49"/>
      <c r="AE91" s="49"/>
      <c r="AF91" s="93">
        <f t="shared" si="3"/>
        <v>363237526.97000003</v>
      </c>
      <c r="AG91" s="145" t="s">
        <v>1222</v>
      </c>
      <c r="AI91" s="21"/>
      <c r="AJ91" s="21"/>
    </row>
    <row r="92" spans="1:36" ht="117" hidden="1" customHeight="1" x14ac:dyDescent="0.2">
      <c r="A92" s="162">
        <v>312</v>
      </c>
      <c r="B92" s="115" t="s">
        <v>1078</v>
      </c>
      <c r="C92" s="17">
        <v>2</v>
      </c>
      <c r="D92" s="168">
        <v>1702</v>
      </c>
      <c r="E92" s="18" t="s">
        <v>1097</v>
      </c>
      <c r="F92" s="92" t="s">
        <v>318</v>
      </c>
      <c r="G92" s="77">
        <v>1702014</v>
      </c>
      <c r="H92" s="18" t="s">
        <v>334</v>
      </c>
      <c r="I92" s="77">
        <v>1702014</v>
      </c>
      <c r="J92" s="18" t="s">
        <v>334</v>
      </c>
      <c r="K92" s="88" t="s">
        <v>335</v>
      </c>
      <c r="L92" s="90" t="s">
        <v>336</v>
      </c>
      <c r="M92" s="88">
        <v>170201400</v>
      </c>
      <c r="N92" s="90" t="s">
        <v>336</v>
      </c>
      <c r="O92" s="94" t="s">
        <v>1213</v>
      </c>
      <c r="P92" s="105">
        <v>25</v>
      </c>
      <c r="Q92" s="105"/>
      <c r="R92" s="118">
        <f t="shared" si="4"/>
        <v>25</v>
      </c>
      <c r="S92" s="91">
        <v>2020003630023</v>
      </c>
      <c r="T92" s="90" t="s">
        <v>1050</v>
      </c>
      <c r="U92" s="96" t="s">
        <v>333</v>
      </c>
      <c r="V92" s="30"/>
      <c r="W92" s="30"/>
      <c r="X92" s="30"/>
      <c r="Y92" s="30"/>
      <c r="Z92" s="30"/>
      <c r="AA92" s="30"/>
      <c r="AB92" s="27">
        <f>45000000+45000000</f>
        <v>90000000</v>
      </c>
      <c r="AC92" s="49"/>
      <c r="AD92" s="49"/>
      <c r="AE92" s="49"/>
      <c r="AF92" s="93">
        <f t="shared" si="3"/>
        <v>90000000</v>
      </c>
      <c r="AG92" s="145" t="s">
        <v>1222</v>
      </c>
      <c r="AI92" s="21"/>
      <c r="AJ92" s="21"/>
    </row>
    <row r="93" spans="1:36" ht="117" hidden="1" customHeight="1" x14ac:dyDescent="0.2">
      <c r="A93" s="162">
        <v>312</v>
      </c>
      <c r="B93" s="115" t="s">
        <v>1078</v>
      </c>
      <c r="C93" s="17">
        <v>2</v>
      </c>
      <c r="D93" s="168">
        <v>1702</v>
      </c>
      <c r="E93" s="18" t="s">
        <v>1097</v>
      </c>
      <c r="F93" s="92" t="s">
        <v>318</v>
      </c>
      <c r="G93" s="77">
        <v>1702021</v>
      </c>
      <c r="H93" s="18" t="s">
        <v>337</v>
      </c>
      <c r="I93" s="77">
        <v>1702021</v>
      </c>
      <c r="J93" s="18" t="s">
        <v>337</v>
      </c>
      <c r="K93" s="88" t="s">
        <v>338</v>
      </c>
      <c r="L93" s="90" t="s">
        <v>339</v>
      </c>
      <c r="M93" s="88">
        <v>170202100</v>
      </c>
      <c r="N93" s="90" t="s">
        <v>339</v>
      </c>
      <c r="O93" s="94" t="s">
        <v>1213</v>
      </c>
      <c r="P93" s="105">
        <v>150</v>
      </c>
      <c r="Q93" s="105"/>
      <c r="R93" s="118">
        <f t="shared" si="4"/>
        <v>150</v>
      </c>
      <c r="S93" s="91">
        <v>2020003630023</v>
      </c>
      <c r="T93" s="90" t="s">
        <v>1050</v>
      </c>
      <c r="U93" s="96" t="s">
        <v>333</v>
      </c>
      <c r="V93" s="30"/>
      <c r="W93" s="30"/>
      <c r="X93" s="30"/>
      <c r="Y93" s="30"/>
      <c r="Z93" s="30"/>
      <c r="AA93" s="30"/>
      <c r="AB93" s="27">
        <f>20000000+50000000</f>
        <v>70000000</v>
      </c>
      <c r="AC93" s="49"/>
      <c r="AD93" s="49"/>
      <c r="AE93" s="49"/>
      <c r="AF93" s="93">
        <f t="shared" si="3"/>
        <v>70000000</v>
      </c>
      <c r="AG93" s="145" t="s">
        <v>1222</v>
      </c>
      <c r="AI93" s="21"/>
      <c r="AJ93" s="21"/>
    </row>
    <row r="94" spans="1:36" ht="117" hidden="1" customHeight="1" x14ac:dyDescent="0.2">
      <c r="A94" s="162">
        <v>312</v>
      </c>
      <c r="B94" s="115" t="s">
        <v>1078</v>
      </c>
      <c r="C94" s="17">
        <v>2</v>
      </c>
      <c r="D94" s="168">
        <v>1702</v>
      </c>
      <c r="E94" s="18" t="s">
        <v>1097</v>
      </c>
      <c r="F94" s="92" t="s">
        <v>318</v>
      </c>
      <c r="G94" s="77">
        <v>1702038</v>
      </c>
      <c r="H94" s="18" t="s">
        <v>340</v>
      </c>
      <c r="I94" s="77">
        <v>1702038</v>
      </c>
      <c r="J94" s="18" t="s">
        <v>340</v>
      </c>
      <c r="K94" s="17" t="s">
        <v>341</v>
      </c>
      <c r="L94" s="90" t="s">
        <v>342</v>
      </c>
      <c r="M94" s="17">
        <v>170203800</v>
      </c>
      <c r="N94" s="90" t="s">
        <v>342</v>
      </c>
      <c r="O94" s="94" t="s">
        <v>1212</v>
      </c>
      <c r="P94" s="105">
        <v>30</v>
      </c>
      <c r="Q94" s="105"/>
      <c r="R94" s="118">
        <f t="shared" si="4"/>
        <v>30</v>
      </c>
      <c r="S94" s="91">
        <v>2020003630080</v>
      </c>
      <c r="T94" s="16" t="s">
        <v>1168</v>
      </c>
      <c r="U94" s="92" t="s">
        <v>343</v>
      </c>
      <c r="V94" s="30"/>
      <c r="W94" s="30"/>
      <c r="X94" s="30"/>
      <c r="Y94" s="30"/>
      <c r="Z94" s="30"/>
      <c r="AA94" s="30"/>
      <c r="AB94" s="27">
        <f>65000000+29850000+15330000</f>
        <v>110180000</v>
      </c>
      <c r="AC94" s="49"/>
      <c r="AD94" s="49"/>
      <c r="AE94" s="49"/>
      <c r="AF94" s="93">
        <f t="shared" si="3"/>
        <v>110180000</v>
      </c>
      <c r="AG94" s="145" t="s">
        <v>1222</v>
      </c>
      <c r="AI94" s="21"/>
      <c r="AJ94" s="21"/>
    </row>
    <row r="95" spans="1:36" ht="117" hidden="1" customHeight="1" x14ac:dyDescent="0.2">
      <c r="A95" s="162">
        <v>312</v>
      </c>
      <c r="B95" s="115" t="s">
        <v>1078</v>
      </c>
      <c r="C95" s="17">
        <v>2</v>
      </c>
      <c r="D95" s="168">
        <v>1702</v>
      </c>
      <c r="E95" s="18" t="s">
        <v>1097</v>
      </c>
      <c r="F95" s="92" t="s">
        <v>318</v>
      </c>
      <c r="G95" s="77">
        <v>1702038</v>
      </c>
      <c r="H95" s="18" t="s">
        <v>340</v>
      </c>
      <c r="I95" s="77">
        <v>1702038</v>
      </c>
      <c r="J95" s="18" t="s">
        <v>340</v>
      </c>
      <c r="K95" s="17" t="s">
        <v>344</v>
      </c>
      <c r="L95" s="90" t="s">
        <v>345</v>
      </c>
      <c r="M95" s="17">
        <v>170203801</v>
      </c>
      <c r="N95" s="90" t="s">
        <v>345</v>
      </c>
      <c r="O95" s="94" t="s">
        <v>1213</v>
      </c>
      <c r="P95" s="105">
        <v>80</v>
      </c>
      <c r="Q95" s="105"/>
      <c r="R95" s="118">
        <f t="shared" si="4"/>
        <v>80</v>
      </c>
      <c r="S95" s="91">
        <v>2020003630080</v>
      </c>
      <c r="T95" s="16" t="s">
        <v>1168</v>
      </c>
      <c r="U95" s="92" t="s">
        <v>343</v>
      </c>
      <c r="V95" s="30"/>
      <c r="W95" s="30"/>
      <c r="X95" s="30"/>
      <c r="Y95" s="30"/>
      <c r="Z95" s="30"/>
      <c r="AA95" s="30"/>
      <c r="AB95" s="153">
        <f>18000000</f>
        <v>18000000</v>
      </c>
      <c r="AC95" s="49"/>
      <c r="AD95" s="49">
        <v>105606585.66</v>
      </c>
      <c r="AE95" s="49"/>
      <c r="AF95" s="93">
        <f>V95+W95+X95+Y95+Z95+AA95+AB95+AC95+AE95+AD95</f>
        <v>123606585.66</v>
      </c>
      <c r="AG95" s="145" t="s">
        <v>1222</v>
      </c>
      <c r="AI95" s="21"/>
      <c r="AJ95" s="21"/>
    </row>
    <row r="96" spans="1:36" ht="117" hidden="1" customHeight="1" x14ac:dyDescent="0.2">
      <c r="A96" s="162">
        <v>312</v>
      </c>
      <c r="B96" s="115" t="s">
        <v>1078</v>
      </c>
      <c r="C96" s="17">
        <v>2</v>
      </c>
      <c r="D96" s="168">
        <v>1702</v>
      </c>
      <c r="E96" s="18" t="s">
        <v>1097</v>
      </c>
      <c r="F96" s="92" t="s">
        <v>318</v>
      </c>
      <c r="G96" s="77">
        <v>1702023</v>
      </c>
      <c r="H96" s="18" t="s">
        <v>159</v>
      </c>
      <c r="I96" s="77">
        <v>1702023</v>
      </c>
      <c r="J96" s="18" t="s">
        <v>159</v>
      </c>
      <c r="K96" s="17" t="s">
        <v>346</v>
      </c>
      <c r="L96" s="90" t="s">
        <v>347</v>
      </c>
      <c r="M96" s="17">
        <v>170202301</v>
      </c>
      <c r="N96" s="18" t="s">
        <v>347</v>
      </c>
      <c r="O96" s="94" t="s">
        <v>1212</v>
      </c>
      <c r="P96" s="105">
        <v>1</v>
      </c>
      <c r="Q96" s="105"/>
      <c r="R96" s="118">
        <f t="shared" si="4"/>
        <v>1</v>
      </c>
      <c r="S96" s="91">
        <v>2020003630022</v>
      </c>
      <c r="T96" s="92" t="s">
        <v>348</v>
      </c>
      <c r="U96" s="92" t="s">
        <v>349</v>
      </c>
      <c r="V96" s="30"/>
      <c r="W96" s="30"/>
      <c r="X96" s="30"/>
      <c r="Y96" s="30"/>
      <c r="Z96" s="30"/>
      <c r="AA96" s="30"/>
      <c r="AB96" s="27">
        <f>45000000+8655000</f>
        <v>53655000</v>
      </c>
      <c r="AC96" s="49"/>
      <c r="AD96" s="49"/>
      <c r="AE96" s="49"/>
      <c r="AF96" s="93">
        <f t="shared" ref="AF96:AF159" si="5">V96+W96+X96+Y96+Z96+AA96+AB96+AC96+AE96</f>
        <v>53655000</v>
      </c>
      <c r="AG96" s="145" t="s">
        <v>1222</v>
      </c>
      <c r="AI96" s="21"/>
      <c r="AJ96" s="21"/>
    </row>
    <row r="97" spans="1:36" ht="117" hidden="1" customHeight="1" x14ac:dyDescent="0.2">
      <c r="A97" s="162">
        <v>312</v>
      </c>
      <c r="B97" s="115" t="s">
        <v>1078</v>
      </c>
      <c r="C97" s="17">
        <v>2</v>
      </c>
      <c r="D97" s="168">
        <v>1702</v>
      </c>
      <c r="E97" s="18" t="s">
        <v>1097</v>
      </c>
      <c r="F97" s="92" t="s">
        <v>318</v>
      </c>
      <c r="G97" s="77">
        <v>1702024</v>
      </c>
      <c r="H97" s="18" t="s">
        <v>350</v>
      </c>
      <c r="I97" s="77">
        <v>1702024</v>
      </c>
      <c r="J97" s="18" t="s">
        <v>350</v>
      </c>
      <c r="K97" s="88" t="s">
        <v>351</v>
      </c>
      <c r="L97" s="90" t="s">
        <v>352</v>
      </c>
      <c r="M97" s="88">
        <v>170202400</v>
      </c>
      <c r="N97" s="90" t="s">
        <v>352</v>
      </c>
      <c r="O97" s="94" t="s">
        <v>1212</v>
      </c>
      <c r="P97" s="105">
        <v>12</v>
      </c>
      <c r="Q97" s="105"/>
      <c r="R97" s="118">
        <f t="shared" si="4"/>
        <v>12</v>
      </c>
      <c r="S97" s="91">
        <v>2020003630022</v>
      </c>
      <c r="T97" s="16" t="s">
        <v>348</v>
      </c>
      <c r="U97" s="92" t="s">
        <v>349</v>
      </c>
      <c r="V97" s="30"/>
      <c r="W97" s="30"/>
      <c r="X97" s="30"/>
      <c r="Y97" s="30"/>
      <c r="Z97" s="30"/>
      <c r="AA97" s="30"/>
      <c r="AB97" s="27">
        <f>45000000+6675000</f>
        <v>51675000</v>
      </c>
      <c r="AC97" s="49"/>
      <c r="AD97" s="49"/>
      <c r="AE97" s="49"/>
      <c r="AF97" s="93">
        <f t="shared" si="5"/>
        <v>51675000</v>
      </c>
      <c r="AG97" s="145" t="s">
        <v>1222</v>
      </c>
      <c r="AI97" s="21"/>
      <c r="AJ97" s="21"/>
    </row>
    <row r="98" spans="1:36" s="19" customFormat="1" ht="117" hidden="1" customHeight="1" x14ac:dyDescent="0.25">
      <c r="A98" s="162">
        <v>312</v>
      </c>
      <c r="B98" s="115" t="s">
        <v>1078</v>
      </c>
      <c r="C98" s="17">
        <v>2</v>
      </c>
      <c r="D98" s="168">
        <v>1702</v>
      </c>
      <c r="E98" s="18" t="s">
        <v>1097</v>
      </c>
      <c r="F98" s="92" t="s">
        <v>318</v>
      </c>
      <c r="G98" s="77">
        <v>1702025</v>
      </c>
      <c r="H98" s="18" t="s">
        <v>353</v>
      </c>
      <c r="I98" s="77">
        <v>1702025</v>
      </c>
      <c r="J98" s="18" t="s">
        <v>353</v>
      </c>
      <c r="K98" s="88" t="s">
        <v>354</v>
      </c>
      <c r="L98" s="90" t="s">
        <v>355</v>
      </c>
      <c r="M98" s="88">
        <v>170202500</v>
      </c>
      <c r="N98" s="90" t="s">
        <v>355</v>
      </c>
      <c r="O98" s="94" t="s">
        <v>1213</v>
      </c>
      <c r="P98" s="105">
        <v>25</v>
      </c>
      <c r="Q98" s="105"/>
      <c r="R98" s="118">
        <f t="shared" si="4"/>
        <v>25</v>
      </c>
      <c r="S98" s="91">
        <v>2020003630081</v>
      </c>
      <c r="T98" s="92" t="s">
        <v>1166</v>
      </c>
      <c r="U98" s="92" t="s">
        <v>356</v>
      </c>
      <c r="V98" s="30"/>
      <c r="W98" s="30"/>
      <c r="X98" s="30"/>
      <c r="Y98" s="30"/>
      <c r="Z98" s="30"/>
      <c r="AA98" s="30"/>
      <c r="AB98" s="27">
        <f>27000000-15460000</f>
        <v>11540000</v>
      </c>
      <c r="AC98" s="49"/>
      <c r="AD98" s="49"/>
      <c r="AE98" s="49"/>
      <c r="AF98" s="93">
        <f t="shared" si="5"/>
        <v>11540000</v>
      </c>
      <c r="AG98" s="145" t="s">
        <v>1222</v>
      </c>
      <c r="AJ98" s="21"/>
    </row>
    <row r="99" spans="1:36" s="19" customFormat="1" ht="117" hidden="1" customHeight="1" x14ac:dyDescent="0.25">
      <c r="A99" s="162">
        <v>312</v>
      </c>
      <c r="B99" s="115" t="s">
        <v>1078</v>
      </c>
      <c r="C99" s="17">
        <v>2</v>
      </c>
      <c r="D99" s="168">
        <v>1703</v>
      </c>
      <c r="E99" s="18" t="s">
        <v>1098</v>
      </c>
      <c r="F99" s="92" t="s">
        <v>318</v>
      </c>
      <c r="G99" s="77">
        <v>1703013</v>
      </c>
      <c r="H99" s="18" t="s">
        <v>357</v>
      </c>
      <c r="I99" s="77">
        <v>1703013</v>
      </c>
      <c r="J99" s="18" t="s">
        <v>357</v>
      </c>
      <c r="K99" s="88" t="s">
        <v>358</v>
      </c>
      <c r="L99" s="90" t="s">
        <v>359</v>
      </c>
      <c r="M99" s="88">
        <v>170301300</v>
      </c>
      <c r="N99" s="90" t="s">
        <v>359</v>
      </c>
      <c r="O99" s="94" t="s">
        <v>1213</v>
      </c>
      <c r="P99" s="105">
        <v>70</v>
      </c>
      <c r="Q99" s="105"/>
      <c r="R99" s="118">
        <f t="shared" si="4"/>
        <v>70</v>
      </c>
      <c r="S99" s="91">
        <v>2020003630082</v>
      </c>
      <c r="T99" s="16" t="s">
        <v>1167</v>
      </c>
      <c r="U99" s="92" t="s">
        <v>360</v>
      </c>
      <c r="V99" s="30"/>
      <c r="W99" s="30"/>
      <c r="X99" s="30"/>
      <c r="Y99" s="30"/>
      <c r="Z99" s="30"/>
      <c r="AA99" s="30"/>
      <c r="AB99" s="27">
        <f>75000000-24205000</f>
        <v>50795000</v>
      </c>
      <c r="AC99" s="49"/>
      <c r="AD99" s="49"/>
      <c r="AE99" s="49"/>
      <c r="AF99" s="93">
        <f t="shared" si="5"/>
        <v>50795000</v>
      </c>
      <c r="AG99" s="145" t="s">
        <v>1222</v>
      </c>
      <c r="AJ99" s="21"/>
    </row>
    <row r="100" spans="1:36" s="19" customFormat="1" ht="117" hidden="1" customHeight="1" x14ac:dyDescent="0.2">
      <c r="A100" s="162">
        <v>312</v>
      </c>
      <c r="B100" s="115" t="s">
        <v>1078</v>
      </c>
      <c r="C100" s="17">
        <v>2</v>
      </c>
      <c r="D100" s="168">
        <v>1704</v>
      </c>
      <c r="E100" s="18" t="s">
        <v>1099</v>
      </c>
      <c r="F100" s="92" t="s">
        <v>318</v>
      </c>
      <c r="G100" s="77">
        <v>1704002</v>
      </c>
      <c r="H100" s="18" t="s">
        <v>60</v>
      </c>
      <c r="I100" s="77">
        <v>1704002</v>
      </c>
      <c r="J100" s="18" t="s">
        <v>60</v>
      </c>
      <c r="K100" s="17" t="s">
        <v>361</v>
      </c>
      <c r="L100" s="90" t="s">
        <v>362</v>
      </c>
      <c r="M100" s="17">
        <v>170400203</v>
      </c>
      <c r="N100" s="90" t="s">
        <v>362</v>
      </c>
      <c r="O100" s="94" t="s">
        <v>1212</v>
      </c>
      <c r="P100" s="105">
        <v>1</v>
      </c>
      <c r="Q100" s="105"/>
      <c r="R100" s="118">
        <f t="shared" si="4"/>
        <v>1</v>
      </c>
      <c r="S100" s="91">
        <v>2020003630025</v>
      </c>
      <c r="T100" s="16" t="s">
        <v>363</v>
      </c>
      <c r="U100" s="92" t="s">
        <v>364</v>
      </c>
      <c r="V100" s="26"/>
      <c r="W100" s="26"/>
      <c r="X100" s="26"/>
      <c r="Y100" s="26"/>
      <c r="Z100" s="26"/>
      <c r="AA100" s="26"/>
      <c r="AB100" s="49">
        <f>42000000+13675000</f>
        <v>55675000</v>
      </c>
      <c r="AC100" s="49"/>
      <c r="AD100" s="49"/>
      <c r="AE100" s="49"/>
      <c r="AF100" s="93">
        <f t="shared" si="5"/>
        <v>55675000</v>
      </c>
      <c r="AG100" s="145" t="s">
        <v>1222</v>
      </c>
      <c r="AJ100" s="21"/>
    </row>
    <row r="101" spans="1:36" s="19" customFormat="1" ht="117" hidden="1" customHeight="1" x14ac:dyDescent="0.2">
      <c r="A101" s="162">
        <v>312</v>
      </c>
      <c r="B101" s="115" t="s">
        <v>1078</v>
      </c>
      <c r="C101" s="17">
        <v>2</v>
      </c>
      <c r="D101" s="168">
        <v>1704</v>
      </c>
      <c r="E101" s="18" t="s">
        <v>1099</v>
      </c>
      <c r="F101" s="92" t="s">
        <v>318</v>
      </c>
      <c r="G101" s="77">
        <v>1704017</v>
      </c>
      <c r="H101" s="18" t="s">
        <v>365</v>
      </c>
      <c r="I101" s="77">
        <v>1704017</v>
      </c>
      <c r="J101" s="18" t="s">
        <v>365</v>
      </c>
      <c r="K101" s="17" t="s">
        <v>366</v>
      </c>
      <c r="L101" s="90" t="s">
        <v>367</v>
      </c>
      <c r="M101" s="17">
        <v>170401700</v>
      </c>
      <c r="N101" s="90" t="s">
        <v>367</v>
      </c>
      <c r="O101" s="94" t="s">
        <v>1213</v>
      </c>
      <c r="P101" s="105">
        <v>150</v>
      </c>
      <c r="Q101" s="105"/>
      <c r="R101" s="118">
        <f t="shared" si="4"/>
        <v>150</v>
      </c>
      <c r="S101" s="91">
        <v>2020003630025</v>
      </c>
      <c r="T101" s="16" t="s">
        <v>363</v>
      </c>
      <c r="U101" s="92" t="s">
        <v>364</v>
      </c>
      <c r="V101" s="26"/>
      <c r="W101" s="26"/>
      <c r="X101" s="26"/>
      <c r="Y101" s="26"/>
      <c r="Z101" s="26"/>
      <c r="AA101" s="26"/>
      <c r="AB101" s="49">
        <f>28000000+1442500</f>
        <v>29442500</v>
      </c>
      <c r="AC101" s="49"/>
      <c r="AD101" s="49"/>
      <c r="AE101" s="49"/>
      <c r="AF101" s="93">
        <f t="shared" si="5"/>
        <v>29442500</v>
      </c>
      <c r="AG101" s="145" t="s">
        <v>1222</v>
      </c>
      <c r="AJ101" s="21"/>
    </row>
    <row r="102" spans="1:36" s="19" customFormat="1" ht="117" hidden="1" customHeight="1" x14ac:dyDescent="0.25">
      <c r="A102" s="162">
        <v>312</v>
      </c>
      <c r="B102" s="115" t="s">
        <v>1078</v>
      </c>
      <c r="C102" s="17">
        <v>2</v>
      </c>
      <c r="D102" s="168">
        <v>1706</v>
      </c>
      <c r="E102" s="18" t="s">
        <v>1100</v>
      </c>
      <c r="F102" s="92" t="s">
        <v>318</v>
      </c>
      <c r="G102" s="77">
        <v>1706004</v>
      </c>
      <c r="H102" s="18" t="s">
        <v>368</v>
      </c>
      <c r="I102" s="77">
        <v>1706004</v>
      </c>
      <c r="J102" s="18" t="s">
        <v>368</v>
      </c>
      <c r="K102" s="17" t="s">
        <v>369</v>
      </c>
      <c r="L102" s="90" t="s">
        <v>370</v>
      </c>
      <c r="M102" s="17">
        <v>170600400</v>
      </c>
      <c r="N102" s="90" t="s">
        <v>370</v>
      </c>
      <c r="O102" s="94" t="s">
        <v>1212</v>
      </c>
      <c r="P102" s="105">
        <v>10</v>
      </c>
      <c r="Q102" s="105"/>
      <c r="R102" s="118">
        <f t="shared" si="4"/>
        <v>10</v>
      </c>
      <c r="S102" s="91">
        <v>2020003630083</v>
      </c>
      <c r="T102" s="16" t="s">
        <v>371</v>
      </c>
      <c r="U102" s="92" t="s">
        <v>372</v>
      </c>
      <c r="V102" s="30"/>
      <c r="W102" s="30"/>
      <c r="X102" s="30"/>
      <c r="Y102" s="30"/>
      <c r="Z102" s="30"/>
      <c r="AA102" s="30"/>
      <c r="AB102" s="49">
        <f>20000000+125000000</f>
        <v>145000000</v>
      </c>
      <c r="AC102" s="49"/>
      <c r="AD102" s="49"/>
      <c r="AE102" s="49"/>
      <c r="AF102" s="93">
        <f t="shared" si="5"/>
        <v>145000000</v>
      </c>
      <c r="AG102" s="145" t="s">
        <v>1222</v>
      </c>
      <c r="AJ102" s="21"/>
    </row>
    <row r="103" spans="1:36" s="19" customFormat="1" ht="117" hidden="1" customHeight="1" x14ac:dyDescent="0.25">
      <c r="A103" s="162">
        <v>312</v>
      </c>
      <c r="B103" s="115" t="s">
        <v>1078</v>
      </c>
      <c r="C103" s="17">
        <v>2</v>
      </c>
      <c r="D103" s="168">
        <v>1707</v>
      </c>
      <c r="E103" s="18" t="s">
        <v>1101</v>
      </c>
      <c r="F103" s="92" t="s">
        <v>318</v>
      </c>
      <c r="G103" s="77">
        <v>1707069</v>
      </c>
      <c r="H103" s="18" t="s">
        <v>373</v>
      </c>
      <c r="I103" s="77">
        <v>1707069</v>
      </c>
      <c r="J103" s="18" t="s">
        <v>373</v>
      </c>
      <c r="K103" s="17" t="s">
        <v>374</v>
      </c>
      <c r="L103" s="18" t="s">
        <v>375</v>
      </c>
      <c r="M103" s="17">
        <v>170706900</v>
      </c>
      <c r="N103" s="90" t="s">
        <v>375</v>
      </c>
      <c r="O103" s="94" t="s">
        <v>1213</v>
      </c>
      <c r="P103" s="105">
        <v>5</v>
      </c>
      <c r="Q103" s="105"/>
      <c r="R103" s="118">
        <f t="shared" si="4"/>
        <v>5</v>
      </c>
      <c r="S103" s="91">
        <v>2020003630084</v>
      </c>
      <c r="T103" s="16" t="s">
        <v>1055</v>
      </c>
      <c r="U103" s="92" t="s">
        <v>376</v>
      </c>
      <c r="V103" s="30"/>
      <c r="W103" s="30"/>
      <c r="X103" s="30"/>
      <c r="Y103" s="30"/>
      <c r="Z103" s="30"/>
      <c r="AA103" s="30"/>
      <c r="AB103" s="27">
        <v>43000000</v>
      </c>
      <c r="AC103" s="49"/>
      <c r="AD103" s="49"/>
      <c r="AE103" s="49"/>
      <c r="AF103" s="93">
        <f t="shared" si="5"/>
        <v>43000000</v>
      </c>
      <c r="AG103" s="145" t="s">
        <v>1222</v>
      </c>
      <c r="AJ103" s="21"/>
    </row>
    <row r="104" spans="1:36" s="19" customFormat="1" ht="117" hidden="1" customHeight="1" x14ac:dyDescent="0.25">
      <c r="A104" s="162">
        <v>312</v>
      </c>
      <c r="B104" s="115" t="s">
        <v>1078</v>
      </c>
      <c r="C104" s="17">
        <v>2</v>
      </c>
      <c r="D104" s="168">
        <v>1708</v>
      </c>
      <c r="E104" s="18" t="s">
        <v>1102</v>
      </c>
      <c r="F104" s="92" t="s">
        <v>318</v>
      </c>
      <c r="G104" s="77">
        <v>1708016</v>
      </c>
      <c r="H104" s="18" t="s">
        <v>60</v>
      </c>
      <c r="I104" s="77">
        <v>1708016</v>
      </c>
      <c r="J104" s="18" t="s">
        <v>60</v>
      </c>
      <c r="K104" s="88" t="s">
        <v>377</v>
      </c>
      <c r="L104" s="90" t="s">
        <v>378</v>
      </c>
      <c r="M104" s="88">
        <v>170801600</v>
      </c>
      <c r="N104" s="90" t="s">
        <v>378</v>
      </c>
      <c r="O104" s="94" t="s">
        <v>1212</v>
      </c>
      <c r="P104" s="105">
        <v>2</v>
      </c>
      <c r="Q104" s="105"/>
      <c r="R104" s="118">
        <f t="shared" si="4"/>
        <v>2</v>
      </c>
      <c r="S104" s="91">
        <v>2020003630026</v>
      </c>
      <c r="T104" s="16" t="s">
        <v>379</v>
      </c>
      <c r="U104" s="92" t="s">
        <v>380</v>
      </c>
      <c r="V104" s="30"/>
      <c r="W104" s="30"/>
      <c r="X104" s="30"/>
      <c r="Y104" s="30"/>
      <c r="Z104" s="30"/>
      <c r="AA104" s="30"/>
      <c r="AB104" s="49">
        <f>20000000+7810000</f>
        <v>27810000</v>
      </c>
      <c r="AC104" s="49"/>
      <c r="AD104" s="49"/>
      <c r="AE104" s="49"/>
      <c r="AF104" s="93">
        <f t="shared" si="5"/>
        <v>27810000</v>
      </c>
      <c r="AG104" s="145" t="s">
        <v>1222</v>
      </c>
      <c r="AJ104" s="21"/>
    </row>
    <row r="105" spans="1:36" s="19" customFormat="1" ht="117" hidden="1" customHeight="1" x14ac:dyDescent="0.25">
      <c r="A105" s="162">
        <v>312</v>
      </c>
      <c r="B105" s="115" t="s">
        <v>1078</v>
      </c>
      <c r="C105" s="17">
        <v>2</v>
      </c>
      <c r="D105" s="168">
        <v>1708</v>
      </c>
      <c r="E105" s="18" t="s">
        <v>1102</v>
      </c>
      <c r="F105" s="92" t="s">
        <v>318</v>
      </c>
      <c r="G105" s="77">
        <v>1708051</v>
      </c>
      <c r="H105" s="18" t="s">
        <v>381</v>
      </c>
      <c r="I105" s="77">
        <v>1708051</v>
      </c>
      <c r="J105" s="18" t="s">
        <v>381</v>
      </c>
      <c r="K105" s="88" t="s">
        <v>382</v>
      </c>
      <c r="L105" s="90" t="s">
        <v>383</v>
      </c>
      <c r="M105" s="88">
        <v>170805100</v>
      </c>
      <c r="N105" s="90" t="s">
        <v>383</v>
      </c>
      <c r="O105" s="94" t="s">
        <v>1212</v>
      </c>
      <c r="P105" s="105">
        <v>1</v>
      </c>
      <c r="Q105" s="105"/>
      <c r="R105" s="118">
        <f t="shared" si="4"/>
        <v>1</v>
      </c>
      <c r="S105" s="91">
        <v>2020003630026</v>
      </c>
      <c r="T105" s="16" t="s">
        <v>379</v>
      </c>
      <c r="U105" s="92" t="s">
        <v>380</v>
      </c>
      <c r="V105" s="30"/>
      <c r="W105" s="30"/>
      <c r="X105" s="30"/>
      <c r="Y105" s="30"/>
      <c r="Z105" s="30"/>
      <c r="AA105" s="30"/>
      <c r="AB105" s="49">
        <v>20000000</v>
      </c>
      <c r="AC105" s="49"/>
      <c r="AD105" s="49"/>
      <c r="AE105" s="49"/>
      <c r="AF105" s="93">
        <f t="shared" si="5"/>
        <v>20000000</v>
      </c>
      <c r="AG105" s="145" t="s">
        <v>1222</v>
      </c>
      <c r="AJ105" s="21"/>
    </row>
    <row r="106" spans="1:36" s="19" customFormat="1" ht="117" hidden="1" customHeight="1" x14ac:dyDescent="0.2">
      <c r="A106" s="162">
        <v>312</v>
      </c>
      <c r="B106" s="115" t="s">
        <v>1078</v>
      </c>
      <c r="C106" s="17">
        <v>2</v>
      </c>
      <c r="D106" s="168">
        <v>1709</v>
      </c>
      <c r="E106" s="18" t="s">
        <v>1103</v>
      </c>
      <c r="F106" s="92" t="s">
        <v>318</v>
      </c>
      <c r="G106" s="77">
        <v>1709019</v>
      </c>
      <c r="H106" s="18" t="s">
        <v>384</v>
      </c>
      <c r="I106" s="77">
        <v>1709019</v>
      </c>
      <c r="J106" s="18" t="s">
        <v>384</v>
      </c>
      <c r="K106" s="88">
        <v>170901900</v>
      </c>
      <c r="L106" s="90" t="s">
        <v>384</v>
      </c>
      <c r="M106" s="88">
        <v>170901900</v>
      </c>
      <c r="N106" s="90" t="s">
        <v>384</v>
      </c>
      <c r="O106" s="94" t="s">
        <v>1213</v>
      </c>
      <c r="P106" s="105">
        <v>5</v>
      </c>
      <c r="Q106" s="105">
        <v>1</v>
      </c>
      <c r="R106" s="118">
        <f t="shared" si="4"/>
        <v>6</v>
      </c>
      <c r="S106" s="91">
        <v>2020003630024</v>
      </c>
      <c r="T106" s="16" t="s">
        <v>1051</v>
      </c>
      <c r="U106" s="92" t="s">
        <v>385</v>
      </c>
      <c r="V106" s="26"/>
      <c r="W106" s="26"/>
      <c r="X106" s="26"/>
      <c r="Y106" s="26"/>
      <c r="Z106" s="26"/>
      <c r="AA106" s="26"/>
      <c r="AB106" s="49">
        <f>43000000-23088939</f>
        <v>19911061</v>
      </c>
      <c r="AC106" s="49"/>
      <c r="AD106" s="49"/>
      <c r="AE106" s="49"/>
      <c r="AF106" s="93">
        <f t="shared" si="5"/>
        <v>19911061</v>
      </c>
      <c r="AG106" s="145" t="s">
        <v>1222</v>
      </c>
      <c r="AJ106" s="21"/>
    </row>
    <row r="107" spans="1:36" s="19" customFormat="1" ht="117" hidden="1" customHeight="1" x14ac:dyDescent="0.2">
      <c r="A107" s="162">
        <v>312</v>
      </c>
      <c r="B107" s="115" t="s">
        <v>1078</v>
      </c>
      <c r="C107" s="17">
        <v>2</v>
      </c>
      <c r="D107" s="168">
        <v>1709</v>
      </c>
      <c r="E107" s="18" t="s">
        <v>1103</v>
      </c>
      <c r="F107" s="92" t="s">
        <v>318</v>
      </c>
      <c r="G107" s="77">
        <v>1709034</v>
      </c>
      <c r="H107" s="18" t="s">
        <v>386</v>
      </c>
      <c r="I107" s="77">
        <v>1709034</v>
      </c>
      <c r="J107" s="18" t="s">
        <v>386</v>
      </c>
      <c r="K107" s="88" t="s">
        <v>387</v>
      </c>
      <c r="L107" s="90" t="s">
        <v>386</v>
      </c>
      <c r="M107" s="88">
        <v>170903400</v>
      </c>
      <c r="N107" s="90" t="s">
        <v>386</v>
      </c>
      <c r="O107" s="94" t="s">
        <v>1213</v>
      </c>
      <c r="P107" s="105">
        <v>3</v>
      </c>
      <c r="Q107" s="105"/>
      <c r="R107" s="118">
        <f t="shared" si="4"/>
        <v>3</v>
      </c>
      <c r="S107" s="91">
        <v>2020003630024</v>
      </c>
      <c r="T107" s="16" t="s">
        <v>1051</v>
      </c>
      <c r="U107" s="92" t="s">
        <v>385</v>
      </c>
      <c r="V107" s="26"/>
      <c r="W107" s="26"/>
      <c r="X107" s="26"/>
      <c r="Y107" s="26"/>
      <c r="Z107" s="26"/>
      <c r="AA107" s="26"/>
      <c r="AB107" s="49">
        <f>43000000+23088939</f>
        <v>66088939</v>
      </c>
      <c r="AC107" s="49"/>
      <c r="AD107" s="49"/>
      <c r="AE107" s="49"/>
      <c r="AF107" s="93">
        <f t="shared" si="5"/>
        <v>66088939</v>
      </c>
      <c r="AG107" s="145" t="s">
        <v>1222</v>
      </c>
      <c r="AJ107" s="21"/>
    </row>
    <row r="108" spans="1:36" ht="117" hidden="1" customHeight="1" x14ac:dyDescent="0.2">
      <c r="A108" s="162">
        <v>312</v>
      </c>
      <c r="B108" s="115" t="s">
        <v>1078</v>
      </c>
      <c r="C108" s="17">
        <v>2</v>
      </c>
      <c r="D108" s="168">
        <v>1709</v>
      </c>
      <c r="E108" s="18" t="s">
        <v>1103</v>
      </c>
      <c r="F108" s="92" t="s">
        <v>318</v>
      </c>
      <c r="G108" s="77">
        <v>1709093</v>
      </c>
      <c r="H108" s="18" t="s">
        <v>388</v>
      </c>
      <c r="I108" s="77">
        <v>1709093</v>
      </c>
      <c r="J108" s="18" t="s">
        <v>388</v>
      </c>
      <c r="K108" s="17" t="s">
        <v>389</v>
      </c>
      <c r="L108" s="90" t="s">
        <v>390</v>
      </c>
      <c r="M108" s="17">
        <v>170909300</v>
      </c>
      <c r="N108" s="90" t="s">
        <v>390</v>
      </c>
      <c r="O108" s="94" t="s">
        <v>1213</v>
      </c>
      <c r="P108" s="105">
        <v>2</v>
      </c>
      <c r="Q108" s="105"/>
      <c r="R108" s="118">
        <f t="shared" si="4"/>
        <v>2</v>
      </c>
      <c r="S108" s="91">
        <v>2020003630024</v>
      </c>
      <c r="T108" s="16" t="s">
        <v>1051</v>
      </c>
      <c r="U108" s="92" t="s">
        <v>385</v>
      </c>
      <c r="V108" s="26"/>
      <c r="W108" s="26"/>
      <c r="X108" s="26"/>
      <c r="Y108" s="26"/>
      <c r="Z108" s="26"/>
      <c r="AA108" s="26"/>
      <c r="AB108" s="49">
        <v>22000000</v>
      </c>
      <c r="AC108" s="49"/>
      <c r="AD108" s="49"/>
      <c r="AE108" s="49"/>
      <c r="AF108" s="93">
        <f t="shared" si="5"/>
        <v>22000000</v>
      </c>
      <c r="AG108" s="145" t="s">
        <v>1222</v>
      </c>
      <c r="AI108" s="21"/>
      <c r="AJ108" s="21"/>
    </row>
    <row r="109" spans="1:36" s="11" customFormat="1" ht="117" hidden="1" customHeight="1" x14ac:dyDescent="0.25">
      <c r="A109" s="162">
        <v>312</v>
      </c>
      <c r="B109" s="115" t="s">
        <v>1078</v>
      </c>
      <c r="C109" s="17">
        <v>2</v>
      </c>
      <c r="D109" s="168">
        <v>3502</v>
      </c>
      <c r="E109" s="18" t="s">
        <v>1117</v>
      </c>
      <c r="F109" s="92" t="s">
        <v>391</v>
      </c>
      <c r="G109" s="77">
        <v>3502017</v>
      </c>
      <c r="H109" s="18" t="s">
        <v>392</v>
      </c>
      <c r="I109" s="77">
        <v>3502017</v>
      </c>
      <c r="J109" s="18" t="s">
        <v>392</v>
      </c>
      <c r="K109" s="88" t="s">
        <v>393</v>
      </c>
      <c r="L109" s="90" t="s">
        <v>394</v>
      </c>
      <c r="M109" s="88">
        <v>350201701</v>
      </c>
      <c r="N109" s="90" t="s">
        <v>394</v>
      </c>
      <c r="O109" s="94" t="s">
        <v>1212</v>
      </c>
      <c r="P109" s="105">
        <v>6</v>
      </c>
      <c r="Q109" s="105"/>
      <c r="R109" s="118">
        <f t="shared" si="4"/>
        <v>6</v>
      </c>
      <c r="S109" s="91">
        <v>2020003630085</v>
      </c>
      <c r="T109" s="16" t="s">
        <v>395</v>
      </c>
      <c r="U109" s="92" t="s">
        <v>396</v>
      </c>
      <c r="V109" s="30"/>
      <c r="W109" s="30"/>
      <c r="X109" s="30"/>
      <c r="Y109" s="30"/>
      <c r="Z109" s="30"/>
      <c r="AA109" s="30"/>
      <c r="AB109" s="49">
        <f>18000000+9558000</f>
        <v>27558000</v>
      </c>
      <c r="AC109" s="49"/>
      <c r="AD109" s="49"/>
      <c r="AE109" s="49"/>
      <c r="AF109" s="93">
        <f t="shared" si="5"/>
        <v>27558000</v>
      </c>
      <c r="AG109" s="145" t="s">
        <v>1222</v>
      </c>
      <c r="AJ109" s="21"/>
    </row>
    <row r="110" spans="1:36" ht="117" hidden="1" customHeight="1" x14ac:dyDescent="0.2">
      <c r="A110" s="162">
        <v>312</v>
      </c>
      <c r="B110" s="115" t="s">
        <v>1078</v>
      </c>
      <c r="C110" s="17">
        <v>2</v>
      </c>
      <c r="D110" s="168">
        <v>3502</v>
      </c>
      <c r="E110" s="18" t="s">
        <v>1117</v>
      </c>
      <c r="F110" s="96" t="s">
        <v>283</v>
      </c>
      <c r="G110" s="77">
        <v>3502007</v>
      </c>
      <c r="H110" s="18" t="s">
        <v>397</v>
      </c>
      <c r="I110" s="77">
        <v>3502007</v>
      </c>
      <c r="J110" s="18" t="s">
        <v>397</v>
      </c>
      <c r="K110" s="17" t="s">
        <v>290</v>
      </c>
      <c r="L110" s="90" t="s">
        <v>291</v>
      </c>
      <c r="M110" s="17">
        <v>350200700</v>
      </c>
      <c r="N110" s="18" t="s">
        <v>291</v>
      </c>
      <c r="O110" s="94" t="s">
        <v>1212</v>
      </c>
      <c r="P110" s="91">
        <v>5</v>
      </c>
      <c r="Q110" s="91"/>
      <c r="R110" s="118">
        <f t="shared" si="4"/>
        <v>5</v>
      </c>
      <c r="S110" s="91">
        <v>2020003630085</v>
      </c>
      <c r="T110" s="16" t="s">
        <v>1196</v>
      </c>
      <c r="U110" s="92" t="s">
        <v>396</v>
      </c>
      <c r="V110" s="30"/>
      <c r="W110" s="30"/>
      <c r="X110" s="30"/>
      <c r="Y110" s="30"/>
      <c r="Z110" s="30"/>
      <c r="AA110" s="30"/>
      <c r="AB110" s="49">
        <v>18000000</v>
      </c>
      <c r="AC110" s="49"/>
      <c r="AD110" s="49"/>
      <c r="AE110" s="49"/>
      <c r="AF110" s="93">
        <f t="shared" si="5"/>
        <v>18000000</v>
      </c>
      <c r="AG110" s="145" t="s">
        <v>1222</v>
      </c>
      <c r="AI110" s="21"/>
      <c r="AJ110" s="21"/>
    </row>
    <row r="111" spans="1:36" ht="117" hidden="1" customHeight="1" x14ac:dyDescent="0.2">
      <c r="A111" s="162">
        <v>312</v>
      </c>
      <c r="B111" s="115" t="s">
        <v>1078</v>
      </c>
      <c r="C111" s="17">
        <v>3</v>
      </c>
      <c r="D111" s="168" t="s">
        <v>398</v>
      </c>
      <c r="E111" s="18" t="s">
        <v>1110</v>
      </c>
      <c r="F111" s="92" t="s">
        <v>142</v>
      </c>
      <c r="G111" s="77">
        <v>3201013</v>
      </c>
      <c r="H111" s="18" t="s">
        <v>399</v>
      </c>
      <c r="I111" s="77">
        <v>3201013</v>
      </c>
      <c r="J111" s="18" t="s">
        <v>399</v>
      </c>
      <c r="K111" s="88" t="s">
        <v>400</v>
      </c>
      <c r="L111" s="90" t="s">
        <v>401</v>
      </c>
      <c r="M111" s="88">
        <v>320101300</v>
      </c>
      <c r="N111" s="90" t="s">
        <v>401</v>
      </c>
      <c r="O111" s="94" t="s">
        <v>1213</v>
      </c>
      <c r="P111" s="105">
        <v>1</v>
      </c>
      <c r="Q111" s="105"/>
      <c r="R111" s="118">
        <f t="shared" si="4"/>
        <v>1</v>
      </c>
      <c r="S111" s="91">
        <v>2020003630027</v>
      </c>
      <c r="T111" s="16" t="s">
        <v>402</v>
      </c>
      <c r="U111" s="92" t="s">
        <v>403</v>
      </c>
      <c r="V111" s="52"/>
      <c r="W111" s="52"/>
      <c r="X111" s="52"/>
      <c r="Y111" s="52"/>
      <c r="Z111" s="52"/>
      <c r="AA111" s="52"/>
      <c r="AB111" s="49">
        <f>32000000+5770000+25005000</f>
        <v>62775000</v>
      </c>
      <c r="AC111" s="49"/>
      <c r="AD111" s="49"/>
      <c r="AE111" s="49"/>
      <c r="AF111" s="93">
        <f t="shared" si="5"/>
        <v>62775000</v>
      </c>
      <c r="AG111" s="145" t="s">
        <v>1222</v>
      </c>
      <c r="AI111" s="21"/>
      <c r="AJ111" s="21"/>
    </row>
    <row r="112" spans="1:36" ht="117" hidden="1" customHeight="1" x14ac:dyDescent="0.2">
      <c r="A112" s="162">
        <v>312</v>
      </c>
      <c r="B112" s="115" t="s">
        <v>1078</v>
      </c>
      <c r="C112" s="17">
        <v>3</v>
      </c>
      <c r="D112" s="168" t="s">
        <v>398</v>
      </c>
      <c r="E112" s="18" t="s">
        <v>1110</v>
      </c>
      <c r="F112" s="92" t="s">
        <v>142</v>
      </c>
      <c r="G112" s="77">
        <v>3201008</v>
      </c>
      <c r="H112" s="18" t="s">
        <v>404</v>
      </c>
      <c r="I112" s="77">
        <v>3201008</v>
      </c>
      <c r="J112" s="18" t="s">
        <v>404</v>
      </c>
      <c r="K112" s="88" t="s">
        <v>405</v>
      </c>
      <c r="L112" s="90" t="s">
        <v>406</v>
      </c>
      <c r="M112" s="88">
        <v>320100805</v>
      </c>
      <c r="N112" s="90" t="s">
        <v>406</v>
      </c>
      <c r="O112" s="94" t="s">
        <v>1213</v>
      </c>
      <c r="P112" s="105">
        <v>3</v>
      </c>
      <c r="Q112" s="105"/>
      <c r="R112" s="118">
        <f t="shared" si="4"/>
        <v>3</v>
      </c>
      <c r="S112" s="91">
        <v>2020003630027</v>
      </c>
      <c r="T112" s="16" t="s">
        <v>402</v>
      </c>
      <c r="U112" s="92" t="s">
        <v>403</v>
      </c>
      <c r="V112" s="52"/>
      <c r="W112" s="52"/>
      <c r="X112" s="52"/>
      <c r="Y112" s="52"/>
      <c r="Z112" s="52"/>
      <c r="AA112" s="52"/>
      <c r="AB112" s="49">
        <v>50000000</v>
      </c>
      <c r="AC112" s="49"/>
      <c r="AD112" s="49"/>
      <c r="AE112" s="49"/>
      <c r="AF112" s="93">
        <f t="shared" si="5"/>
        <v>50000000</v>
      </c>
      <c r="AG112" s="145" t="s">
        <v>1222</v>
      </c>
      <c r="AI112" s="21"/>
      <c r="AJ112" s="21"/>
    </row>
    <row r="113" spans="1:36" ht="117" hidden="1" customHeight="1" x14ac:dyDescent="0.2">
      <c r="A113" s="162">
        <v>312</v>
      </c>
      <c r="B113" s="115" t="s">
        <v>1078</v>
      </c>
      <c r="C113" s="17">
        <v>3</v>
      </c>
      <c r="D113" s="168">
        <v>3202</v>
      </c>
      <c r="E113" s="18" t="s">
        <v>1111</v>
      </c>
      <c r="F113" s="92" t="s">
        <v>142</v>
      </c>
      <c r="G113" s="77">
        <v>3202037</v>
      </c>
      <c r="H113" s="18" t="s">
        <v>408</v>
      </c>
      <c r="I113" s="77">
        <v>3202037</v>
      </c>
      <c r="J113" s="18" t="s">
        <v>408</v>
      </c>
      <c r="K113" s="88" t="s">
        <v>409</v>
      </c>
      <c r="L113" s="90" t="s">
        <v>410</v>
      </c>
      <c r="M113" s="88">
        <v>320203704</v>
      </c>
      <c r="N113" s="90" t="s">
        <v>410</v>
      </c>
      <c r="O113" s="94" t="s">
        <v>1213</v>
      </c>
      <c r="P113" s="105">
        <v>90</v>
      </c>
      <c r="Q113" s="105">
        <v>9</v>
      </c>
      <c r="R113" s="118">
        <f t="shared" si="4"/>
        <v>99</v>
      </c>
      <c r="S113" s="91">
        <v>2020003630086</v>
      </c>
      <c r="T113" s="16" t="s">
        <v>1195</v>
      </c>
      <c r="U113" s="92" t="s">
        <v>407</v>
      </c>
      <c r="V113" s="30"/>
      <c r="W113" s="30"/>
      <c r="X113" s="30"/>
      <c r="Y113" s="30"/>
      <c r="Z113" s="30"/>
      <c r="AA113" s="30"/>
      <c r="AB113" s="49">
        <v>50000000</v>
      </c>
      <c r="AC113" s="49"/>
      <c r="AD113" s="49"/>
      <c r="AE113" s="49"/>
      <c r="AF113" s="93">
        <f t="shared" si="5"/>
        <v>50000000</v>
      </c>
      <c r="AG113" s="145" t="s">
        <v>1222</v>
      </c>
      <c r="AI113" s="21"/>
      <c r="AJ113" s="21"/>
    </row>
    <row r="114" spans="1:36" ht="117" hidden="1" customHeight="1" x14ac:dyDescent="0.2">
      <c r="A114" s="162">
        <v>312</v>
      </c>
      <c r="B114" s="115" t="s">
        <v>1078</v>
      </c>
      <c r="C114" s="17">
        <v>3</v>
      </c>
      <c r="D114" s="168">
        <v>3202</v>
      </c>
      <c r="E114" s="18" t="s">
        <v>1111</v>
      </c>
      <c r="F114" s="92" t="s">
        <v>142</v>
      </c>
      <c r="G114" s="17" t="s">
        <v>26</v>
      </c>
      <c r="H114" s="18" t="s">
        <v>411</v>
      </c>
      <c r="I114" s="35">
        <v>3202037</v>
      </c>
      <c r="J114" s="18" t="s">
        <v>408</v>
      </c>
      <c r="K114" s="17" t="s">
        <v>26</v>
      </c>
      <c r="L114" s="90" t="s">
        <v>412</v>
      </c>
      <c r="M114" s="35">
        <v>320203700</v>
      </c>
      <c r="N114" s="90" t="s">
        <v>413</v>
      </c>
      <c r="O114" s="94" t="s">
        <v>1213</v>
      </c>
      <c r="P114" s="105">
        <v>60</v>
      </c>
      <c r="Q114" s="129">
        <v>1.7</v>
      </c>
      <c r="R114" s="130">
        <f t="shared" si="4"/>
        <v>61.7</v>
      </c>
      <c r="S114" s="91">
        <v>2020003630086</v>
      </c>
      <c r="T114" s="16" t="s">
        <v>1195</v>
      </c>
      <c r="U114" s="92" t="s">
        <v>407</v>
      </c>
      <c r="V114" s="30"/>
      <c r="W114" s="30"/>
      <c r="X114" s="30"/>
      <c r="Y114" s="30"/>
      <c r="Z114" s="30"/>
      <c r="AA114" s="30"/>
      <c r="AB114" s="49">
        <f>599170989+13333647+693747421.84</f>
        <v>1306252057.8400002</v>
      </c>
      <c r="AC114" s="49"/>
      <c r="AD114" s="49"/>
      <c r="AE114" s="49"/>
      <c r="AF114" s="93">
        <f t="shared" si="5"/>
        <v>1306252057.8400002</v>
      </c>
      <c r="AG114" s="145" t="s">
        <v>1222</v>
      </c>
      <c r="AI114" s="21"/>
      <c r="AJ114" s="21"/>
    </row>
    <row r="115" spans="1:36" ht="117" hidden="1" customHeight="1" x14ac:dyDescent="0.2">
      <c r="A115" s="162">
        <v>312</v>
      </c>
      <c r="B115" s="115" t="s">
        <v>1078</v>
      </c>
      <c r="C115" s="17">
        <v>3</v>
      </c>
      <c r="D115" s="168">
        <v>3202</v>
      </c>
      <c r="E115" s="18" t="s">
        <v>1111</v>
      </c>
      <c r="F115" s="92" t="s">
        <v>142</v>
      </c>
      <c r="G115" s="17">
        <v>3202017</v>
      </c>
      <c r="H115" s="18" t="s">
        <v>414</v>
      </c>
      <c r="I115" s="77">
        <v>3202043</v>
      </c>
      <c r="J115" s="18" t="s">
        <v>415</v>
      </c>
      <c r="K115" s="17" t="s">
        <v>416</v>
      </c>
      <c r="L115" s="90" t="s">
        <v>417</v>
      </c>
      <c r="M115" s="88">
        <v>320204300</v>
      </c>
      <c r="N115" s="90" t="s">
        <v>418</v>
      </c>
      <c r="O115" s="94" t="s">
        <v>1212</v>
      </c>
      <c r="P115" s="126">
        <v>1</v>
      </c>
      <c r="Q115" s="126"/>
      <c r="R115" s="118">
        <f t="shared" si="4"/>
        <v>1</v>
      </c>
      <c r="S115" s="91">
        <v>2020003630086</v>
      </c>
      <c r="T115" s="16" t="s">
        <v>1195</v>
      </c>
      <c r="U115" s="92" t="s">
        <v>407</v>
      </c>
      <c r="V115" s="30"/>
      <c r="W115" s="30"/>
      <c r="X115" s="30"/>
      <c r="Y115" s="30"/>
      <c r="Z115" s="30"/>
      <c r="AA115" s="30"/>
      <c r="AB115" s="49">
        <f>256787568+173436855</f>
        <v>430224423</v>
      </c>
      <c r="AC115" s="49"/>
      <c r="AD115" s="49"/>
      <c r="AE115" s="49"/>
      <c r="AF115" s="93">
        <f t="shared" si="5"/>
        <v>430224423</v>
      </c>
      <c r="AG115" s="145" t="s">
        <v>1222</v>
      </c>
      <c r="AI115" s="21"/>
      <c r="AJ115" s="21"/>
    </row>
    <row r="116" spans="1:36" ht="117" hidden="1" customHeight="1" x14ac:dyDescent="0.2">
      <c r="A116" s="162">
        <v>312</v>
      </c>
      <c r="B116" s="115" t="s">
        <v>1078</v>
      </c>
      <c r="C116" s="17">
        <v>3</v>
      </c>
      <c r="D116" s="168">
        <v>3202</v>
      </c>
      <c r="E116" s="18" t="s">
        <v>1111</v>
      </c>
      <c r="F116" s="92" t="s">
        <v>142</v>
      </c>
      <c r="G116" s="17" t="s">
        <v>26</v>
      </c>
      <c r="H116" s="18" t="s">
        <v>419</v>
      </c>
      <c r="I116" s="77">
        <v>3202014</v>
      </c>
      <c r="J116" s="18" t="s">
        <v>1023</v>
      </c>
      <c r="K116" s="17" t="s">
        <v>26</v>
      </c>
      <c r="L116" s="90" t="s">
        <v>420</v>
      </c>
      <c r="M116" s="88">
        <v>320201402</v>
      </c>
      <c r="N116" s="90" t="s">
        <v>421</v>
      </c>
      <c r="O116" s="94" t="s">
        <v>1212</v>
      </c>
      <c r="P116" s="126">
        <v>1</v>
      </c>
      <c r="Q116" s="126"/>
      <c r="R116" s="118">
        <f t="shared" si="4"/>
        <v>1</v>
      </c>
      <c r="S116" s="91">
        <v>2020003630028</v>
      </c>
      <c r="T116" s="16" t="s">
        <v>422</v>
      </c>
      <c r="U116" s="92" t="s">
        <v>423</v>
      </c>
      <c r="V116" s="30"/>
      <c r="W116" s="30"/>
      <c r="X116" s="30"/>
      <c r="Y116" s="30"/>
      <c r="Z116" s="30"/>
      <c r="AA116" s="30"/>
      <c r="AB116" s="49">
        <f>36000000+15395000</f>
        <v>51395000</v>
      </c>
      <c r="AC116" s="49"/>
      <c r="AD116" s="49"/>
      <c r="AE116" s="49"/>
      <c r="AF116" s="93">
        <f t="shared" si="5"/>
        <v>51395000</v>
      </c>
      <c r="AG116" s="145" t="s">
        <v>1222</v>
      </c>
      <c r="AI116" s="21"/>
      <c r="AJ116" s="21"/>
    </row>
    <row r="117" spans="1:36" ht="117" hidden="1" customHeight="1" x14ac:dyDescent="0.2">
      <c r="A117" s="162">
        <v>312</v>
      </c>
      <c r="B117" s="115" t="s">
        <v>1078</v>
      </c>
      <c r="C117" s="17">
        <v>3</v>
      </c>
      <c r="D117" s="168">
        <v>3202</v>
      </c>
      <c r="E117" s="18" t="s">
        <v>1111</v>
      </c>
      <c r="F117" s="92" t="s">
        <v>142</v>
      </c>
      <c r="G117" s="17" t="s">
        <v>26</v>
      </c>
      <c r="H117" s="18" t="s">
        <v>424</v>
      </c>
      <c r="I117" s="17">
        <v>3202014</v>
      </c>
      <c r="J117" s="18" t="s">
        <v>1023</v>
      </c>
      <c r="K117" s="17" t="s">
        <v>26</v>
      </c>
      <c r="L117" s="90" t="s">
        <v>425</v>
      </c>
      <c r="M117" s="17">
        <v>320201402</v>
      </c>
      <c r="N117" s="90" t="s">
        <v>421</v>
      </c>
      <c r="O117" s="94" t="s">
        <v>1213</v>
      </c>
      <c r="P117" s="126">
        <v>1</v>
      </c>
      <c r="Q117" s="126"/>
      <c r="R117" s="118">
        <f t="shared" si="4"/>
        <v>1</v>
      </c>
      <c r="S117" s="91">
        <v>2020003630087</v>
      </c>
      <c r="T117" s="18" t="s">
        <v>426</v>
      </c>
      <c r="U117" s="92" t="s">
        <v>427</v>
      </c>
      <c r="V117" s="30"/>
      <c r="W117" s="30"/>
      <c r="X117" s="30"/>
      <c r="Y117" s="30"/>
      <c r="Z117" s="30"/>
      <c r="AA117" s="30"/>
      <c r="AB117" s="49">
        <f>54000000+3600000+5550000+5830000</f>
        <v>68980000</v>
      </c>
      <c r="AC117" s="49"/>
      <c r="AD117" s="49"/>
      <c r="AE117" s="49"/>
      <c r="AF117" s="93">
        <f t="shared" si="5"/>
        <v>68980000</v>
      </c>
      <c r="AG117" s="145" t="s">
        <v>1222</v>
      </c>
      <c r="AI117" s="21"/>
      <c r="AJ117" s="21"/>
    </row>
    <row r="118" spans="1:36" ht="117" hidden="1" customHeight="1" x14ac:dyDescent="0.2">
      <c r="A118" s="162">
        <v>312</v>
      </c>
      <c r="B118" s="115" t="s">
        <v>1078</v>
      </c>
      <c r="C118" s="17">
        <v>3</v>
      </c>
      <c r="D118" s="168" t="s">
        <v>428</v>
      </c>
      <c r="E118" s="18" t="s">
        <v>1112</v>
      </c>
      <c r="F118" s="92" t="s">
        <v>142</v>
      </c>
      <c r="G118" s="77">
        <v>3204012</v>
      </c>
      <c r="H118" s="18" t="s">
        <v>429</v>
      </c>
      <c r="I118" s="77">
        <v>3204012</v>
      </c>
      <c r="J118" s="18" t="s">
        <v>429</v>
      </c>
      <c r="K118" s="88" t="s">
        <v>430</v>
      </c>
      <c r="L118" s="90" t="s">
        <v>431</v>
      </c>
      <c r="M118" s="88">
        <v>320401200</v>
      </c>
      <c r="N118" s="90" t="s">
        <v>431</v>
      </c>
      <c r="O118" s="94" t="s">
        <v>1213</v>
      </c>
      <c r="P118" s="105">
        <v>4</v>
      </c>
      <c r="Q118" s="105">
        <v>1</v>
      </c>
      <c r="R118" s="118">
        <f t="shared" si="4"/>
        <v>5</v>
      </c>
      <c r="S118" s="91">
        <v>2020003630029</v>
      </c>
      <c r="T118" s="16" t="s">
        <v>432</v>
      </c>
      <c r="U118" s="92" t="s">
        <v>433</v>
      </c>
      <c r="V118" s="30"/>
      <c r="W118" s="30"/>
      <c r="X118" s="30"/>
      <c r="Y118" s="30"/>
      <c r="Z118" s="30"/>
      <c r="AA118" s="30"/>
      <c r="AB118" s="49">
        <f>120000000+50000000+16200000-50000000</f>
        <v>136200000</v>
      </c>
      <c r="AC118" s="49"/>
      <c r="AD118" s="49"/>
      <c r="AE118" s="49"/>
      <c r="AF118" s="93">
        <f t="shared" si="5"/>
        <v>136200000</v>
      </c>
      <c r="AG118" s="145" t="s">
        <v>1222</v>
      </c>
      <c r="AI118" s="21"/>
      <c r="AJ118" s="21"/>
    </row>
    <row r="119" spans="1:36" ht="117" hidden="1" customHeight="1" x14ac:dyDescent="0.2">
      <c r="A119" s="162">
        <v>312</v>
      </c>
      <c r="B119" s="115" t="s">
        <v>1078</v>
      </c>
      <c r="C119" s="17">
        <v>3</v>
      </c>
      <c r="D119" s="168">
        <v>3205</v>
      </c>
      <c r="E119" s="18" t="s">
        <v>1113</v>
      </c>
      <c r="F119" s="92" t="s">
        <v>142</v>
      </c>
      <c r="G119" s="77" t="s">
        <v>434</v>
      </c>
      <c r="H119" s="18" t="s">
        <v>435</v>
      </c>
      <c r="I119" s="77" t="s">
        <v>434</v>
      </c>
      <c r="J119" s="18" t="s">
        <v>435</v>
      </c>
      <c r="K119" s="17" t="s">
        <v>436</v>
      </c>
      <c r="L119" s="18" t="s">
        <v>437</v>
      </c>
      <c r="M119" s="17">
        <v>320500900</v>
      </c>
      <c r="N119" s="90" t="s">
        <v>437</v>
      </c>
      <c r="O119" s="94" t="s">
        <v>1213</v>
      </c>
      <c r="P119" s="105">
        <v>200</v>
      </c>
      <c r="Q119" s="105">
        <v>200</v>
      </c>
      <c r="R119" s="118">
        <f t="shared" si="4"/>
        <v>400</v>
      </c>
      <c r="S119" s="91">
        <v>2020003630030</v>
      </c>
      <c r="T119" s="16" t="s">
        <v>1064</v>
      </c>
      <c r="U119" s="92" t="s">
        <v>438</v>
      </c>
      <c r="V119" s="29"/>
      <c r="W119" s="30"/>
      <c r="X119" s="30"/>
      <c r="Y119" s="30"/>
      <c r="Z119" s="30"/>
      <c r="AA119" s="30"/>
      <c r="AB119" s="49">
        <f>20000000+62000000</f>
        <v>82000000</v>
      </c>
      <c r="AC119" s="49"/>
      <c r="AD119" s="49"/>
      <c r="AE119" s="49"/>
      <c r="AF119" s="93">
        <f t="shared" si="5"/>
        <v>82000000</v>
      </c>
      <c r="AG119" s="145" t="s">
        <v>1222</v>
      </c>
      <c r="AI119" s="21"/>
      <c r="AJ119" s="21"/>
    </row>
    <row r="120" spans="1:36" ht="117" hidden="1" customHeight="1" x14ac:dyDescent="0.2">
      <c r="A120" s="162">
        <v>312</v>
      </c>
      <c r="B120" s="115" t="s">
        <v>1078</v>
      </c>
      <c r="C120" s="17">
        <v>3</v>
      </c>
      <c r="D120" s="168">
        <v>3205</v>
      </c>
      <c r="E120" s="18" t="s">
        <v>1113</v>
      </c>
      <c r="F120" s="92" t="s">
        <v>142</v>
      </c>
      <c r="G120" s="77" t="s">
        <v>439</v>
      </c>
      <c r="H120" s="18" t="s">
        <v>440</v>
      </c>
      <c r="I120" s="77" t="s">
        <v>439</v>
      </c>
      <c r="J120" s="18" t="s">
        <v>440</v>
      </c>
      <c r="K120" s="17" t="s">
        <v>441</v>
      </c>
      <c r="L120" s="18" t="s">
        <v>442</v>
      </c>
      <c r="M120" s="17">
        <v>320501400</v>
      </c>
      <c r="N120" s="90" t="s">
        <v>442</v>
      </c>
      <c r="O120" s="94" t="s">
        <v>1213</v>
      </c>
      <c r="P120" s="105">
        <v>20</v>
      </c>
      <c r="Q120" s="105">
        <v>10</v>
      </c>
      <c r="R120" s="118">
        <f t="shared" si="4"/>
        <v>30</v>
      </c>
      <c r="S120" s="91">
        <v>2020003630030</v>
      </c>
      <c r="T120" s="16" t="s">
        <v>1064</v>
      </c>
      <c r="U120" s="92" t="s">
        <v>438</v>
      </c>
      <c r="V120" s="29"/>
      <c r="W120" s="30"/>
      <c r="X120" s="30"/>
      <c r="Y120" s="30"/>
      <c r="Z120" s="30"/>
      <c r="AA120" s="30"/>
      <c r="AB120" s="49">
        <f>20000000+20000000+3770000</f>
        <v>43770000</v>
      </c>
      <c r="AC120" s="49"/>
      <c r="AD120" s="49"/>
      <c r="AE120" s="49"/>
      <c r="AF120" s="93">
        <f t="shared" si="5"/>
        <v>43770000</v>
      </c>
      <c r="AG120" s="145" t="s">
        <v>1222</v>
      </c>
      <c r="AI120" s="21"/>
      <c r="AJ120" s="21"/>
    </row>
    <row r="121" spans="1:36" ht="117" hidden="1" customHeight="1" x14ac:dyDescent="0.2">
      <c r="A121" s="162">
        <v>312</v>
      </c>
      <c r="B121" s="115" t="s">
        <v>1078</v>
      </c>
      <c r="C121" s="17">
        <v>3</v>
      </c>
      <c r="D121" s="168">
        <v>3205</v>
      </c>
      <c r="E121" s="18" t="s">
        <v>1113</v>
      </c>
      <c r="F121" s="92" t="s">
        <v>142</v>
      </c>
      <c r="G121" s="77">
        <v>3205010</v>
      </c>
      <c r="H121" s="18" t="s">
        <v>143</v>
      </c>
      <c r="I121" s="77">
        <v>3205010</v>
      </c>
      <c r="J121" s="18" t="s">
        <v>143</v>
      </c>
      <c r="K121" s="17" t="s">
        <v>144</v>
      </c>
      <c r="L121" s="18" t="s">
        <v>145</v>
      </c>
      <c r="M121" s="17">
        <v>320501000</v>
      </c>
      <c r="N121" s="90" t="s">
        <v>145</v>
      </c>
      <c r="O121" s="94" t="s">
        <v>1213</v>
      </c>
      <c r="P121" s="105">
        <v>1</v>
      </c>
      <c r="Q121" s="105">
        <v>1</v>
      </c>
      <c r="R121" s="118">
        <f t="shared" si="4"/>
        <v>2</v>
      </c>
      <c r="S121" s="91">
        <v>2020003630030</v>
      </c>
      <c r="T121" s="16" t="s">
        <v>1064</v>
      </c>
      <c r="U121" s="92" t="s">
        <v>438</v>
      </c>
      <c r="V121" s="29"/>
      <c r="W121" s="30"/>
      <c r="X121" s="30"/>
      <c r="Y121" s="30"/>
      <c r="Z121" s="30"/>
      <c r="AA121" s="30"/>
      <c r="AB121" s="49">
        <v>42000000</v>
      </c>
      <c r="AC121" s="49"/>
      <c r="AD121" s="49"/>
      <c r="AE121" s="49"/>
      <c r="AF121" s="93">
        <f t="shared" si="5"/>
        <v>42000000</v>
      </c>
      <c r="AG121" s="145" t="s">
        <v>1222</v>
      </c>
      <c r="AI121" s="21"/>
      <c r="AJ121" s="21"/>
    </row>
    <row r="122" spans="1:36" ht="117" hidden="1" customHeight="1" x14ac:dyDescent="0.2">
      <c r="A122" s="162">
        <v>312</v>
      </c>
      <c r="B122" s="115" t="s">
        <v>1078</v>
      </c>
      <c r="C122" s="17">
        <v>3</v>
      </c>
      <c r="D122" s="168" t="s">
        <v>443</v>
      </c>
      <c r="E122" s="18" t="s">
        <v>1114</v>
      </c>
      <c r="F122" s="92" t="s">
        <v>142</v>
      </c>
      <c r="G122" s="77" t="s">
        <v>444</v>
      </c>
      <c r="H122" s="18" t="s">
        <v>445</v>
      </c>
      <c r="I122" s="77" t="s">
        <v>444</v>
      </c>
      <c r="J122" s="18" t="s">
        <v>445</v>
      </c>
      <c r="K122" s="88" t="s">
        <v>446</v>
      </c>
      <c r="L122" s="90" t="s">
        <v>447</v>
      </c>
      <c r="M122" s="88">
        <v>320600500</v>
      </c>
      <c r="N122" s="90" t="s">
        <v>447</v>
      </c>
      <c r="O122" s="94" t="s">
        <v>1213</v>
      </c>
      <c r="P122" s="105">
        <v>4</v>
      </c>
      <c r="Q122" s="105">
        <v>2</v>
      </c>
      <c r="R122" s="118">
        <f t="shared" si="4"/>
        <v>6</v>
      </c>
      <c r="S122" s="91">
        <v>2020003630088</v>
      </c>
      <c r="T122" s="16" t="s">
        <v>1065</v>
      </c>
      <c r="U122" s="92" t="s">
        <v>448</v>
      </c>
      <c r="V122" s="30"/>
      <c r="W122" s="30"/>
      <c r="X122" s="30"/>
      <c r="Y122" s="30"/>
      <c r="Z122" s="30"/>
      <c r="AA122" s="30"/>
      <c r="AB122" s="49">
        <v>25000000</v>
      </c>
      <c r="AC122" s="49"/>
      <c r="AD122" s="49"/>
      <c r="AE122" s="49"/>
      <c r="AF122" s="93">
        <f t="shared" si="5"/>
        <v>25000000</v>
      </c>
      <c r="AG122" s="145" t="s">
        <v>1222</v>
      </c>
      <c r="AI122" s="21"/>
      <c r="AJ122" s="21"/>
    </row>
    <row r="123" spans="1:36" ht="117" hidden="1" customHeight="1" x14ac:dyDescent="0.2">
      <c r="A123" s="162">
        <v>312</v>
      </c>
      <c r="B123" s="115" t="s">
        <v>1078</v>
      </c>
      <c r="C123" s="17">
        <v>3</v>
      </c>
      <c r="D123" s="168" t="s">
        <v>443</v>
      </c>
      <c r="E123" s="18" t="s">
        <v>1114</v>
      </c>
      <c r="F123" s="92" t="s">
        <v>142</v>
      </c>
      <c r="G123" s="77">
        <v>3206014</v>
      </c>
      <c r="H123" s="18" t="s">
        <v>449</v>
      </c>
      <c r="I123" s="77">
        <v>3206014</v>
      </c>
      <c r="J123" s="18" t="s">
        <v>449</v>
      </c>
      <c r="K123" s="88" t="s">
        <v>450</v>
      </c>
      <c r="L123" s="90" t="s">
        <v>451</v>
      </c>
      <c r="M123" s="88">
        <v>320601400</v>
      </c>
      <c r="N123" s="90" t="s">
        <v>451</v>
      </c>
      <c r="O123" s="94" t="s">
        <v>1213</v>
      </c>
      <c r="P123" s="105">
        <v>2000</v>
      </c>
      <c r="Q123" s="105">
        <v>18</v>
      </c>
      <c r="R123" s="118">
        <f t="shared" si="4"/>
        <v>2018</v>
      </c>
      <c r="S123" s="91">
        <v>2020003630088</v>
      </c>
      <c r="T123" s="16" t="s">
        <v>1065</v>
      </c>
      <c r="U123" s="92" t="s">
        <v>448</v>
      </c>
      <c r="V123" s="30"/>
      <c r="W123" s="30"/>
      <c r="X123" s="30"/>
      <c r="Y123" s="30"/>
      <c r="Z123" s="30"/>
      <c r="AA123" s="30"/>
      <c r="AB123" s="49">
        <f>18000000+5000000</f>
        <v>23000000</v>
      </c>
      <c r="AC123" s="49"/>
      <c r="AD123" s="49"/>
      <c r="AE123" s="49"/>
      <c r="AF123" s="93">
        <f t="shared" si="5"/>
        <v>23000000</v>
      </c>
      <c r="AG123" s="145" t="s">
        <v>1222</v>
      </c>
      <c r="AI123" s="21"/>
      <c r="AJ123" s="21"/>
    </row>
    <row r="124" spans="1:36" ht="117" hidden="1" customHeight="1" x14ac:dyDescent="0.2">
      <c r="A124" s="162">
        <v>312</v>
      </c>
      <c r="B124" s="115" t="s">
        <v>1078</v>
      </c>
      <c r="C124" s="17">
        <v>3</v>
      </c>
      <c r="D124" s="168" t="s">
        <v>443</v>
      </c>
      <c r="E124" s="18" t="s">
        <v>1114</v>
      </c>
      <c r="F124" s="92" t="s">
        <v>142</v>
      </c>
      <c r="G124" s="77" t="s">
        <v>452</v>
      </c>
      <c r="H124" s="18" t="s">
        <v>453</v>
      </c>
      <c r="I124" s="77" t="s">
        <v>452</v>
      </c>
      <c r="J124" s="18" t="s">
        <v>453</v>
      </c>
      <c r="K124" s="88" t="s">
        <v>454</v>
      </c>
      <c r="L124" s="90" t="s">
        <v>455</v>
      </c>
      <c r="M124" s="88">
        <v>320601500</v>
      </c>
      <c r="N124" s="90" t="s">
        <v>455</v>
      </c>
      <c r="O124" s="94" t="s">
        <v>1213</v>
      </c>
      <c r="P124" s="105">
        <v>30</v>
      </c>
      <c r="Q124" s="105">
        <v>20</v>
      </c>
      <c r="R124" s="118">
        <f t="shared" si="4"/>
        <v>50</v>
      </c>
      <c r="S124" s="91">
        <v>2020003630088</v>
      </c>
      <c r="T124" s="16" t="s">
        <v>1065</v>
      </c>
      <c r="U124" s="92" t="s">
        <v>448</v>
      </c>
      <c r="V124" s="30"/>
      <c r="W124" s="30"/>
      <c r="X124" s="30"/>
      <c r="Y124" s="30"/>
      <c r="Z124" s="30"/>
      <c r="AA124" s="30"/>
      <c r="AB124" s="49">
        <f>75000000+75000000</f>
        <v>150000000</v>
      </c>
      <c r="AC124" s="49"/>
      <c r="AD124" s="49"/>
      <c r="AE124" s="49"/>
      <c r="AF124" s="93">
        <f t="shared" si="5"/>
        <v>150000000</v>
      </c>
      <c r="AG124" s="145" t="s">
        <v>1222</v>
      </c>
      <c r="AI124" s="21"/>
      <c r="AJ124" s="21"/>
    </row>
    <row r="125" spans="1:36" ht="117" hidden="1" customHeight="1" x14ac:dyDescent="0.2">
      <c r="A125" s="162">
        <v>313</v>
      </c>
      <c r="B125" s="115" t="s">
        <v>1242</v>
      </c>
      <c r="C125" s="17">
        <v>4</v>
      </c>
      <c r="D125" s="168">
        <v>4599</v>
      </c>
      <c r="E125" s="18" t="s">
        <v>1093</v>
      </c>
      <c r="F125" s="92" t="s">
        <v>25</v>
      </c>
      <c r="G125" s="17" t="s">
        <v>26</v>
      </c>
      <c r="H125" s="92" t="s">
        <v>456</v>
      </c>
      <c r="I125" s="17">
        <v>4599023</v>
      </c>
      <c r="J125" s="18" t="s">
        <v>86</v>
      </c>
      <c r="K125" s="17" t="s">
        <v>26</v>
      </c>
      <c r="L125" s="90" t="s">
        <v>457</v>
      </c>
      <c r="M125" s="17">
        <v>459902304</v>
      </c>
      <c r="N125" s="90" t="s">
        <v>458</v>
      </c>
      <c r="O125" s="94" t="s">
        <v>1212</v>
      </c>
      <c r="P125" s="126">
        <v>1</v>
      </c>
      <c r="Q125" s="126"/>
      <c r="R125" s="118">
        <f t="shared" si="4"/>
        <v>1</v>
      </c>
      <c r="S125" s="25">
        <v>2021003630005</v>
      </c>
      <c r="T125" s="92" t="s">
        <v>459</v>
      </c>
      <c r="U125" s="92" t="s">
        <v>460</v>
      </c>
      <c r="V125" s="30"/>
      <c r="W125" s="30"/>
      <c r="X125" s="30"/>
      <c r="Y125" s="30"/>
      <c r="Z125" s="30"/>
      <c r="AA125" s="30"/>
      <c r="AB125" s="152">
        <f>250000000-100000000+58000000+53200000+20000000</f>
        <v>281200000</v>
      </c>
      <c r="AC125" s="30"/>
      <c r="AD125" s="30"/>
      <c r="AE125" s="30"/>
      <c r="AF125" s="93">
        <f t="shared" si="5"/>
        <v>281200000</v>
      </c>
      <c r="AG125" s="115" t="s">
        <v>1242</v>
      </c>
      <c r="AI125" s="21"/>
      <c r="AJ125" s="21"/>
    </row>
    <row r="126" spans="1:36" ht="117" hidden="1" customHeight="1" x14ac:dyDescent="0.2">
      <c r="A126" s="162">
        <v>313</v>
      </c>
      <c r="B126" s="115" t="s">
        <v>1242</v>
      </c>
      <c r="C126" s="17">
        <v>4</v>
      </c>
      <c r="D126" s="168">
        <v>4599</v>
      </c>
      <c r="E126" s="18" t="s">
        <v>1093</v>
      </c>
      <c r="F126" s="92" t="s">
        <v>25</v>
      </c>
      <c r="G126" s="17" t="s">
        <v>26</v>
      </c>
      <c r="H126" s="18" t="s">
        <v>461</v>
      </c>
      <c r="I126" s="17">
        <v>4599029</v>
      </c>
      <c r="J126" s="18" t="s">
        <v>44</v>
      </c>
      <c r="K126" s="17" t="s">
        <v>26</v>
      </c>
      <c r="L126" s="90" t="s">
        <v>462</v>
      </c>
      <c r="M126" s="35">
        <v>459902900</v>
      </c>
      <c r="N126" s="90" t="s">
        <v>46</v>
      </c>
      <c r="O126" s="94" t="s">
        <v>1212</v>
      </c>
      <c r="P126" s="126">
        <v>1</v>
      </c>
      <c r="Q126" s="126"/>
      <c r="R126" s="118">
        <f t="shared" si="4"/>
        <v>1</v>
      </c>
      <c r="S126" s="91">
        <v>2020003630090</v>
      </c>
      <c r="T126" s="18" t="s">
        <v>463</v>
      </c>
      <c r="U126" s="92" t="s">
        <v>464</v>
      </c>
      <c r="V126" s="30"/>
      <c r="W126" s="30"/>
      <c r="X126" s="30"/>
      <c r="Y126" s="30"/>
      <c r="Z126" s="30"/>
      <c r="AA126" s="30"/>
      <c r="AB126" s="152">
        <f>300000000+520000000+160000000+100000000+90000000+499400000+50000000</f>
        <v>1719400000</v>
      </c>
      <c r="AC126" s="30"/>
      <c r="AD126" s="30"/>
      <c r="AE126" s="30"/>
      <c r="AF126" s="93">
        <f t="shared" si="5"/>
        <v>1719400000</v>
      </c>
      <c r="AG126" s="115" t="s">
        <v>1242</v>
      </c>
      <c r="AI126" s="21"/>
      <c r="AJ126" s="21"/>
    </row>
    <row r="127" spans="1:36" ht="117" hidden="1" customHeight="1" x14ac:dyDescent="0.2">
      <c r="A127" s="162">
        <v>313</v>
      </c>
      <c r="B127" s="115" t="s">
        <v>1242</v>
      </c>
      <c r="C127" s="17">
        <v>4</v>
      </c>
      <c r="D127" s="168">
        <v>4502</v>
      </c>
      <c r="E127" s="18" t="s">
        <v>1091</v>
      </c>
      <c r="F127" s="92" t="s">
        <v>42</v>
      </c>
      <c r="G127" s="17" t="s">
        <v>26</v>
      </c>
      <c r="H127" s="18" t="s">
        <v>465</v>
      </c>
      <c r="I127" s="17">
        <v>4502001</v>
      </c>
      <c r="J127" s="18" t="s">
        <v>51</v>
      </c>
      <c r="K127" s="17" t="s">
        <v>26</v>
      </c>
      <c r="L127" s="90" t="s">
        <v>466</v>
      </c>
      <c r="M127" s="17">
        <v>450200100</v>
      </c>
      <c r="N127" s="90" t="s">
        <v>53</v>
      </c>
      <c r="O127" s="94" t="s">
        <v>1212</v>
      </c>
      <c r="P127" s="105">
        <v>30</v>
      </c>
      <c r="Q127" s="105"/>
      <c r="R127" s="118">
        <f t="shared" si="4"/>
        <v>30</v>
      </c>
      <c r="S127" s="91">
        <v>2020003630031</v>
      </c>
      <c r="T127" s="18" t="s">
        <v>467</v>
      </c>
      <c r="U127" s="92" t="s">
        <v>468</v>
      </c>
      <c r="V127" s="52"/>
      <c r="W127" s="52"/>
      <c r="X127" s="52"/>
      <c r="Y127" s="52"/>
      <c r="Z127" s="52"/>
      <c r="AA127" s="52"/>
      <c r="AB127" s="152">
        <f>145000000+40052800+26400000+30000000+30000000</f>
        <v>271452800</v>
      </c>
      <c r="AC127" s="52"/>
      <c r="AD127" s="52"/>
      <c r="AE127" s="52"/>
      <c r="AF127" s="93">
        <f t="shared" si="5"/>
        <v>271452800</v>
      </c>
      <c r="AG127" s="115" t="s">
        <v>1242</v>
      </c>
      <c r="AI127" s="21"/>
      <c r="AJ127" s="21"/>
    </row>
    <row r="128" spans="1:36" ht="117" hidden="1" customHeight="1" x14ac:dyDescent="0.2">
      <c r="A128" s="162">
        <v>314</v>
      </c>
      <c r="B128" s="115" t="s">
        <v>1079</v>
      </c>
      <c r="C128" s="17">
        <v>1</v>
      </c>
      <c r="D128" s="168">
        <v>2201</v>
      </c>
      <c r="E128" s="18" t="s">
        <v>1106</v>
      </c>
      <c r="F128" s="92" t="s">
        <v>469</v>
      </c>
      <c r="G128" s="17">
        <v>2201030</v>
      </c>
      <c r="H128" s="18" t="s">
        <v>470</v>
      </c>
      <c r="I128" s="17">
        <v>2201030</v>
      </c>
      <c r="J128" s="18" t="s">
        <v>470</v>
      </c>
      <c r="K128" s="38">
        <v>220103000</v>
      </c>
      <c r="L128" s="90" t="s">
        <v>471</v>
      </c>
      <c r="M128" s="38">
        <v>220103000</v>
      </c>
      <c r="N128" s="90" t="s">
        <v>471</v>
      </c>
      <c r="O128" s="94" t="s">
        <v>1212</v>
      </c>
      <c r="P128" s="105">
        <v>2500</v>
      </c>
      <c r="Q128" s="105"/>
      <c r="R128" s="118">
        <f t="shared" si="4"/>
        <v>2500</v>
      </c>
      <c r="S128" s="91">
        <v>2020003630091</v>
      </c>
      <c r="T128" s="18" t="s">
        <v>472</v>
      </c>
      <c r="U128" s="92" t="s">
        <v>473</v>
      </c>
      <c r="V128" s="30"/>
      <c r="W128" s="30"/>
      <c r="X128" s="30"/>
      <c r="Y128" s="30"/>
      <c r="Z128" s="149">
        <f>1410325000-78898983-78898984</f>
        <v>1252527033</v>
      </c>
      <c r="AA128" s="30"/>
      <c r="AB128" s="28"/>
      <c r="AC128" s="30"/>
      <c r="AD128" s="30"/>
      <c r="AE128" s="30"/>
      <c r="AF128" s="93">
        <f t="shared" si="5"/>
        <v>1252527033</v>
      </c>
      <c r="AG128" s="143" t="s">
        <v>1225</v>
      </c>
      <c r="AI128" s="21"/>
      <c r="AJ128" s="21"/>
    </row>
    <row r="129" spans="1:36" ht="117" hidden="1" customHeight="1" x14ac:dyDescent="0.2">
      <c r="A129" s="162">
        <v>314</v>
      </c>
      <c r="B129" s="115" t="s">
        <v>1079</v>
      </c>
      <c r="C129" s="17">
        <v>1</v>
      </c>
      <c r="D129" s="168">
        <v>2201</v>
      </c>
      <c r="E129" s="18" t="s">
        <v>1106</v>
      </c>
      <c r="F129" s="92" t="s">
        <v>474</v>
      </c>
      <c r="G129" s="17">
        <v>2201033</v>
      </c>
      <c r="H129" s="18" t="s">
        <v>475</v>
      </c>
      <c r="I129" s="17">
        <v>2201033</v>
      </c>
      <c r="J129" s="18" t="s">
        <v>475</v>
      </c>
      <c r="K129" s="38">
        <v>220103300</v>
      </c>
      <c r="L129" s="90" t="s">
        <v>476</v>
      </c>
      <c r="M129" s="38">
        <v>220103300</v>
      </c>
      <c r="N129" s="90" t="s">
        <v>476</v>
      </c>
      <c r="O129" s="94" t="s">
        <v>1213</v>
      </c>
      <c r="P129" s="105">
        <v>9000</v>
      </c>
      <c r="Q129" s="105"/>
      <c r="R129" s="118">
        <f t="shared" si="4"/>
        <v>9000</v>
      </c>
      <c r="S129" s="91">
        <v>2020003630091</v>
      </c>
      <c r="T129" s="18" t="s">
        <v>472</v>
      </c>
      <c r="U129" s="92" t="s">
        <v>473</v>
      </c>
      <c r="V129" s="30"/>
      <c r="W129" s="30"/>
      <c r="X129" s="30"/>
      <c r="Y129" s="30"/>
      <c r="Z129" s="30"/>
      <c r="AA129" s="30"/>
      <c r="AB129" s="39">
        <f>18000000-8000000</f>
        <v>10000000</v>
      </c>
      <c r="AC129" s="30"/>
      <c r="AD129" s="30"/>
      <c r="AE129" s="30"/>
      <c r="AF129" s="93">
        <f t="shared" si="5"/>
        <v>10000000</v>
      </c>
      <c r="AG129" s="143" t="s">
        <v>1225</v>
      </c>
      <c r="AI129" s="21"/>
      <c r="AJ129" s="21"/>
    </row>
    <row r="130" spans="1:36" ht="117" hidden="1" customHeight="1" x14ac:dyDescent="0.2">
      <c r="A130" s="162">
        <v>314</v>
      </c>
      <c r="B130" s="115" t="s">
        <v>1079</v>
      </c>
      <c r="C130" s="17">
        <v>1</v>
      </c>
      <c r="D130" s="168">
        <v>2201</v>
      </c>
      <c r="E130" s="18" t="s">
        <v>1106</v>
      </c>
      <c r="F130" s="92" t="s">
        <v>477</v>
      </c>
      <c r="G130" s="17">
        <v>2201032</v>
      </c>
      <c r="H130" s="18" t="s">
        <v>478</v>
      </c>
      <c r="I130" s="17">
        <v>2201032</v>
      </c>
      <c r="J130" s="18" t="s">
        <v>478</v>
      </c>
      <c r="K130" s="77">
        <v>220103200</v>
      </c>
      <c r="L130" s="90" t="s">
        <v>479</v>
      </c>
      <c r="M130" s="77">
        <v>220103200</v>
      </c>
      <c r="N130" s="90" t="s">
        <v>479</v>
      </c>
      <c r="O130" s="94" t="s">
        <v>1213</v>
      </c>
      <c r="P130" s="105">
        <v>200</v>
      </c>
      <c r="Q130" s="105"/>
      <c r="R130" s="118">
        <f t="shared" si="4"/>
        <v>200</v>
      </c>
      <c r="S130" s="91">
        <v>2020003630091</v>
      </c>
      <c r="T130" s="18" t="s">
        <v>472</v>
      </c>
      <c r="U130" s="92" t="s">
        <v>473</v>
      </c>
      <c r="V130" s="30"/>
      <c r="W130" s="30"/>
      <c r="X130" s="30"/>
      <c r="Y130" s="30"/>
      <c r="Z130" s="30"/>
      <c r="AA130" s="30"/>
      <c r="AB130" s="39">
        <f>10000000-5000000+12310000</f>
        <v>17310000</v>
      </c>
      <c r="AC130" s="30"/>
      <c r="AD130" s="30"/>
      <c r="AE130" s="30"/>
      <c r="AF130" s="93">
        <f t="shared" si="5"/>
        <v>17310000</v>
      </c>
      <c r="AG130" s="143" t="s">
        <v>1225</v>
      </c>
      <c r="AI130" s="21"/>
      <c r="AJ130" s="21"/>
    </row>
    <row r="131" spans="1:36" ht="117" hidden="1" customHeight="1" x14ac:dyDescent="0.2">
      <c r="A131" s="162">
        <v>314</v>
      </c>
      <c r="B131" s="115" t="s">
        <v>1079</v>
      </c>
      <c r="C131" s="17">
        <v>1</v>
      </c>
      <c r="D131" s="168">
        <v>2201</v>
      </c>
      <c r="E131" s="18" t="s">
        <v>1106</v>
      </c>
      <c r="F131" s="92" t="s">
        <v>480</v>
      </c>
      <c r="G131" s="17">
        <v>2201055</v>
      </c>
      <c r="H131" s="18" t="s">
        <v>481</v>
      </c>
      <c r="I131" s="17">
        <v>2201055</v>
      </c>
      <c r="J131" s="18" t="s">
        <v>481</v>
      </c>
      <c r="K131" s="38">
        <v>220105500</v>
      </c>
      <c r="L131" s="90" t="s">
        <v>482</v>
      </c>
      <c r="M131" s="38">
        <v>220105500</v>
      </c>
      <c r="N131" s="90" t="s">
        <v>482</v>
      </c>
      <c r="O131" s="94" t="s">
        <v>1212</v>
      </c>
      <c r="P131" s="105">
        <v>1</v>
      </c>
      <c r="Q131" s="105"/>
      <c r="R131" s="118">
        <f t="shared" si="4"/>
        <v>1</v>
      </c>
      <c r="S131" s="91">
        <v>2020003630091</v>
      </c>
      <c r="T131" s="16" t="s">
        <v>472</v>
      </c>
      <c r="U131" s="92" t="s">
        <v>473</v>
      </c>
      <c r="V131" s="30"/>
      <c r="W131" s="30"/>
      <c r="X131" s="30"/>
      <c r="Y131" s="30"/>
      <c r="Z131" s="149">
        <f>51000000-4254320</f>
        <v>46745680</v>
      </c>
      <c r="AA131" s="30"/>
      <c r="AB131" s="28">
        <v>0</v>
      </c>
      <c r="AC131" s="30"/>
      <c r="AD131" s="30"/>
      <c r="AE131" s="30"/>
      <c r="AF131" s="93">
        <f t="shared" si="5"/>
        <v>46745680</v>
      </c>
      <c r="AG131" s="143" t="s">
        <v>1225</v>
      </c>
      <c r="AI131" s="21"/>
      <c r="AJ131" s="21"/>
    </row>
    <row r="132" spans="1:36" ht="117" hidden="1" customHeight="1" x14ac:dyDescent="0.2">
      <c r="A132" s="162">
        <v>314</v>
      </c>
      <c r="B132" s="115" t="s">
        <v>1079</v>
      </c>
      <c r="C132" s="17">
        <v>1</v>
      </c>
      <c r="D132" s="168">
        <v>2201</v>
      </c>
      <c r="E132" s="18" t="s">
        <v>1106</v>
      </c>
      <c r="F132" s="92" t="s">
        <v>483</v>
      </c>
      <c r="G132" s="17">
        <v>2201067</v>
      </c>
      <c r="H132" s="18" t="s">
        <v>484</v>
      </c>
      <c r="I132" s="17">
        <v>2201067</v>
      </c>
      <c r="J132" s="18" t="s">
        <v>484</v>
      </c>
      <c r="K132" s="77">
        <v>220106700</v>
      </c>
      <c r="L132" s="90" t="s">
        <v>485</v>
      </c>
      <c r="M132" s="77">
        <v>220106700</v>
      </c>
      <c r="N132" s="90" t="s">
        <v>485</v>
      </c>
      <c r="O132" s="94" t="s">
        <v>1212</v>
      </c>
      <c r="P132" s="105">
        <v>54</v>
      </c>
      <c r="Q132" s="105"/>
      <c r="R132" s="118">
        <f t="shared" si="4"/>
        <v>54</v>
      </c>
      <c r="S132" s="91">
        <v>2020003630091</v>
      </c>
      <c r="T132" s="16" t="s">
        <v>472</v>
      </c>
      <c r="U132" s="92" t="s">
        <v>473</v>
      </c>
      <c r="V132" s="30"/>
      <c r="W132" s="30"/>
      <c r="X132" s="30"/>
      <c r="Y132" s="30"/>
      <c r="Z132" s="30"/>
      <c r="AA132" s="30"/>
      <c r="AB132" s="39">
        <v>10000000</v>
      </c>
      <c r="AC132" s="30"/>
      <c r="AD132" s="30"/>
      <c r="AE132" s="30"/>
      <c r="AF132" s="93">
        <f t="shared" si="5"/>
        <v>10000000</v>
      </c>
      <c r="AG132" s="143" t="s">
        <v>1225</v>
      </c>
      <c r="AI132" s="21"/>
      <c r="AJ132" s="21"/>
    </row>
    <row r="133" spans="1:36" ht="117" hidden="1" customHeight="1" x14ac:dyDescent="0.2">
      <c r="A133" s="162">
        <v>314</v>
      </c>
      <c r="B133" s="115" t="s">
        <v>1079</v>
      </c>
      <c r="C133" s="17">
        <v>1</v>
      </c>
      <c r="D133" s="168">
        <v>2201</v>
      </c>
      <c r="E133" s="18" t="s">
        <v>1106</v>
      </c>
      <c r="F133" s="92" t="s">
        <v>483</v>
      </c>
      <c r="G133" s="17">
        <v>2201028</v>
      </c>
      <c r="H133" s="18" t="s">
        <v>486</v>
      </c>
      <c r="I133" s="17">
        <v>2201028</v>
      </c>
      <c r="J133" s="18" t="s">
        <v>486</v>
      </c>
      <c r="K133" s="38">
        <v>220102801</v>
      </c>
      <c r="L133" s="90" t="s">
        <v>487</v>
      </c>
      <c r="M133" s="38">
        <v>220102801</v>
      </c>
      <c r="N133" s="90" t="s">
        <v>487</v>
      </c>
      <c r="O133" s="94" t="s">
        <v>1212</v>
      </c>
      <c r="P133" s="105">
        <v>36000</v>
      </c>
      <c r="Q133" s="105"/>
      <c r="R133" s="118">
        <f t="shared" si="4"/>
        <v>36000</v>
      </c>
      <c r="S133" s="91">
        <v>2020003630091</v>
      </c>
      <c r="T133" s="18" t="s">
        <v>472</v>
      </c>
      <c r="U133" s="92" t="s">
        <v>473</v>
      </c>
      <c r="V133" s="30"/>
      <c r="W133" s="30"/>
      <c r="X133" s="30"/>
      <c r="Y133" s="30"/>
      <c r="Z133" s="149">
        <f>1675000+3309366</f>
        <v>4984366</v>
      </c>
      <c r="AA133" s="30"/>
      <c r="AB133" s="39">
        <f>250000000+225377120.55+1391068738+4200000000-50000000-30000000-844841845-200000000</f>
        <v>4941604013.5500002</v>
      </c>
      <c r="AC133" s="150">
        <v>150081.03</v>
      </c>
      <c r="AD133" s="39"/>
      <c r="AE133" s="39">
        <f>10000000+11000000000+872663092.48+581849058.05+433811595.4-1742525233-290000000</f>
        <v>10865798512.929998</v>
      </c>
      <c r="AF133" s="93">
        <f t="shared" si="5"/>
        <v>15812536973.509998</v>
      </c>
      <c r="AG133" s="143" t="s">
        <v>1225</v>
      </c>
      <c r="AI133" s="21"/>
      <c r="AJ133" s="21"/>
    </row>
    <row r="134" spans="1:36" ht="117" hidden="1" customHeight="1" x14ac:dyDescent="0.2">
      <c r="A134" s="162">
        <v>314</v>
      </c>
      <c r="B134" s="115" t="s">
        <v>1079</v>
      </c>
      <c r="C134" s="17">
        <v>1</v>
      </c>
      <c r="D134" s="168">
        <v>2201</v>
      </c>
      <c r="E134" s="18" t="s">
        <v>1106</v>
      </c>
      <c r="F134" s="92" t="s">
        <v>483</v>
      </c>
      <c r="G134" s="17">
        <v>2201029</v>
      </c>
      <c r="H134" s="18" t="s">
        <v>488</v>
      </c>
      <c r="I134" s="17">
        <v>2201029</v>
      </c>
      <c r="J134" s="18" t="s">
        <v>488</v>
      </c>
      <c r="K134" s="38">
        <v>220102900</v>
      </c>
      <c r="L134" s="90" t="s">
        <v>489</v>
      </c>
      <c r="M134" s="38">
        <v>220102900</v>
      </c>
      <c r="N134" s="90" t="s">
        <v>489</v>
      </c>
      <c r="O134" s="94" t="s">
        <v>1213</v>
      </c>
      <c r="P134" s="105">
        <v>1500</v>
      </c>
      <c r="Q134" s="105">
        <v>204</v>
      </c>
      <c r="R134" s="118">
        <f t="shared" si="4"/>
        <v>1704</v>
      </c>
      <c r="S134" s="91">
        <v>2020003630091</v>
      </c>
      <c r="T134" s="18" t="s">
        <v>472</v>
      </c>
      <c r="U134" s="92" t="s">
        <v>473</v>
      </c>
      <c r="V134" s="30"/>
      <c r="W134" s="30">
        <f>10000000+60000000+50000000</f>
        <v>120000000</v>
      </c>
      <c r="X134" s="30"/>
      <c r="Y134" s="30"/>
      <c r="Z134" s="30"/>
      <c r="AA134" s="30"/>
      <c r="AB134" s="39">
        <f>380000000+32000000+30000000</f>
        <v>442000000</v>
      </c>
      <c r="AC134" s="30"/>
      <c r="AD134" s="30"/>
      <c r="AE134" s="30"/>
      <c r="AF134" s="93">
        <f t="shared" si="5"/>
        <v>562000000</v>
      </c>
      <c r="AG134" s="143" t="s">
        <v>1225</v>
      </c>
      <c r="AI134" s="21"/>
      <c r="AJ134" s="21"/>
    </row>
    <row r="135" spans="1:36" ht="117" hidden="1" customHeight="1" x14ac:dyDescent="0.2">
      <c r="A135" s="162">
        <v>314</v>
      </c>
      <c r="B135" s="115" t="s">
        <v>1079</v>
      </c>
      <c r="C135" s="17">
        <v>1</v>
      </c>
      <c r="D135" s="168">
        <v>2201</v>
      </c>
      <c r="E135" s="18" t="s">
        <v>1106</v>
      </c>
      <c r="F135" s="92" t="s">
        <v>107</v>
      </c>
      <c r="G135" s="17" t="s">
        <v>26</v>
      </c>
      <c r="H135" s="18" t="s">
        <v>490</v>
      </c>
      <c r="I135" s="17">
        <v>2201062</v>
      </c>
      <c r="J135" s="18" t="s">
        <v>109</v>
      </c>
      <c r="K135" s="17" t="s">
        <v>26</v>
      </c>
      <c r="L135" s="90" t="s">
        <v>110</v>
      </c>
      <c r="M135" s="17">
        <v>220106200</v>
      </c>
      <c r="N135" s="18" t="s">
        <v>491</v>
      </c>
      <c r="O135" s="94" t="s">
        <v>1213</v>
      </c>
      <c r="P135" s="91">
        <v>15</v>
      </c>
      <c r="Q135" s="91">
        <v>6</v>
      </c>
      <c r="R135" s="118">
        <f t="shared" si="4"/>
        <v>21</v>
      </c>
      <c r="S135" s="91">
        <v>2020003630091</v>
      </c>
      <c r="T135" s="18" t="s">
        <v>472</v>
      </c>
      <c r="U135" s="92" t="s">
        <v>473</v>
      </c>
      <c r="V135" s="30"/>
      <c r="W135" s="30"/>
      <c r="X135" s="30"/>
      <c r="Y135" s="30"/>
      <c r="Z135" s="30"/>
      <c r="AA135" s="30"/>
      <c r="AB135" s="28">
        <f>30000000+19800000+6600000</f>
        <v>56400000</v>
      </c>
      <c r="AC135" s="30"/>
      <c r="AD135" s="30"/>
      <c r="AE135" s="30"/>
      <c r="AF135" s="93">
        <f t="shared" si="5"/>
        <v>56400000</v>
      </c>
      <c r="AG135" s="143" t="s">
        <v>1225</v>
      </c>
      <c r="AI135" s="21"/>
      <c r="AJ135" s="21"/>
    </row>
    <row r="136" spans="1:36" ht="117" hidden="1" customHeight="1" x14ac:dyDescent="0.2">
      <c r="A136" s="162">
        <v>314</v>
      </c>
      <c r="B136" s="115" t="s">
        <v>1079</v>
      </c>
      <c r="C136" s="17">
        <v>1</v>
      </c>
      <c r="D136" s="168">
        <v>2201</v>
      </c>
      <c r="E136" s="18" t="s">
        <v>1106</v>
      </c>
      <c r="F136" s="92" t="s">
        <v>492</v>
      </c>
      <c r="G136" s="17">
        <v>2201063</v>
      </c>
      <c r="H136" s="18" t="s">
        <v>493</v>
      </c>
      <c r="I136" s="17">
        <v>2201063</v>
      </c>
      <c r="J136" s="18" t="s">
        <v>493</v>
      </c>
      <c r="K136" s="77">
        <v>220106300</v>
      </c>
      <c r="L136" s="90" t="s">
        <v>494</v>
      </c>
      <c r="M136" s="77">
        <v>220106300</v>
      </c>
      <c r="N136" s="18" t="s">
        <v>494</v>
      </c>
      <c r="O136" s="94" t="s">
        <v>1213</v>
      </c>
      <c r="P136" s="105">
        <v>2</v>
      </c>
      <c r="Q136" s="105"/>
      <c r="R136" s="118">
        <f t="shared" ref="R136:R199" si="6">P136+Q136</f>
        <v>2</v>
      </c>
      <c r="S136" s="91">
        <v>2020003630091</v>
      </c>
      <c r="T136" s="16" t="s">
        <v>472</v>
      </c>
      <c r="U136" s="92" t="s">
        <v>473</v>
      </c>
      <c r="V136" s="30"/>
      <c r="W136" s="30"/>
      <c r="X136" s="30"/>
      <c r="Y136" s="30"/>
      <c r="Z136" s="30"/>
      <c r="AA136" s="30"/>
      <c r="AB136" s="39">
        <v>30000000</v>
      </c>
      <c r="AC136" s="30"/>
      <c r="AD136" s="30"/>
      <c r="AE136" s="30"/>
      <c r="AF136" s="93">
        <f t="shared" si="5"/>
        <v>30000000</v>
      </c>
      <c r="AG136" s="143" t="s">
        <v>1225</v>
      </c>
      <c r="AI136" s="21"/>
      <c r="AJ136" s="21"/>
    </row>
    <row r="137" spans="1:36" ht="117" hidden="1" customHeight="1" x14ac:dyDescent="0.2">
      <c r="A137" s="162">
        <v>314</v>
      </c>
      <c r="B137" s="115" t="s">
        <v>1079</v>
      </c>
      <c r="C137" s="17">
        <v>1</v>
      </c>
      <c r="D137" s="168">
        <v>2201</v>
      </c>
      <c r="E137" s="18" t="s">
        <v>1106</v>
      </c>
      <c r="F137" s="92" t="s">
        <v>492</v>
      </c>
      <c r="G137" s="17">
        <v>2201069</v>
      </c>
      <c r="H137" s="18" t="s">
        <v>495</v>
      </c>
      <c r="I137" s="17">
        <v>2201069</v>
      </c>
      <c r="J137" s="18" t="s">
        <v>495</v>
      </c>
      <c r="K137" s="77">
        <v>220106900</v>
      </c>
      <c r="L137" s="90" t="s">
        <v>496</v>
      </c>
      <c r="M137" s="77">
        <v>220106900</v>
      </c>
      <c r="N137" s="90" t="s">
        <v>496</v>
      </c>
      <c r="O137" s="94" t="s">
        <v>1213</v>
      </c>
      <c r="P137" s="105">
        <v>5</v>
      </c>
      <c r="Q137" s="105"/>
      <c r="R137" s="118">
        <f t="shared" si="6"/>
        <v>5</v>
      </c>
      <c r="S137" s="91">
        <v>2020003630091</v>
      </c>
      <c r="T137" s="16" t="s">
        <v>472</v>
      </c>
      <c r="U137" s="92" t="s">
        <v>473</v>
      </c>
      <c r="V137" s="30"/>
      <c r="W137" s="30">
        <f>200000000-60000000-50000000</f>
        <v>90000000</v>
      </c>
      <c r="X137" s="30"/>
      <c r="Y137" s="30"/>
      <c r="Z137" s="30">
        <f>5000000+3303649.73</f>
        <v>8303649.7300000004</v>
      </c>
      <c r="AA137" s="30"/>
      <c r="AB137" s="39">
        <v>20000000</v>
      </c>
      <c r="AC137" s="30"/>
      <c r="AD137" s="30"/>
      <c r="AE137" s="30"/>
      <c r="AF137" s="93">
        <f t="shared" si="5"/>
        <v>118303649.73</v>
      </c>
      <c r="AG137" s="143" t="s">
        <v>1225</v>
      </c>
      <c r="AI137" s="21"/>
      <c r="AJ137" s="21"/>
    </row>
    <row r="138" spans="1:36" ht="117" hidden="1" customHeight="1" x14ac:dyDescent="0.2">
      <c r="A138" s="162">
        <v>314</v>
      </c>
      <c r="B138" s="115" t="s">
        <v>1079</v>
      </c>
      <c r="C138" s="17">
        <v>1</v>
      </c>
      <c r="D138" s="168">
        <v>2201</v>
      </c>
      <c r="E138" s="18" t="s">
        <v>1106</v>
      </c>
      <c r="F138" s="92" t="s">
        <v>497</v>
      </c>
      <c r="G138" s="17">
        <v>2201018</v>
      </c>
      <c r="H138" s="18" t="s">
        <v>498</v>
      </c>
      <c r="I138" s="17">
        <v>2201018</v>
      </c>
      <c r="J138" s="18" t="s">
        <v>498</v>
      </c>
      <c r="K138" s="77">
        <v>220101802</v>
      </c>
      <c r="L138" s="90" t="s">
        <v>499</v>
      </c>
      <c r="M138" s="77">
        <v>220101802</v>
      </c>
      <c r="N138" s="90" t="s">
        <v>499</v>
      </c>
      <c r="O138" s="94" t="s">
        <v>1212</v>
      </c>
      <c r="P138" s="105">
        <v>1</v>
      </c>
      <c r="Q138" s="105"/>
      <c r="R138" s="118">
        <f t="shared" si="6"/>
        <v>1</v>
      </c>
      <c r="S138" s="91">
        <v>2020003630092</v>
      </c>
      <c r="T138" s="18" t="s">
        <v>500</v>
      </c>
      <c r="U138" s="92" t="s">
        <v>501</v>
      </c>
      <c r="V138" s="30"/>
      <c r="W138" s="30"/>
      <c r="X138" s="30"/>
      <c r="Y138" s="30"/>
      <c r="Z138" s="30"/>
      <c r="AA138" s="30"/>
      <c r="AB138" s="39">
        <f>6000000-1000000+2310000+5770000</f>
        <v>13080000</v>
      </c>
      <c r="AC138" s="30"/>
      <c r="AD138" s="30"/>
      <c r="AE138" s="30"/>
      <c r="AF138" s="93">
        <f t="shared" si="5"/>
        <v>13080000</v>
      </c>
      <c r="AG138" s="143" t="s">
        <v>1225</v>
      </c>
      <c r="AI138" s="21"/>
      <c r="AJ138" s="21"/>
    </row>
    <row r="139" spans="1:36" ht="117" hidden="1" customHeight="1" x14ac:dyDescent="0.2">
      <c r="A139" s="162">
        <v>314</v>
      </c>
      <c r="B139" s="115" t="s">
        <v>1079</v>
      </c>
      <c r="C139" s="17">
        <v>1</v>
      </c>
      <c r="D139" s="168">
        <v>2201</v>
      </c>
      <c r="E139" s="18" t="s">
        <v>1106</v>
      </c>
      <c r="F139" s="92" t="s">
        <v>502</v>
      </c>
      <c r="G139" s="17">
        <v>2201037</v>
      </c>
      <c r="H139" s="18" t="s">
        <v>503</v>
      </c>
      <c r="I139" s="17">
        <v>2201037</v>
      </c>
      <c r="J139" s="18" t="s">
        <v>503</v>
      </c>
      <c r="K139" s="38">
        <v>220103700</v>
      </c>
      <c r="L139" s="90" t="s">
        <v>504</v>
      </c>
      <c r="M139" s="38">
        <v>220103700</v>
      </c>
      <c r="N139" s="90" t="s">
        <v>504</v>
      </c>
      <c r="O139" s="94" t="s">
        <v>1212</v>
      </c>
      <c r="P139" s="105">
        <v>54</v>
      </c>
      <c r="Q139" s="105"/>
      <c r="R139" s="118">
        <f t="shared" si="6"/>
        <v>54</v>
      </c>
      <c r="S139" s="91">
        <v>2020003630092</v>
      </c>
      <c r="T139" s="18" t="s">
        <v>500</v>
      </c>
      <c r="U139" s="92" t="s">
        <v>501</v>
      </c>
      <c r="V139" s="30"/>
      <c r="W139" s="30"/>
      <c r="X139" s="30"/>
      <c r="Y139" s="30"/>
      <c r="Z139" s="30"/>
      <c r="AA139" s="30"/>
      <c r="AB139" s="39">
        <v>10000000</v>
      </c>
      <c r="AC139" s="30"/>
      <c r="AD139" s="30"/>
      <c r="AE139" s="30"/>
      <c r="AF139" s="93">
        <f t="shared" si="5"/>
        <v>10000000</v>
      </c>
      <c r="AG139" s="143" t="s">
        <v>1225</v>
      </c>
      <c r="AI139" s="21"/>
      <c r="AJ139" s="21"/>
    </row>
    <row r="140" spans="1:36" ht="117" hidden="1" customHeight="1" x14ac:dyDescent="0.2">
      <c r="A140" s="162">
        <v>314</v>
      </c>
      <c r="B140" s="115" t="s">
        <v>1079</v>
      </c>
      <c r="C140" s="17">
        <v>1</v>
      </c>
      <c r="D140" s="168">
        <v>2201</v>
      </c>
      <c r="E140" s="18" t="s">
        <v>1106</v>
      </c>
      <c r="F140" s="92" t="s">
        <v>505</v>
      </c>
      <c r="G140" s="17">
        <v>2201007</v>
      </c>
      <c r="H140" s="18" t="s">
        <v>506</v>
      </c>
      <c r="I140" s="17">
        <v>2201073</v>
      </c>
      <c r="J140" s="18" t="s">
        <v>506</v>
      </c>
      <c r="K140" s="38">
        <v>220100700</v>
      </c>
      <c r="L140" s="90" t="s">
        <v>507</v>
      </c>
      <c r="M140" s="77">
        <v>220107300</v>
      </c>
      <c r="N140" s="90" t="s">
        <v>507</v>
      </c>
      <c r="O140" s="94" t="s">
        <v>1213</v>
      </c>
      <c r="P140" s="105">
        <v>7915</v>
      </c>
      <c r="Q140" s="105"/>
      <c r="R140" s="118">
        <f t="shared" si="6"/>
        <v>7915</v>
      </c>
      <c r="S140" s="91">
        <v>2020003630093</v>
      </c>
      <c r="T140" s="92" t="s">
        <v>508</v>
      </c>
      <c r="U140" s="92" t="s">
        <v>509</v>
      </c>
      <c r="V140" s="30"/>
      <c r="W140" s="30"/>
      <c r="X140" s="30"/>
      <c r="Y140" s="30"/>
      <c r="Z140" s="30"/>
      <c r="AA140" s="30"/>
      <c r="AB140" s="39">
        <f>20000000-17655000</f>
        <v>2345000</v>
      </c>
      <c r="AC140" s="30"/>
      <c r="AD140" s="30"/>
      <c r="AE140" s="30"/>
      <c r="AF140" s="93">
        <f t="shared" si="5"/>
        <v>2345000</v>
      </c>
      <c r="AG140" s="143" t="s">
        <v>1225</v>
      </c>
      <c r="AI140" s="21"/>
      <c r="AJ140" s="21"/>
    </row>
    <row r="141" spans="1:36" ht="117" hidden="1" customHeight="1" x14ac:dyDescent="0.2">
      <c r="A141" s="162">
        <v>314</v>
      </c>
      <c r="B141" s="115" t="s">
        <v>1079</v>
      </c>
      <c r="C141" s="17">
        <v>1</v>
      </c>
      <c r="D141" s="168">
        <v>2201</v>
      </c>
      <c r="E141" s="18" t="s">
        <v>1106</v>
      </c>
      <c r="F141" s="92" t="s">
        <v>510</v>
      </c>
      <c r="G141" s="17">
        <v>2201068</v>
      </c>
      <c r="H141" s="18" t="s">
        <v>193</v>
      </c>
      <c r="I141" s="17">
        <v>2201068</v>
      </c>
      <c r="J141" s="18" t="s">
        <v>193</v>
      </c>
      <c r="K141" s="38">
        <v>220106800</v>
      </c>
      <c r="L141" s="90" t="s">
        <v>194</v>
      </c>
      <c r="M141" s="38">
        <v>220106800</v>
      </c>
      <c r="N141" s="90" t="s">
        <v>194</v>
      </c>
      <c r="O141" s="94" t="s">
        <v>1213</v>
      </c>
      <c r="P141" s="91">
        <v>76</v>
      </c>
      <c r="Q141" s="91"/>
      <c r="R141" s="118">
        <f t="shared" si="6"/>
        <v>76</v>
      </c>
      <c r="S141" s="91">
        <v>2020003630093</v>
      </c>
      <c r="T141" s="92" t="s">
        <v>508</v>
      </c>
      <c r="U141" s="92" t="s">
        <v>509</v>
      </c>
      <c r="V141" s="30"/>
      <c r="W141" s="30"/>
      <c r="X141" s="30"/>
      <c r="Y141" s="30"/>
      <c r="Z141" s="30"/>
      <c r="AA141" s="30"/>
      <c r="AB141" s="28">
        <v>18000000</v>
      </c>
      <c r="AC141" s="30"/>
      <c r="AD141" s="30"/>
      <c r="AE141" s="30"/>
      <c r="AF141" s="93">
        <f t="shared" si="5"/>
        <v>18000000</v>
      </c>
      <c r="AG141" s="143" t="s">
        <v>1225</v>
      </c>
      <c r="AI141" s="21"/>
      <c r="AJ141" s="21"/>
    </row>
    <row r="142" spans="1:36" ht="117" hidden="1" customHeight="1" x14ac:dyDescent="0.2">
      <c r="A142" s="162">
        <v>314</v>
      </c>
      <c r="B142" s="115" t="s">
        <v>1079</v>
      </c>
      <c r="C142" s="17">
        <v>1</v>
      </c>
      <c r="D142" s="168">
        <v>2201</v>
      </c>
      <c r="E142" s="18" t="s">
        <v>1106</v>
      </c>
      <c r="F142" s="92" t="s">
        <v>492</v>
      </c>
      <c r="G142" s="17">
        <v>2201026</v>
      </c>
      <c r="H142" s="18" t="s">
        <v>511</v>
      </c>
      <c r="I142" s="17">
        <v>2201026</v>
      </c>
      <c r="J142" s="18" t="s">
        <v>511</v>
      </c>
      <c r="K142" s="38">
        <v>220102600</v>
      </c>
      <c r="L142" s="90" t="s">
        <v>512</v>
      </c>
      <c r="M142" s="38">
        <v>220102600</v>
      </c>
      <c r="N142" s="90" t="s">
        <v>512</v>
      </c>
      <c r="O142" s="94" t="s">
        <v>1213</v>
      </c>
      <c r="P142" s="105">
        <v>22</v>
      </c>
      <c r="Q142" s="105"/>
      <c r="R142" s="105">
        <f t="shared" si="6"/>
        <v>22</v>
      </c>
      <c r="S142" s="91">
        <v>2020003630093</v>
      </c>
      <c r="T142" s="92" t="s">
        <v>508</v>
      </c>
      <c r="U142" s="92" t="s">
        <v>509</v>
      </c>
      <c r="V142" s="30"/>
      <c r="W142" s="30"/>
      <c r="X142" s="30"/>
      <c r="Y142" s="30"/>
      <c r="Z142" s="30">
        <f>1675000-1675000</f>
        <v>0</v>
      </c>
      <c r="AA142" s="30"/>
      <c r="AB142" s="28">
        <v>18000000</v>
      </c>
      <c r="AC142" s="30"/>
      <c r="AD142" s="30"/>
      <c r="AE142" s="30"/>
      <c r="AF142" s="93">
        <f t="shared" si="5"/>
        <v>18000000</v>
      </c>
      <c r="AG142" s="143" t="s">
        <v>1225</v>
      </c>
      <c r="AI142" s="21"/>
      <c r="AJ142" s="21"/>
    </row>
    <row r="143" spans="1:36" ht="171" hidden="1" customHeight="1" x14ac:dyDescent="0.2">
      <c r="A143" s="162">
        <v>314</v>
      </c>
      <c r="B143" s="115" t="s">
        <v>1079</v>
      </c>
      <c r="C143" s="17">
        <v>1</v>
      </c>
      <c r="D143" s="168">
        <v>2201</v>
      </c>
      <c r="E143" s="18" t="s">
        <v>1106</v>
      </c>
      <c r="F143" s="92" t="s">
        <v>505</v>
      </c>
      <c r="G143" s="17">
        <v>2201009</v>
      </c>
      <c r="H143" s="18" t="s">
        <v>513</v>
      </c>
      <c r="I143" s="17">
        <v>2201074</v>
      </c>
      <c r="J143" s="18" t="s">
        <v>513</v>
      </c>
      <c r="K143" s="38">
        <v>220100900</v>
      </c>
      <c r="L143" s="90" t="s">
        <v>514</v>
      </c>
      <c r="M143" s="77">
        <v>220107400</v>
      </c>
      <c r="N143" s="90" t="s">
        <v>515</v>
      </c>
      <c r="O143" s="94" t="s">
        <v>1213</v>
      </c>
      <c r="P143" s="105">
        <v>604</v>
      </c>
      <c r="Q143" s="105"/>
      <c r="R143" s="118">
        <f t="shared" si="6"/>
        <v>604</v>
      </c>
      <c r="S143" s="91">
        <v>2020003630093</v>
      </c>
      <c r="T143" s="92" t="s">
        <v>508</v>
      </c>
      <c r="U143" s="92" t="s">
        <v>509</v>
      </c>
      <c r="V143" s="30"/>
      <c r="W143" s="30"/>
      <c r="X143" s="30"/>
      <c r="Y143" s="30"/>
      <c r="Z143" s="30"/>
      <c r="AA143" s="30"/>
      <c r="AB143" s="39">
        <f>20000000-15000000+15000000</f>
        <v>20000000</v>
      </c>
      <c r="AC143" s="30"/>
      <c r="AD143" s="30"/>
      <c r="AE143" s="30"/>
      <c r="AF143" s="93">
        <f t="shared" si="5"/>
        <v>20000000</v>
      </c>
      <c r="AG143" s="143" t="s">
        <v>1225</v>
      </c>
      <c r="AI143" s="21"/>
      <c r="AJ143" s="21"/>
    </row>
    <row r="144" spans="1:36" ht="171" hidden="1" customHeight="1" x14ac:dyDescent="0.2">
      <c r="A144" s="162">
        <v>314</v>
      </c>
      <c r="B144" s="115" t="s">
        <v>1079</v>
      </c>
      <c r="C144" s="17">
        <v>1</v>
      </c>
      <c r="D144" s="168">
        <v>2201</v>
      </c>
      <c r="E144" s="18" t="s">
        <v>1106</v>
      </c>
      <c r="F144" s="92" t="s">
        <v>505</v>
      </c>
      <c r="G144" s="17">
        <v>2201010</v>
      </c>
      <c r="H144" s="18" t="s">
        <v>516</v>
      </c>
      <c r="I144" s="17">
        <v>2201074</v>
      </c>
      <c r="J144" s="18" t="s">
        <v>517</v>
      </c>
      <c r="K144" s="38">
        <v>220101000</v>
      </c>
      <c r="L144" s="90" t="s">
        <v>518</v>
      </c>
      <c r="M144" s="77">
        <v>220107400</v>
      </c>
      <c r="N144" s="90" t="s">
        <v>515</v>
      </c>
      <c r="O144" s="94" t="s">
        <v>1212</v>
      </c>
      <c r="P144" s="105">
        <v>94</v>
      </c>
      <c r="Q144" s="105"/>
      <c r="R144" s="118">
        <f t="shared" si="6"/>
        <v>94</v>
      </c>
      <c r="S144" s="91">
        <v>2020003630093</v>
      </c>
      <c r="T144" s="92" t="s">
        <v>508</v>
      </c>
      <c r="U144" s="92" t="s">
        <v>509</v>
      </c>
      <c r="V144" s="30"/>
      <c r="W144" s="30"/>
      <c r="X144" s="30"/>
      <c r="Y144" s="30"/>
      <c r="Z144" s="30"/>
      <c r="AA144" s="30"/>
      <c r="AB144" s="39">
        <f>20000000-15000000</f>
        <v>5000000</v>
      </c>
      <c r="AC144" s="30"/>
      <c r="AD144" s="30"/>
      <c r="AE144" s="30"/>
      <c r="AF144" s="93">
        <f t="shared" si="5"/>
        <v>5000000</v>
      </c>
      <c r="AG144" s="143" t="s">
        <v>1225</v>
      </c>
      <c r="AI144" s="21"/>
      <c r="AJ144" s="21"/>
    </row>
    <row r="145" spans="1:36" ht="117" hidden="1" customHeight="1" x14ac:dyDescent="0.2">
      <c r="A145" s="162">
        <v>314</v>
      </c>
      <c r="B145" s="115" t="s">
        <v>1079</v>
      </c>
      <c r="C145" s="17">
        <v>1</v>
      </c>
      <c r="D145" s="168">
        <v>2201</v>
      </c>
      <c r="E145" s="18" t="s">
        <v>1106</v>
      </c>
      <c r="F145" s="92" t="s">
        <v>519</v>
      </c>
      <c r="G145" s="17">
        <v>2201035</v>
      </c>
      <c r="H145" s="18" t="s">
        <v>520</v>
      </c>
      <c r="I145" s="17">
        <v>2201035</v>
      </c>
      <c r="J145" s="18" t="s">
        <v>520</v>
      </c>
      <c r="K145" s="77">
        <v>220103500</v>
      </c>
      <c r="L145" s="90" t="s">
        <v>521</v>
      </c>
      <c r="M145" s="77">
        <v>220103500</v>
      </c>
      <c r="N145" s="90" t="s">
        <v>521</v>
      </c>
      <c r="O145" s="94" t="s">
        <v>1213</v>
      </c>
      <c r="P145" s="105">
        <v>9</v>
      </c>
      <c r="Q145" s="105"/>
      <c r="R145" s="118">
        <f t="shared" si="6"/>
        <v>9</v>
      </c>
      <c r="S145" s="91">
        <v>2020003630093</v>
      </c>
      <c r="T145" s="92" t="s">
        <v>508</v>
      </c>
      <c r="U145" s="92" t="s">
        <v>509</v>
      </c>
      <c r="V145" s="30"/>
      <c r="W145" s="30"/>
      <c r="X145" s="30"/>
      <c r="Y145" s="30"/>
      <c r="Z145" s="30"/>
      <c r="AA145" s="30"/>
      <c r="AB145" s="39">
        <f>10000000+10000000</f>
        <v>20000000</v>
      </c>
      <c r="AC145" s="30"/>
      <c r="AD145" s="30"/>
      <c r="AE145" s="30"/>
      <c r="AF145" s="93">
        <f t="shared" si="5"/>
        <v>20000000</v>
      </c>
      <c r="AG145" s="143" t="s">
        <v>1225</v>
      </c>
      <c r="AI145" s="21"/>
      <c r="AJ145" s="21"/>
    </row>
    <row r="146" spans="1:36" ht="117" hidden="1" customHeight="1" x14ac:dyDescent="0.2">
      <c r="A146" s="162">
        <v>314</v>
      </c>
      <c r="B146" s="115" t="s">
        <v>1079</v>
      </c>
      <c r="C146" s="17">
        <v>1</v>
      </c>
      <c r="D146" s="168">
        <v>2201</v>
      </c>
      <c r="E146" s="18" t="s">
        <v>1106</v>
      </c>
      <c r="F146" s="92" t="s">
        <v>483</v>
      </c>
      <c r="G146" s="17">
        <v>2201046</v>
      </c>
      <c r="H146" s="18" t="s">
        <v>522</v>
      </c>
      <c r="I146" s="17">
        <v>2201046</v>
      </c>
      <c r="J146" s="18" t="s">
        <v>522</v>
      </c>
      <c r="K146" s="38">
        <v>220104602</v>
      </c>
      <c r="L146" s="90" t="s">
        <v>523</v>
      </c>
      <c r="M146" s="38">
        <v>220104602</v>
      </c>
      <c r="N146" s="90" t="s">
        <v>523</v>
      </c>
      <c r="O146" s="94" t="s">
        <v>1213</v>
      </c>
      <c r="P146" s="105">
        <v>18</v>
      </c>
      <c r="Q146" s="105"/>
      <c r="R146" s="118">
        <f t="shared" si="6"/>
        <v>18</v>
      </c>
      <c r="S146" s="91">
        <v>2020003630093</v>
      </c>
      <c r="T146" s="92" t="s">
        <v>508</v>
      </c>
      <c r="U146" s="92" t="s">
        <v>509</v>
      </c>
      <c r="V146" s="30"/>
      <c r="W146" s="39"/>
      <c r="X146" s="30"/>
      <c r="Y146" s="30"/>
      <c r="Z146" s="30"/>
      <c r="AA146" s="30"/>
      <c r="AB146" s="28">
        <f>10000000+9000000</f>
        <v>19000000</v>
      </c>
      <c r="AC146" s="30"/>
      <c r="AD146" s="30"/>
      <c r="AE146" s="30"/>
      <c r="AF146" s="93">
        <f t="shared" si="5"/>
        <v>19000000</v>
      </c>
      <c r="AG146" s="143" t="s">
        <v>1225</v>
      </c>
      <c r="AI146" s="21"/>
      <c r="AJ146" s="21"/>
    </row>
    <row r="147" spans="1:36" ht="117" hidden="1" customHeight="1" x14ac:dyDescent="0.2">
      <c r="A147" s="162">
        <v>314</v>
      </c>
      <c r="B147" s="115" t="s">
        <v>1079</v>
      </c>
      <c r="C147" s="17">
        <v>1</v>
      </c>
      <c r="D147" s="168">
        <v>2201</v>
      </c>
      <c r="E147" s="18" t="s">
        <v>1106</v>
      </c>
      <c r="F147" s="92" t="s">
        <v>483</v>
      </c>
      <c r="G147" s="17">
        <v>2201054</v>
      </c>
      <c r="H147" s="18" t="s">
        <v>524</v>
      </c>
      <c r="I147" s="17">
        <v>2201054</v>
      </c>
      <c r="J147" s="18" t="s">
        <v>524</v>
      </c>
      <c r="K147" s="77">
        <v>220105400</v>
      </c>
      <c r="L147" s="90" t="s">
        <v>525</v>
      </c>
      <c r="M147" s="77">
        <v>220105400</v>
      </c>
      <c r="N147" s="90" t="s">
        <v>525</v>
      </c>
      <c r="O147" s="94" t="s">
        <v>1212</v>
      </c>
      <c r="P147" s="105">
        <v>11</v>
      </c>
      <c r="Q147" s="105"/>
      <c r="R147" s="118">
        <f t="shared" si="6"/>
        <v>11</v>
      </c>
      <c r="S147" s="91">
        <v>2020003630093</v>
      </c>
      <c r="T147" s="92" t="s">
        <v>508</v>
      </c>
      <c r="U147" s="92" t="s">
        <v>509</v>
      </c>
      <c r="V147" s="30"/>
      <c r="W147" s="30"/>
      <c r="X147" s="30"/>
      <c r="Y147" s="30"/>
      <c r="Z147" s="30"/>
      <c r="AA147" s="30"/>
      <c r="AB147" s="39">
        <f>10000000+5770000</f>
        <v>15770000</v>
      </c>
      <c r="AC147" s="30"/>
      <c r="AD147" s="30"/>
      <c r="AE147" s="30"/>
      <c r="AF147" s="93">
        <f t="shared" si="5"/>
        <v>15770000</v>
      </c>
      <c r="AG147" s="143" t="s">
        <v>1225</v>
      </c>
      <c r="AI147" s="21"/>
      <c r="AJ147" s="21"/>
    </row>
    <row r="148" spans="1:36" ht="117" hidden="1" customHeight="1" x14ac:dyDescent="0.2">
      <c r="A148" s="162">
        <v>314</v>
      </c>
      <c r="B148" s="115" t="s">
        <v>1079</v>
      </c>
      <c r="C148" s="17">
        <v>1</v>
      </c>
      <c r="D148" s="168">
        <v>2201</v>
      </c>
      <c r="E148" s="18" t="s">
        <v>1106</v>
      </c>
      <c r="F148" s="92" t="s">
        <v>480</v>
      </c>
      <c r="G148" s="17">
        <v>2201061</v>
      </c>
      <c r="H148" s="18" t="s">
        <v>526</v>
      </c>
      <c r="I148" s="17">
        <v>2201061</v>
      </c>
      <c r="J148" s="18" t="s">
        <v>526</v>
      </c>
      <c r="K148" s="77">
        <v>220106102</v>
      </c>
      <c r="L148" s="90" t="s">
        <v>527</v>
      </c>
      <c r="M148" s="77">
        <v>220106102</v>
      </c>
      <c r="N148" s="18" t="s">
        <v>527</v>
      </c>
      <c r="O148" s="94" t="s">
        <v>1213</v>
      </c>
      <c r="P148" s="105">
        <v>14</v>
      </c>
      <c r="Q148" s="105"/>
      <c r="R148" s="118">
        <f t="shared" si="6"/>
        <v>14</v>
      </c>
      <c r="S148" s="91">
        <v>2020003630093</v>
      </c>
      <c r="T148" s="92" t="s">
        <v>508</v>
      </c>
      <c r="U148" s="92" t="s">
        <v>509</v>
      </c>
      <c r="V148" s="30"/>
      <c r="W148" s="30"/>
      <c r="X148" s="30"/>
      <c r="Y148" s="30"/>
      <c r="Z148" s="30"/>
      <c r="AA148" s="30"/>
      <c r="AB148" s="39">
        <f>10000000+6000000</f>
        <v>16000000</v>
      </c>
      <c r="AC148" s="30"/>
      <c r="AD148" s="30"/>
      <c r="AE148" s="30"/>
      <c r="AF148" s="93">
        <f t="shared" si="5"/>
        <v>16000000</v>
      </c>
      <c r="AG148" s="143" t="s">
        <v>1225</v>
      </c>
      <c r="AI148" s="21"/>
      <c r="AJ148" s="21"/>
    </row>
    <row r="149" spans="1:36" ht="117" hidden="1" customHeight="1" x14ac:dyDescent="0.2">
      <c r="A149" s="162">
        <v>314</v>
      </c>
      <c r="B149" s="115" t="s">
        <v>1079</v>
      </c>
      <c r="C149" s="17">
        <v>1</v>
      </c>
      <c r="D149" s="168">
        <v>2201</v>
      </c>
      <c r="E149" s="18" t="s">
        <v>1106</v>
      </c>
      <c r="F149" s="96" t="s">
        <v>562</v>
      </c>
      <c r="G149" s="17">
        <v>2201066</v>
      </c>
      <c r="H149" s="18" t="s">
        <v>528</v>
      </c>
      <c r="I149" s="17">
        <v>2201066</v>
      </c>
      <c r="J149" s="18" t="s">
        <v>528</v>
      </c>
      <c r="K149" s="77">
        <v>220106600</v>
      </c>
      <c r="L149" s="90" t="s">
        <v>529</v>
      </c>
      <c r="M149" s="77">
        <v>220106600</v>
      </c>
      <c r="N149" s="90" t="s">
        <v>529</v>
      </c>
      <c r="O149" s="94" t="s">
        <v>1213</v>
      </c>
      <c r="P149" s="105">
        <v>10000</v>
      </c>
      <c r="Q149" s="105">
        <v>2533</v>
      </c>
      <c r="R149" s="118">
        <f t="shared" si="6"/>
        <v>12533</v>
      </c>
      <c r="S149" s="91">
        <v>2020003630093</v>
      </c>
      <c r="T149" s="92" t="s">
        <v>508</v>
      </c>
      <c r="U149" s="92" t="s">
        <v>509</v>
      </c>
      <c r="V149" s="30"/>
      <c r="W149" s="30"/>
      <c r="X149" s="30"/>
      <c r="Y149" s="30"/>
      <c r="Z149" s="30"/>
      <c r="AA149" s="30"/>
      <c r="AB149" s="39">
        <f>10000000+5770000+17655000</f>
        <v>33425000</v>
      </c>
      <c r="AC149" s="30"/>
      <c r="AD149" s="30"/>
      <c r="AE149" s="30"/>
      <c r="AF149" s="93">
        <f t="shared" si="5"/>
        <v>33425000</v>
      </c>
      <c r="AG149" s="143" t="s">
        <v>1225</v>
      </c>
      <c r="AI149" s="21"/>
      <c r="AJ149" s="21"/>
    </row>
    <row r="150" spans="1:36" ht="117" hidden="1" customHeight="1" x14ac:dyDescent="0.2">
      <c r="A150" s="162">
        <v>314</v>
      </c>
      <c r="B150" s="115" t="s">
        <v>1079</v>
      </c>
      <c r="C150" s="17">
        <v>1</v>
      </c>
      <c r="D150" s="168">
        <v>2201</v>
      </c>
      <c r="E150" s="18" t="s">
        <v>1106</v>
      </c>
      <c r="F150" s="92" t="s">
        <v>530</v>
      </c>
      <c r="G150" s="17">
        <v>2201006</v>
      </c>
      <c r="H150" s="18" t="s">
        <v>531</v>
      </c>
      <c r="I150" s="17">
        <v>2201006</v>
      </c>
      <c r="J150" s="18" t="s">
        <v>531</v>
      </c>
      <c r="K150" s="38">
        <v>220100600</v>
      </c>
      <c r="L150" s="90" t="s">
        <v>532</v>
      </c>
      <c r="M150" s="38">
        <v>220100600</v>
      </c>
      <c r="N150" s="90" t="s">
        <v>532</v>
      </c>
      <c r="O150" s="94" t="s">
        <v>1212</v>
      </c>
      <c r="P150" s="105">
        <v>54</v>
      </c>
      <c r="Q150" s="105"/>
      <c r="R150" s="118">
        <f t="shared" si="6"/>
        <v>54</v>
      </c>
      <c r="S150" s="91">
        <v>2020003630016</v>
      </c>
      <c r="T150" s="18" t="s">
        <v>533</v>
      </c>
      <c r="U150" s="92" t="s">
        <v>534</v>
      </c>
      <c r="V150" s="30"/>
      <c r="W150" s="30"/>
      <c r="X150" s="30"/>
      <c r="Y150" s="30"/>
      <c r="Z150" s="53"/>
      <c r="AA150" s="30"/>
      <c r="AB150" s="39">
        <f>10000000+241470000+90210000+100000000+20000000+200000000</f>
        <v>661680000</v>
      </c>
      <c r="AC150" s="30"/>
      <c r="AD150" s="30"/>
      <c r="AE150" s="30"/>
      <c r="AF150" s="93">
        <f t="shared" si="5"/>
        <v>661680000</v>
      </c>
      <c r="AG150" s="143" t="s">
        <v>1225</v>
      </c>
      <c r="AI150" s="21"/>
      <c r="AJ150" s="21"/>
    </row>
    <row r="151" spans="1:36" ht="117" hidden="1" customHeight="1" x14ac:dyDescent="0.2">
      <c r="A151" s="162">
        <v>314</v>
      </c>
      <c r="B151" s="115" t="s">
        <v>1079</v>
      </c>
      <c r="C151" s="17">
        <v>1</v>
      </c>
      <c r="D151" s="168">
        <v>2201</v>
      </c>
      <c r="E151" s="18" t="s">
        <v>1106</v>
      </c>
      <c r="F151" s="92" t="s">
        <v>530</v>
      </c>
      <c r="G151" s="17">
        <v>2201015</v>
      </c>
      <c r="H151" s="18" t="s">
        <v>535</v>
      </c>
      <c r="I151" s="17">
        <v>2201015</v>
      </c>
      <c r="J151" s="18" t="s">
        <v>535</v>
      </c>
      <c r="K151" s="77">
        <v>220101500</v>
      </c>
      <c r="L151" s="90" t="s">
        <v>536</v>
      </c>
      <c r="M151" s="77">
        <v>220101500</v>
      </c>
      <c r="N151" s="90" t="s">
        <v>536</v>
      </c>
      <c r="O151" s="94" t="s">
        <v>1212</v>
      </c>
      <c r="P151" s="105">
        <v>11</v>
      </c>
      <c r="Q151" s="105"/>
      <c r="R151" s="118">
        <f t="shared" si="6"/>
        <v>11</v>
      </c>
      <c r="S151" s="91">
        <v>2020003630016</v>
      </c>
      <c r="T151" s="18" t="s">
        <v>533</v>
      </c>
      <c r="U151" s="92" t="s">
        <v>534</v>
      </c>
      <c r="V151" s="30"/>
      <c r="W151" s="30"/>
      <c r="X151" s="30"/>
      <c r="Y151" s="30"/>
      <c r="Z151" s="30"/>
      <c r="AA151" s="30"/>
      <c r="AB151" s="39">
        <f>12000000-7000000+12310000</f>
        <v>17310000</v>
      </c>
      <c r="AC151" s="30"/>
      <c r="AD151" s="30"/>
      <c r="AE151" s="30"/>
      <c r="AF151" s="93">
        <f t="shared" si="5"/>
        <v>17310000</v>
      </c>
      <c r="AG151" s="143" t="s">
        <v>1225</v>
      </c>
      <c r="AI151" s="21"/>
      <c r="AJ151" s="21"/>
    </row>
    <row r="152" spans="1:36" ht="117" hidden="1" customHeight="1" x14ac:dyDescent="0.2">
      <c r="A152" s="162">
        <v>314</v>
      </c>
      <c r="B152" s="115" t="s">
        <v>1079</v>
      </c>
      <c r="C152" s="17">
        <v>1</v>
      </c>
      <c r="D152" s="168">
        <v>2201</v>
      </c>
      <c r="E152" s="18" t="s">
        <v>1106</v>
      </c>
      <c r="F152" s="92" t="s">
        <v>483</v>
      </c>
      <c r="G152" s="17">
        <v>2201042</v>
      </c>
      <c r="H152" s="18" t="s">
        <v>537</v>
      </c>
      <c r="I152" s="17">
        <v>2201042</v>
      </c>
      <c r="J152" s="18" t="s">
        <v>537</v>
      </c>
      <c r="K152" s="77">
        <v>220104200</v>
      </c>
      <c r="L152" s="90" t="s">
        <v>538</v>
      </c>
      <c r="M152" s="77">
        <v>220104200</v>
      </c>
      <c r="N152" s="90" t="s">
        <v>538</v>
      </c>
      <c r="O152" s="94" t="s">
        <v>1213</v>
      </c>
      <c r="P152" s="105">
        <v>6000</v>
      </c>
      <c r="Q152" s="105"/>
      <c r="R152" s="118">
        <f t="shared" si="6"/>
        <v>6000</v>
      </c>
      <c r="S152" s="91">
        <v>2020003630016</v>
      </c>
      <c r="T152" s="18" t="s">
        <v>533</v>
      </c>
      <c r="U152" s="92" t="s">
        <v>534</v>
      </c>
      <c r="V152" s="30"/>
      <c r="W152" s="30"/>
      <c r="X152" s="30"/>
      <c r="Y152" s="30"/>
      <c r="Z152" s="30"/>
      <c r="AA152" s="30"/>
      <c r="AB152" s="28">
        <v>10000000</v>
      </c>
      <c r="AC152" s="30"/>
      <c r="AD152" s="30"/>
      <c r="AE152" s="30"/>
      <c r="AF152" s="93">
        <f t="shared" si="5"/>
        <v>10000000</v>
      </c>
      <c r="AG152" s="143" t="s">
        <v>1225</v>
      </c>
      <c r="AI152" s="21"/>
      <c r="AJ152" s="21"/>
    </row>
    <row r="153" spans="1:36" ht="117" hidden="1" customHeight="1" x14ac:dyDescent="0.2">
      <c r="A153" s="162">
        <v>314</v>
      </c>
      <c r="B153" s="115" t="s">
        <v>1079</v>
      </c>
      <c r="C153" s="17">
        <v>1</v>
      </c>
      <c r="D153" s="168">
        <v>2201</v>
      </c>
      <c r="E153" s="18" t="s">
        <v>1106</v>
      </c>
      <c r="F153" s="92" t="s">
        <v>107</v>
      </c>
      <c r="G153" s="17">
        <v>2201071</v>
      </c>
      <c r="H153" s="48" t="s">
        <v>539</v>
      </c>
      <c r="I153" s="17">
        <v>2201071</v>
      </c>
      <c r="J153" s="48" t="s">
        <v>539</v>
      </c>
      <c r="K153" s="38">
        <v>220107100</v>
      </c>
      <c r="L153" s="90" t="s">
        <v>540</v>
      </c>
      <c r="M153" s="38">
        <v>220107100</v>
      </c>
      <c r="N153" s="90" t="s">
        <v>540</v>
      </c>
      <c r="O153" s="94" t="s">
        <v>1212</v>
      </c>
      <c r="P153" s="105">
        <v>54</v>
      </c>
      <c r="Q153" s="105"/>
      <c r="R153" s="118">
        <f t="shared" si="6"/>
        <v>54</v>
      </c>
      <c r="S153" s="91">
        <v>2020003630016</v>
      </c>
      <c r="T153" s="16" t="s">
        <v>533</v>
      </c>
      <c r="U153" s="92" t="s">
        <v>534</v>
      </c>
      <c r="V153" s="53"/>
      <c r="W153" s="53">
        <f>2508409585-100000000</f>
        <v>2408409585</v>
      </c>
      <c r="X153" s="53"/>
      <c r="Y153" s="53"/>
      <c r="Z153" s="53">
        <f>148302000000+80000000+29000000000+1447985935.52-3303649.73+4284304</f>
        <v>178830966589.78998</v>
      </c>
      <c r="AA153" s="53"/>
      <c r="AB153" s="28">
        <f>3890647242-50000000-90000000-750647242+500000000+180000000+326689566.65+2700000000+178370199-50000000+100000000+844841845+36600000</f>
        <v>7816501610.6499996</v>
      </c>
      <c r="AC153" s="39"/>
      <c r="AD153" s="39"/>
      <c r="AE153" s="53">
        <v>318992344.52999997</v>
      </c>
      <c r="AF153" s="93">
        <f t="shared" si="5"/>
        <v>189374870129.96997</v>
      </c>
      <c r="AG153" s="143" t="s">
        <v>1225</v>
      </c>
      <c r="AI153" s="21"/>
      <c r="AJ153" s="21"/>
    </row>
    <row r="154" spans="1:36" ht="117" hidden="1" customHeight="1" x14ac:dyDescent="0.2">
      <c r="A154" s="162">
        <v>314</v>
      </c>
      <c r="B154" s="115" t="s">
        <v>1079</v>
      </c>
      <c r="C154" s="17">
        <v>1</v>
      </c>
      <c r="D154" s="168">
        <v>2201</v>
      </c>
      <c r="E154" s="18" t="s">
        <v>1106</v>
      </c>
      <c r="F154" s="92" t="s">
        <v>483</v>
      </c>
      <c r="G154" s="17">
        <v>2201050</v>
      </c>
      <c r="H154" s="18" t="s">
        <v>541</v>
      </c>
      <c r="I154" s="17">
        <v>2201050</v>
      </c>
      <c r="J154" s="18" t="s">
        <v>541</v>
      </c>
      <c r="K154" s="77">
        <v>220105000</v>
      </c>
      <c r="L154" s="90" t="s">
        <v>542</v>
      </c>
      <c r="M154" s="77">
        <v>220105000</v>
      </c>
      <c r="N154" s="90" t="s">
        <v>542</v>
      </c>
      <c r="O154" s="94" t="s">
        <v>1213</v>
      </c>
      <c r="P154" s="105">
        <v>8000</v>
      </c>
      <c r="Q154" s="105">
        <v>2350</v>
      </c>
      <c r="R154" s="118">
        <f t="shared" si="6"/>
        <v>10350</v>
      </c>
      <c r="S154" s="91">
        <v>2020003630094</v>
      </c>
      <c r="T154" s="16" t="s">
        <v>543</v>
      </c>
      <c r="U154" s="92" t="s">
        <v>544</v>
      </c>
      <c r="V154" s="30"/>
      <c r="W154" s="30"/>
      <c r="X154" s="30"/>
      <c r="Y154" s="30"/>
      <c r="Z154" s="39">
        <f>622000000-622000000</f>
        <v>0</v>
      </c>
      <c r="AA154" s="30"/>
      <c r="AB154" s="39">
        <f>10000000+5770000</f>
        <v>15770000</v>
      </c>
      <c r="AC154" s="30"/>
      <c r="AD154" s="30"/>
      <c r="AE154" s="30"/>
      <c r="AF154" s="93">
        <f t="shared" si="5"/>
        <v>15770000</v>
      </c>
      <c r="AG154" s="143" t="s">
        <v>1225</v>
      </c>
      <c r="AI154" s="21"/>
      <c r="AJ154" s="21"/>
    </row>
    <row r="155" spans="1:36" ht="117" hidden="1" customHeight="1" x14ac:dyDescent="0.2">
      <c r="A155" s="162">
        <v>314</v>
      </c>
      <c r="B155" s="115" t="s">
        <v>1079</v>
      </c>
      <c r="C155" s="17">
        <v>1</v>
      </c>
      <c r="D155" s="168">
        <v>2201</v>
      </c>
      <c r="E155" s="18" t="s">
        <v>1106</v>
      </c>
      <c r="F155" s="92" t="s">
        <v>483</v>
      </c>
      <c r="G155" s="17">
        <v>2201050</v>
      </c>
      <c r="H155" s="18" t="s">
        <v>541</v>
      </c>
      <c r="I155" s="17">
        <v>2201050</v>
      </c>
      <c r="J155" s="18" t="s">
        <v>541</v>
      </c>
      <c r="K155" s="38">
        <v>220105001</v>
      </c>
      <c r="L155" s="90" t="s">
        <v>545</v>
      </c>
      <c r="M155" s="38">
        <v>220105001</v>
      </c>
      <c r="N155" s="90" t="s">
        <v>545</v>
      </c>
      <c r="O155" s="94" t="s">
        <v>1212</v>
      </c>
      <c r="P155" s="105">
        <v>150</v>
      </c>
      <c r="Q155" s="105"/>
      <c r="R155" s="118">
        <f t="shared" si="6"/>
        <v>150</v>
      </c>
      <c r="S155" s="91">
        <v>2020003630094</v>
      </c>
      <c r="T155" s="16" t="s">
        <v>543</v>
      </c>
      <c r="U155" s="92" t="s">
        <v>544</v>
      </c>
      <c r="V155" s="30"/>
      <c r="W155" s="30"/>
      <c r="X155" s="30"/>
      <c r="Y155" s="30"/>
      <c r="Z155" s="53">
        <f>622000000-28554059</f>
        <v>593445941</v>
      </c>
      <c r="AA155" s="30"/>
      <c r="AB155" s="30">
        <v>0</v>
      </c>
      <c r="AC155" s="30"/>
      <c r="AD155" s="30"/>
      <c r="AE155" s="30"/>
      <c r="AF155" s="93">
        <f t="shared" si="5"/>
        <v>593445941</v>
      </c>
      <c r="AG155" s="143" t="s">
        <v>1225</v>
      </c>
      <c r="AI155" s="21"/>
      <c r="AJ155" s="21"/>
    </row>
    <row r="156" spans="1:36" ht="117" hidden="1" customHeight="1" x14ac:dyDescent="0.2">
      <c r="A156" s="162">
        <v>314</v>
      </c>
      <c r="B156" s="115" t="s">
        <v>1079</v>
      </c>
      <c r="C156" s="17">
        <v>1</v>
      </c>
      <c r="D156" s="168">
        <v>2201</v>
      </c>
      <c r="E156" s="18" t="s">
        <v>1106</v>
      </c>
      <c r="F156" s="96" t="s">
        <v>492</v>
      </c>
      <c r="G156" s="17" t="s">
        <v>26</v>
      </c>
      <c r="H156" s="18" t="s">
        <v>546</v>
      </c>
      <c r="I156" s="17">
        <v>2201001</v>
      </c>
      <c r="J156" s="18" t="s">
        <v>159</v>
      </c>
      <c r="K156" s="17" t="s">
        <v>26</v>
      </c>
      <c r="L156" s="90" t="s">
        <v>547</v>
      </c>
      <c r="M156" s="77">
        <v>220100100</v>
      </c>
      <c r="N156" s="90" t="s">
        <v>548</v>
      </c>
      <c r="O156" s="94" t="s">
        <v>1212</v>
      </c>
      <c r="P156" s="105">
        <v>2</v>
      </c>
      <c r="Q156" s="105"/>
      <c r="R156" s="118">
        <f t="shared" si="6"/>
        <v>2</v>
      </c>
      <c r="S156" s="91">
        <v>2020003630094</v>
      </c>
      <c r="T156" s="16" t="s">
        <v>543</v>
      </c>
      <c r="U156" s="92" t="s">
        <v>544</v>
      </c>
      <c r="V156" s="30"/>
      <c r="W156" s="30"/>
      <c r="X156" s="30"/>
      <c r="Y156" s="30"/>
      <c r="Z156" s="30"/>
      <c r="AA156" s="30"/>
      <c r="AB156" s="39">
        <f>10000000+1800000</f>
        <v>11800000</v>
      </c>
      <c r="AC156" s="30"/>
      <c r="AD156" s="30"/>
      <c r="AE156" s="30"/>
      <c r="AF156" s="93">
        <f t="shared" si="5"/>
        <v>11800000</v>
      </c>
      <c r="AG156" s="143" t="s">
        <v>1225</v>
      </c>
      <c r="AI156" s="21"/>
      <c r="AJ156" s="21"/>
    </row>
    <row r="157" spans="1:36" ht="117" hidden="1" customHeight="1" x14ac:dyDescent="0.2">
      <c r="A157" s="162">
        <v>314</v>
      </c>
      <c r="B157" s="115" t="s">
        <v>1079</v>
      </c>
      <c r="C157" s="17">
        <v>1</v>
      </c>
      <c r="D157" s="168">
        <v>2201</v>
      </c>
      <c r="E157" s="18" t="s">
        <v>1106</v>
      </c>
      <c r="F157" s="92" t="s">
        <v>549</v>
      </c>
      <c r="G157" s="17">
        <v>2201034</v>
      </c>
      <c r="H157" s="18" t="s">
        <v>550</v>
      </c>
      <c r="I157" s="17">
        <v>2201034</v>
      </c>
      <c r="J157" s="18" t="s">
        <v>550</v>
      </c>
      <c r="K157" s="38">
        <v>220103400</v>
      </c>
      <c r="L157" s="90" t="s">
        <v>551</v>
      </c>
      <c r="M157" s="38">
        <v>220103400</v>
      </c>
      <c r="N157" s="90" t="s">
        <v>551</v>
      </c>
      <c r="O157" s="94" t="s">
        <v>1213</v>
      </c>
      <c r="P157" s="105">
        <v>5000</v>
      </c>
      <c r="Q157" s="105">
        <v>740</v>
      </c>
      <c r="R157" s="118">
        <f t="shared" si="6"/>
        <v>5740</v>
      </c>
      <c r="S157" s="91">
        <v>2020003630015</v>
      </c>
      <c r="T157" s="16" t="s">
        <v>552</v>
      </c>
      <c r="U157" s="92" t="s">
        <v>553</v>
      </c>
      <c r="V157" s="30"/>
      <c r="W157" s="30"/>
      <c r="X157" s="30"/>
      <c r="Y157" s="30"/>
      <c r="Z157" s="30"/>
      <c r="AA157" s="30"/>
      <c r="AB157" s="39">
        <v>10000000</v>
      </c>
      <c r="AC157" s="30"/>
      <c r="AD157" s="30"/>
      <c r="AE157" s="30"/>
      <c r="AF157" s="93">
        <f t="shared" si="5"/>
        <v>10000000</v>
      </c>
      <c r="AG157" s="143" t="s">
        <v>1225</v>
      </c>
      <c r="AI157" s="21"/>
      <c r="AJ157" s="21"/>
    </row>
    <row r="158" spans="1:36" ht="117" hidden="1" customHeight="1" x14ac:dyDescent="0.2">
      <c r="A158" s="162">
        <v>314</v>
      </c>
      <c r="B158" s="115" t="s">
        <v>1079</v>
      </c>
      <c r="C158" s="17">
        <v>1</v>
      </c>
      <c r="D158" s="168">
        <v>2201</v>
      </c>
      <c r="E158" s="18" t="s">
        <v>1106</v>
      </c>
      <c r="F158" s="92" t="s">
        <v>549</v>
      </c>
      <c r="G158" s="17">
        <v>2201034</v>
      </c>
      <c r="H158" s="18" t="s">
        <v>554</v>
      </c>
      <c r="I158" s="17">
        <v>2201034</v>
      </c>
      <c r="J158" s="18" t="s">
        <v>554</v>
      </c>
      <c r="K158" s="77">
        <v>220103401</v>
      </c>
      <c r="L158" s="90" t="s">
        <v>555</v>
      </c>
      <c r="M158" s="77">
        <v>220103401</v>
      </c>
      <c r="N158" s="90" t="s">
        <v>555</v>
      </c>
      <c r="O158" s="94" t="s">
        <v>1212</v>
      </c>
      <c r="P158" s="105">
        <v>54</v>
      </c>
      <c r="Q158" s="105"/>
      <c r="R158" s="118">
        <f t="shared" si="6"/>
        <v>54</v>
      </c>
      <c r="S158" s="91">
        <v>2020003630015</v>
      </c>
      <c r="T158" s="16" t="s">
        <v>552</v>
      </c>
      <c r="U158" s="92" t="s">
        <v>553</v>
      </c>
      <c r="V158" s="30"/>
      <c r="W158" s="30"/>
      <c r="X158" s="30"/>
      <c r="Y158" s="30"/>
      <c r="Z158" s="30"/>
      <c r="AA158" s="30"/>
      <c r="AB158" s="39">
        <v>10000000</v>
      </c>
      <c r="AC158" s="30"/>
      <c r="AD158" s="30"/>
      <c r="AE158" s="30"/>
      <c r="AF158" s="93">
        <f t="shared" si="5"/>
        <v>10000000</v>
      </c>
      <c r="AG158" s="143" t="s">
        <v>1225</v>
      </c>
      <c r="AI158" s="21"/>
      <c r="AJ158" s="21"/>
    </row>
    <row r="159" spans="1:36" ht="117" hidden="1" customHeight="1" x14ac:dyDescent="0.2">
      <c r="A159" s="162">
        <v>314</v>
      </c>
      <c r="B159" s="115" t="s">
        <v>1079</v>
      </c>
      <c r="C159" s="17">
        <v>1</v>
      </c>
      <c r="D159" s="168">
        <v>2201</v>
      </c>
      <c r="E159" s="18" t="s">
        <v>1106</v>
      </c>
      <c r="F159" s="92" t="s">
        <v>549</v>
      </c>
      <c r="G159" s="17">
        <v>2201060</v>
      </c>
      <c r="H159" s="18" t="s">
        <v>556</v>
      </c>
      <c r="I159" s="17">
        <v>2201060</v>
      </c>
      <c r="J159" s="18" t="s">
        <v>556</v>
      </c>
      <c r="K159" s="38">
        <v>220106000</v>
      </c>
      <c r="L159" s="90" t="s">
        <v>557</v>
      </c>
      <c r="M159" s="38">
        <v>220106000</v>
      </c>
      <c r="N159" s="90" t="s">
        <v>557</v>
      </c>
      <c r="O159" s="94" t="s">
        <v>1213</v>
      </c>
      <c r="P159" s="105">
        <v>150</v>
      </c>
      <c r="Q159" s="105">
        <v>47</v>
      </c>
      <c r="R159" s="118">
        <f t="shared" si="6"/>
        <v>197</v>
      </c>
      <c r="S159" s="91">
        <v>2020003630015</v>
      </c>
      <c r="T159" s="16" t="s">
        <v>552</v>
      </c>
      <c r="U159" s="92" t="s">
        <v>553</v>
      </c>
      <c r="V159" s="30"/>
      <c r="W159" s="30"/>
      <c r="X159" s="30"/>
      <c r="Y159" s="30"/>
      <c r="Z159" s="30"/>
      <c r="AA159" s="30"/>
      <c r="AB159" s="39">
        <f>10000000-5000000</f>
        <v>5000000</v>
      </c>
      <c r="AC159" s="30"/>
      <c r="AD159" s="30"/>
      <c r="AE159" s="30"/>
      <c r="AF159" s="93">
        <f t="shared" si="5"/>
        <v>5000000</v>
      </c>
      <c r="AG159" s="143" t="s">
        <v>1225</v>
      </c>
      <c r="AI159" s="21"/>
      <c r="AJ159" s="21"/>
    </row>
    <row r="160" spans="1:36" ht="117" hidden="1" customHeight="1" x14ac:dyDescent="0.2">
      <c r="A160" s="162">
        <v>314</v>
      </c>
      <c r="B160" s="115" t="s">
        <v>1079</v>
      </c>
      <c r="C160" s="17">
        <v>1</v>
      </c>
      <c r="D160" s="168">
        <v>2201</v>
      </c>
      <c r="E160" s="18" t="s">
        <v>1106</v>
      </c>
      <c r="F160" s="92" t="s">
        <v>530</v>
      </c>
      <c r="G160" s="17">
        <v>2201001</v>
      </c>
      <c r="H160" s="18" t="s">
        <v>159</v>
      </c>
      <c r="I160" s="17">
        <v>2201001</v>
      </c>
      <c r="J160" s="18" t="s">
        <v>159</v>
      </c>
      <c r="K160" s="77">
        <v>220100100</v>
      </c>
      <c r="L160" s="90" t="s">
        <v>548</v>
      </c>
      <c r="M160" s="77">
        <v>220100100</v>
      </c>
      <c r="N160" s="90" t="s">
        <v>548</v>
      </c>
      <c r="O160" s="94" t="s">
        <v>1212</v>
      </c>
      <c r="P160" s="105">
        <v>5</v>
      </c>
      <c r="Q160" s="105"/>
      <c r="R160" s="118">
        <f t="shared" si="6"/>
        <v>5</v>
      </c>
      <c r="S160" s="91">
        <v>2020003630095</v>
      </c>
      <c r="T160" s="16" t="s">
        <v>558</v>
      </c>
      <c r="U160" s="87" t="s">
        <v>559</v>
      </c>
      <c r="V160" s="30"/>
      <c r="W160" s="30"/>
      <c r="X160" s="30"/>
      <c r="Y160" s="30"/>
      <c r="Z160" s="30"/>
      <c r="AA160" s="30"/>
      <c r="AB160" s="39">
        <f>9000000+15149600</f>
        <v>24149600</v>
      </c>
      <c r="AC160" s="30"/>
      <c r="AD160" s="30"/>
      <c r="AE160" s="30"/>
      <c r="AF160" s="93">
        <f t="shared" ref="AF160:AF223" si="7">V160+W160+X160+Y160+Z160+AA160+AB160+AC160+AE160</f>
        <v>24149600</v>
      </c>
      <c r="AG160" s="143" t="s">
        <v>1225</v>
      </c>
      <c r="AI160" s="21"/>
      <c r="AJ160" s="21"/>
    </row>
    <row r="161" spans="1:36" s="15" customFormat="1" ht="117" hidden="1" customHeight="1" x14ac:dyDescent="0.25">
      <c r="A161" s="162">
        <v>314</v>
      </c>
      <c r="B161" s="115" t="s">
        <v>1079</v>
      </c>
      <c r="C161" s="17">
        <v>1</v>
      </c>
      <c r="D161" s="168">
        <v>2201</v>
      </c>
      <c r="E161" s="18" t="s">
        <v>1106</v>
      </c>
      <c r="F161" s="92" t="s">
        <v>483</v>
      </c>
      <c r="G161" s="17">
        <v>2201048</v>
      </c>
      <c r="H161" s="18" t="s">
        <v>560</v>
      </c>
      <c r="I161" s="17">
        <v>2201048</v>
      </c>
      <c r="J161" s="18" t="s">
        <v>560</v>
      </c>
      <c r="K161" s="77">
        <v>220104801</v>
      </c>
      <c r="L161" s="90" t="s">
        <v>561</v>
      </c>
      <c r="M161" s="77">
        <v>220104801</v>
      </c>
      <c r="N161" s="90" t="s">
        <v>561</v>
      </c>
      <c r="O161" s="94" t="s">
        <v>1212</v>
      </c>
      <c r="P161" s="105">
        <v>1</v>
      </c>
      <c r="Q161" s="105"/>
      <c r="R161" s="118">
        <f t="shared" si="6"/>
        <v>1</v>
      </c>
      <c r="S161" s="91">
        <v>2020003630095</v>
      </c>
      <c r="T161" s="16" t="s">
        <v>558</v>
      </c>
      <c r="U161" s="87" t="s">
        <v>559</v>
      </c>
      <c r="V161" s="30"/>
      <c r="W161" s="30"/>
      <c r="X161" s="30"/>
      <c r="Y161" s="30"/>
      <c r="Z161" s="30"/>
      <c r="AA161" s="30"/>
      <c r="AB161" s="39">
        <v>9000000</v>
      </c>
      <c r="AC161" s="30"/>
      <c r="AD161" s="30"/>
      <c r="AE161" s="30"/>
      <c r="AF161" s="93">
        <f t="shared" si="7"/>
        <v>9000000</v>
      </c>
      <c r="AG161" s="143" t="s">
        <v>1225</v>
      </c>
      <c r="AJ161" s="21"/>
    </row>
    <row r="162" spans="1:36" s="15" customFormat="1" ht="117" hidden="1" customHeight="1" x14ac:dyDescent="0.25">
      <c r="A162" s="162">
        <v>314</v>
      </c>
      <c r="B162" s="115" t="s">
        <v>1079</v>
      </c>
      <c r="C162" s="17">
        <v>1</v>
      </c>
      <c r="D162" s="168">
        <v>2202</v>
      </c>
      <c r="E162" s="18" t="s">
        <v>1088</v>
      </c>
      <c r="F162" s="92" t="s">
        <v>562</v>
      </c>
      <c r="G162" s="17" t="s">
        <v>26</v>
      </c>
      <c r="H162" s="18" t="s">
        <v>563</v>
      </c>
      <c r="I162" s="17">
        <v>2202006</v>
      </c>
      <c r="J162" s="18" t="s">
        <v>563</v>
      </c>
      <c r="K162" s="17" t="s">
        <v>26</v>
      </c>
      <c r="L162" s="90" t="s">
        <v>564</v>
      </c>
      <c r="M162" s="17">
        <v>220200604</v>
      </c>
      <c r="N162" s="90" t="s">
        <v>565</v>
      </c>
      <c r="O162" s="94" t="s">
        <v>1212</v>
      </c>
      <c r="P162" s="105">
        <v>2</v>
      </c>
      <c r="Q162" s="105"/>
      <c r="R162" s="118">
        <f t="shared" si="6"/>
        <v>2</v>
      </c>
      <c r="S162" s="91">
        <v>2020003630096</v>
      </c>
      <c r="T162" s="16" t="s">
        <v>566</v>
      </c>
      <c r="U162" s="92" t="s">
        <v>567</v>
      </c>
      <c r="V162" s="30"/>
      <c r="W162" s="30">
        <v>50011354</v>
      </c>
      <c r="X162" s="30"/>
      <c r="Y162" s="30"/>
      <c r="Z162" s="49"/>
      <c r="AA162" s="30"/>
      <c r="AB162" s="28">
        <f>100000000+2000000000-2000000000</f>
        <v>100000000</v>
      </c>
      <c r="AC162" s="30"/>
      <c r="AD162" s="30"/>
      <c r="AE162" s="30"/>
      <c r="AF162" s="93">
        <f t="shared" si="7"/>
        <v>150011354</v>
      </c>
      <c r="AG162" s="143" t="s">
        <v>1225</v>
      </c>
      <c r="AJ162" s="21"/>
    </row>
    <row r="163" spans="1:36" ht="117" hidden="1" customHeight="1" x14ac:dyDescent="0.2">
      <c r="A163" s="162">
        <v>314</v>
      </c>
      <c r="B163" s="115" t="s">
        <v>1079</v>
      </c>
      <c r="C163" s="17">
        <v>2</v>
      </c>
      <c r="D163" s="168">
        <v>3904</v>
      </c>
      <c r="E163" s="18" t="s">
        <v>1127</v>
      </c>
      <c r="F163" s="92" t="s">
        <v>568</v>
      </c>
      <c r="G163" s="17">
        <v>3904006</v>
      </c>
      <c r="H163" s="18" t="s">
        <v>569</v>
      </c>
      <c r="I163" s="17">
        <v>3904006</v>
      </c>
      <c r="J163" s="18" t="s">
        <v>569</v>
      </c>
      <c r="K163" s="95">
        <v>390400604</v>
      </c>
      <c r="L163" s="90" t="s">
        <v>570</v>
      </c>
      <c r="M163" s="95">
        <v>390400604</v>
      </c>
      <c r="N163" s="90" t="s">
        <v>571</v>
      </c>
      <c r="O163" s="94" t="s">
        <v>1213</v>
      </c>
      <c r="P163" s="105">
        <v>18</v>
      </c>
      <c r="Q163" s="105"/>
      <c r="R163" s="118">
        <f t="shared" si="6"/>
        <v>18</v>
      </c>
      <c r="S163" s="91">
        <v>2020003630097</v>
      </c>
      <c r="T163" s="16" t="s">
        <v>572</v>
      </c>
      <c r="U163" s="92" t="s">
        <v>573</v>
      </c>
      <c r="V163" s="30"/>
      <c r="W163" s="30">
        <f>15000000-10000000</f>
        <v>5000000</v>
      </c>
      <c r="X163" s="30"/>
      <c r="Y163" s="30"/>
      <c r="Z163" s="49"/>
      <c r="AA163" s="30"/>
      <c r="AB163" s="28">
        <f>7500000+5014678</f>
        <v>12514678</v>
      </c>
      <c r="AC163" s="30"/>
      <c r="AD163" s="30"/>
      <c r="AE163" s="30"/>
      <c r="AF163" s="93">
        <f t="shared" si="7"/>
        <v>17514678</v>
      </c>
      <c r="AG163" s="143" t="s">
        <v>1225</v>
      </c>
      <c r="AI163" s="21"/>
      <c r="AJ163" s="21"/>
    </row>
    <row r="164" spans="1:36" ht="204.75" hidden="1" customHeight="1" x14ac:dyDescent="0.2">
      <c r="A164" s="162">
        <v>316</v>
      </c>
      <c r="B164" s="115" t="s">
        <v>1080</v>
      </c>
      <c r="C164" s="17">
        <v>1</v>
      </c>
      <c r="D164" s="168">
        <v>1905</v>
      </c>
      <c r="E164" s="18" t="s">
        <v>1128</v>
      </c>
      <c r="F164" s="92" t="s">
        <v>574</v>
      </c>
      <c r="G164" s="77">
        <v>1905021</v>
      </c>
      <c r="H164" s="18" t="s">
        <v>575</v>
      </c>
      <c r="I164" s="77">
        <v>1905021</v>
      </c>
      <c r="J164" s="18" t="s">
        <v>575</v>
      </c>
      <c r="K164" s="77">
        <v>190502100</v>
      </c>
      <c r="L164" s="90" t="s">
        <v>576</v>
      </c>
      <c r="M164" s="77">
        <v>190502100</v>
      </c>
      <c r="N164" s="90" t="s">
        <v>576</v>
      </c>
      <c r="O164" s="94" t="s">
        <v>1212</v>
      </c>
      <c r="P164" s="105">
        <v>12</v>
      </c>
      <c r="Q164" s="105"/>
      <c r="R164" s="118">
        <f t="shared" si="6"/>
        <v>12</v>
      </c>
      <c r="S164" s="91">
        <v>2020003630011</v>
      </c>
      <c r="T164" s="16" t="s">
        <v>1193</v>
      </c>
      <c r="U164" s="87" t="s">
        <v>1194</v>
      </c>
      <c r="V164" s="30"/>
      <c r="W164" s="30"/>
      <c r="X164" s="30"/>
      <c r="Y164" s="30"/>
      <c r="Z164" s="30"/>
      <c r="AA164" s="30"/>
      <c r="AB164" s="28">
        <f>100000000-12000000-8000000+12000000</f>
        <v>92000000</v>
      </c>
      <c r="AC164" s="30"/>
      <c r="AD164" s="30"/>
      <c r="AE164" s="30"/>
      <c r="AF164" s="93">
        <f t="shared" si="7"/>
        <v>92000000</v>
      </c>
      <c r="AG164" s="143" t="s">
        <v>1224</v>
      </c>
      <c r="AI164" s="21"/>
      <c r="AJ164" s="21"/>
    </row>
    <row r="165" spans="1:36" ht="204.75" hidden="1" customHeight="1" x14ac:dyDescent="0.2">
      <c r="A165" s="162">
        <v>316</v>
      </c>
      <c r="B165" s="115" t="s">
        <v>1080</v>
      </c>
      <c r="C165" s="17">
        <v>1</v>
      </c>
      <c r="D165" s="168">
        <v>1905</v>
      </c>
      <c r="E165" s="18" t="s">
        <v>1128</v>
      </c>
      <c r="F165" s="92" t="s">
        <v>577</v>
      </c>
      <c r="G165" s="98">
        <v>1905022</v>
      </c>
      <c r="H165" s="97" t="s">
        <v>578</v>
      </c>
      <c r="I165" s="98">
        <v>1905022</v>
      </c>
      <c r="J165" s="97" t="s">
        <v>578</v>
      </c>
      <c r="K165" s="95">
        <v>190502200</v>
      </c>
      <c r="L165" s="90" t="s">
        <v>579</v>
      </c>
      <c r="M165" s="95">
        <v>190502200</v>
      </c>
      <c r="N165" s="90" t="s">
        <v>579</v>
      </c>
      <c r="O165" s="94" t="s">
        <v>1212</v>
      </c>
      <c r="P165" s="105">
        <v>12</v>
      </c>
      <c r="Q165" s="105"/>
      <c r="R165" s="118">
        <f t="shared" si="6"/>
        <v>12</v>
      </c>
      <c r="S165" s="91">
        <v>2020003630011</v>
      </c>
      <c r="T165" s="16" t="s">
        <v>1193</v>
      </c>
      <c r="U165" s="87" t="s">
        <v>1194</v>
      </c>
      <c r="V165" s="30"/>
      <c r="W165" s="30"/>
      <c r="X165" s="30"/>
      <c r="Y165" s="30"/>
      <c r="Z165" s="30"/>
      <c r="AA165" s="30"/>
      <c r="AB165" s="28">
        <f>75000000-20000000+35005000</f>
        <v>90005000</v>
      </c>
      <c r="AC165" s="30"/>
      <c r="AD165" s="30"/>
      <c r="AE165" s="30"/>
      <c r="AF165" s="93">
        <f t="shared" si="7"/>
        <v>90005000</v>
      </c>
      <c r="AG165" s="143" t="s">
        <v>1224</v>
      </c>
      <c r="AI165" s="21"/>
      <c r="AJ165" s="21"/>
    </row>
    <row r="166" spans="1:36" ht="117" hidden="1" customHeight="1" x14ac:dyDescent="0.2">
      <c r="A166" s="162">
        <v>316</v>
      </c>
      <c r="B166" s="115" t="s">
        <v>1080</v>
      </c>
      <c r="C166" s="17">
        <v>1</v>
      </c>
      <c r="D166" s="168">
        <v>3301</v>
      </c>
      <c r="E166" s="18" t="s">
        <v>1115</v>
      </c>
      <c r="F166" s="92" t="s">
        <v>1041</v>
      </c>
      <c r="G166" s="77">
        <v>3301051</v>
      </c>
      <c r="H166" s="18" t="s">
        <v>580</v>
      </c>
      <c r="I166" s="77">
        <v>3301051</v>
      </c>
      <c r="J166" s="18" t="s">
        <v>580</v>
      </c>
      <c r="K166" s="77">
        <v>330105110</v>
      </c>
      <c r="L166" s="90" t="s">
        <v>581</v>
      </c>
      <c r="M166" s="77">
        <v>330105110</v>
      </c>
      <c r="N166" s="90" t="s">
        <v>581</v>
      </c>
      <c r="O166" s="94" t="s">
        <v>1213</v>
      </c>
      <c r="P166" s="105">
        <v>350</v>
      </c>
      <c r="Q166" s="105"/>
      <c r="R166" s="118">
        <f t="shared" si="6"/>
        <v>350</v>
      </c>
      <c r="S166" s="91">
        <v>2020003630098</v>
      </c>
      <c r="T166" s="16" t="s">
        <v>1049</v>
      </c>
      <c r="U166" s="92" t="s">
        <v>582</v>
      </c>
      <c r="V166" s="30"/>
      <c r="W166" s="30"/>
      <c r="X166" s="30"/>
      <c r="Y166" s="30"/>
      <c r="Z166" s="30"/>
      <c r="AA166" s="30"/>
      <c r="AB166" s="28">
        <f>14250000+14600000</f>
        <v>28850000</v>
      </c>
      <c r="AC166" s="30"/>
      <c r="AD166" s="30"/>
      <c r="AE166" s="30"/>
      <c r="AF166" s="93">
        <f t="shared" si="7"/>
        <v>28850000</v>
      </c>
      <c r="AG166" s="143" t="s">
        <v>1224</v>
      </c>
      <c r="AI166" s="21"/>
      <c r="AJ166" s="21"/>
    </row>
    <row r="167" spans="1:36" ht="117" hidden="1" customHeight="1" x14ac:dyDescent="0.2">
      <c r="A167" s="162">
        <v>316</v>
      </c>
      <c r="B167" s="115" t="s">
        <v>1080</v>
      </c>
      <c r="C167" s="17">
        <v>1</v>
      </c>
      <c r="D167" s="168">
        <v>4102</v>
      </c>
      <c r="E167" s="18" t="s">
        <v>1089</v>
      </c>
      <c r="F167" s="92" t="s">
        <v>583</v>
      </c>
      <c r="G167" s="17" t="s">
        <v>26</v>
      </c>
      <c r="H167" s="18" t="s">
        <v>584</v>
      </c>
      <c r="I167" s="77">
        <v>4102035</v>
      </c>
      <c r="J167" s="18" t="s">
        <v>60</v>
      </c>
      <c r="K167" s="17" t="s">
        <v>26</v>
      </c>
      <c r="L167" s="90" t="s">
        <v>585</v>
      </c>
      <c r="M167" s="88">
        <v>410203500</v>
      </c>
      <c r="N167" s="90" t="s">
        <v>62</v>
      </c>
      <c r="O167" s="94" t="s">
        <v>1212</v>
      </c>
      <c r="P167" s="121">
        <v>1</v>
      </c>
      <c r="Q167" s="121"/>
      <c r="R167" s="118">
        <f t="shared" si="6"/>
        <v>1</v>
      </c>
      <c r="S167" s="91">
        <v>2020003630099</v>
      </c>
      <c r="T167" s="16" t="s">
        <v>1192</v>
      </c>
      <c r="U167" s="92" t="s">
        <v>586</v>
      </c>
      <c r="V167" s="30"/>
      <c r="W167" s="30"/>
      <c r="X167" s="30"/>
      <c r="Y167" s="30"/>
      <c r="Z167" s="30"/>
      <c r="AA167" s="30"/>
      <c r="AB167" s="28">
        <f>20000000-5000000+10000000</f>
        <v>25000000</v>
      </c>
      <c r="AC167" s="30"/>
      <c r="AD167" s="30"/>
      <c r="AE167" s="30"/>
      <c r="AF167" s="93">
        <f t="shared" si="7"/>
        <v>25000000</v>
      </c>
      <c r="AG167" s="143" t="s">
        <v>1224</v>
      </c>
      <c r="AI167" s="21"/>
      <c r="AJ167" s="21"/>
    </row>
    <row r="168" spans="1:36" ht="117" hidden="1" customHeight="1" x14ac:dyDescent="0.2">
      <c r="A168" s="162">
        <v>316</v>
      </c>
      <c r="B168" s="115" t="s">
        <v>1080</v>
      </c>
      <c r="C168" s="17">
        <v>1</v>
      </c>
      <c r="D168" s="168">
        <v>4102</v>
      </c>
      <c r="E168" s="18" t="s">
        <v>1089</v>
      </c>
      <c r="F168" s="92" t="s">
        <v>587</v>
      </c>
      <c r="G168" s="17" t="s">
        <v>26</v>
      </c>
      <c r="H168" s="18" t="s">
        <v>588</v>
      </c>
      <c r="I168" s="77">
        <v>4102001</v>
      </c>
      <c r="J168" s="18" t="s">
        <v>589</v>
      </c>
      <c r="K168" s="17" t="s">
        <v>26</v>
      </c>
      <c r="L168" s="90" t="s">
        <v>590</v>
      </c>
      <c r="M168" s="77">
        <v>410200100</v>
      </c>
      <c r="N168" s="90" t="s">
        <v>591</v>
      </c>
      <c r="O168" s="94" t="s">
        <v>1212</v>
      </c>
      <c r="P168" s="121">
        <v>12</v>
      </c>
      <c r="Q168" s="121"/>
      <c r="R168" s="118">
        <f t="shared" si="6"/>
        <v>12</v>
      </c>
      <c r="S168" s="91">
        <v>2020003630099</v>
      </c>
      <c r="T168" s="16" t="s">
        <v>1192</v>
      </c>
      <c r="U168" s="92" t="s">
        <v>586</v>
      </c>
      <c r="V168" s="30"/>
      <c r="W168" s="30"/>
      <c r="X168" s="30"/>
      <c r="Y168" s="30"/>
      <c r="Z168" s="30"/>
      <c r="AA168" s="30"/>
      <c r="AB168" s="28">
        <f>50000000-20000000+19446500</f>
        <v>49446500</v>
      </c>
      <c r="AC168" s="30"/>
      <c r="AD168" s="30"/>
      <c r="AE168" s="30"/>
      <c r="AF168" s="93">
        <f t="shared" si="7"/>
        <v>49446500</v>
      </c>
      <c r="AG168" s="143" t="s">
        <v>1224</v>
      </c>
      <c r="AI168" s="21"/>
      <c r="AJ168" s="21"/>
    </row>
    <row r="169" spans="1:36" ht="313.5" hidden="1" customHeight="1" x14ac:dyDescent="0.2">
      <c r="A169" s="162">
        <v>316</v>
      </c>
      <c r="B169" s="115" t="s">
        <v>1080</v>
      </c>
      <c r="C169" s="17">
        <v>1</v>
      </c>
      <c r="D169" s="168">
        <v>4102</v>
      </c>
      <c r="E169" s="18" t="s">
        <v>1089</v>
      </c>
      <c r="F169" s="92" t="s">
        <v>592</v>
      </c>
      <c r="G169" s="17" t="s">
        <v>26</v>
      </c>
      <c r="H169" s="18" t="s">
        <v>593</v>
      </c>
      <c r="I169" s="17" t="s">
        <v>594</v>
      </c>
      <c r="J169" s="18" t="s">
        <v>595</v>
      </c>
      <c r="K169" s="17" t="s">
        <v>26</v>
      </c>
      <c r="L169" s="90" t="s">
        <v>596</v>
      </c>
      <c r="M169" s="17">
        <v>410204300</v>
      </c>
      <c r="N169" s="90" t="s">
        <v>597</v>
      </c>
      <c r="O169" s="94" t="s">
        <v>1212</v>
      </c>
      <c r="P169" s="121">
        <v>1</v>
      </c>
      <c r="Q169" s="121"/>
      <c r="R169" s="118">
        <f t="shared" si="6"/>
        <v>1</v>
      </c>
      <c r="S169" s="91">
        <v>2020003630100</v>
      </c>
      <c r="T169" s="16" t="s">
        <v>598</v>
      </c>
      <c r="U169" s="92" t="s">
        <v>599</v>
      </c>
      <c r="V169" s="30"/>
      <c r="W169" s="30"/>
      <c r="X169" s="30"/>
      <c r="Y169" s="30"/>
      <c r="Z169" s="30"/>
      <c r="AA169" s="30"/>
      <c r="AB169" s="28">
        <f>135000000-11800000-23000000+38390000</f>
        <v>138590000</v>
      </c>
      <c r="AC169" s="30"/>
      <c r="AD169" s="30"/>
      <c r="AE169" s="30"/>
      <c r="AF169" s="93">
        <f t="shared" si="7"/>
        <v>138590000</v>
      </c>
      <c r="AG169" s="143" t="s">
        <v>1224</v>
      </c>
      <c r="AI169" s="21"/>
      <c r="AJ169" s="21"/>
    </row>
    <row r="170" spans="1:36" ht="313.5" hidden="1" customHeight="1" x14ac:dyDescent="0.2">
      <c r="A170" s="162">
        <v>316</v>
      </c>
      <c r="B170" s="115" t="s">
        <v>1080</v>
      </c>
      <c r="C170" s="17">
        <v>1</v>
      </c>
      <c r="D170" s="168">
        <v>4102</v>
      </c>
      <c r="E170" s="18" t="s">
        <v>1089</v>
      </c>
      <c r="F170" s="92" t="s">
        <v>600</v>
      </c>
      <c r="G170" s="17" t="s">
        <v>26</v>
      </c>
      <c r="H170" s="18" t="s">
        <v>603</v>
      </c>
      <c r="I170" s="17" t="s">
        <v>594</v>
      </c>
      <c r="J170" s="18" t="s">
        <v>604</v>
      </c>
      <c r="K170" s="17" t="s">
        <v>26</v>
      </c>
      <c r="L170" s="18" t="s">
        <v>605</v>
      </c>
      <c r="M170" s="77">
        <v>410204301</v>
      </c>
      <c r="N170" s="18" t="s">
        <v>606</v>
      </c>
      <c r="O170" s="94" t="s">
        <v>1212</v>
      </c>
      <c r="P170" s="121">
        <v>1</v>
      </c>
      <c r="Q170" s="121"/>
      <c r="R170" s="118">
        <f t="shared" si="6"/>
        <v>1</v>
      </c>
      <c r="S170" s="91">
        <v>2020003630101</v>
      </c>
      <c r="T170" s="16" t="s">
        <v>601</v>
      </c>
      <c r="U170" s="92" t="s">
        <v>602</v>
      </c>
      <c r="V170" s="30"/>
      <c r="W170" s="30"/>
      <c r="X170" s="30"/>
      <c r="Y170" s="30"/>
      <c r="Z170" s="30"/>
      <c r="AA170" s="30"/>
      <c r="AB170" s="28">
        <f>204000000+25000000+27776044+8787900+300000000</f>
        <v>565563944</v>
      </c>
      <c r="AC170" s="30"/>
      <c r="AD170" s="30"/>
      <c r="AE170" s="30"/>
      <c r="AF170" s="93">
        <f t="shared" si="7"/>
        <v>565563944</v>
      </c>
      <c r="AG170" s="143" t="s">
        <v>1224</v>
      </c>
      <c r="AI170" s="21"/>
      <c r="AJ170" s="21"/>
    </row>
    <row r="171" spans="1:36" ht="313.5" hidden="1" customHeight="1" x14ac:dyDescent="0.2">
      <c r="A171" s="162">
        <v>316</v>
      </c>
      <c r="B171" s="115" t="s">
        <v>1080</v>
      </c>
      <c r="C171" s="17">
        <v>1</v>
      </c>
      <c r="D171" s="168">
        <v>4102</v>
      </c>
      <c r="E171" s="18" t="s">
        <v>1089</v>
      </c>
      <c r="F171" s="92" t="s">
        <v>607</v>
      </c>
      <c r="G171" s="17" t="s">
        <v>26</v>
      </c>
      <c r="H171" s="18" t="s">
        <v>608</v>
      </c>
      <c r="I171" s="77">
        <v>4102038</v>
      </c>
      <c r="J171" s="18" t="s">
        <v>609</v>
      </c>
      <c r="K171" s="17" t="s">
        <v>26</v>
      </c>
      <c r="L171" s="90" t="s">
        <v>610</v>
      </c>
      <c r="M171" s="77">
        <v>410203800</v>
      </c>
      <c r="N171" s="18" t="s">
        <v>633</v>
      </c>
      <c r="O171" s="94" t="s">
        <v>1212</v>
      </c>
      <c r="P171" s="121">
        <v>1</v>
      </c>
      <c r="Q171" s="121"/>
      <c r="R171" s="118">
        <f t="shared" si="6"/>
        <v>1</v>
      </c>
      <c r="S171" s="91">
        <v>2020003630102</v>
      </c>
      <c r="T171" s="18" t="s">
        <v>611</v>
      </c>
      <c r="U171" s="92" t="s">
        <v>612</v>
      </c>
      <c r="V171" s="30"/>
      <c r="W171" s="30"/>
      <c r="X171" s="30"/>
      <c r="Y171" s="30"/>
      <c r="Z171" s="30"/>
      <c r="AA171" s="30"/>
      <c r="AB171" s="28">
        <f>210000000-30000000+13275000</f>
        <v>193275000</v>
      </c>
      <c r="AC171" s="30"/>
      <c r="AD171" s="30"/>
      <c r="AE171" s="30"/>
      <c r="AF171" s="93">
        <f t="shared" si="7"/>
        <v>193275000</v>
      </c>
      <c r="AG171" s="143" t="s">
        <v>1224</v>
      </c>
      <c r="AI171" s="21"/>
      <c r="AJ171" s="21"/>
    </row>
    <row r="172" spans="1:36" ht="117" hidden="1" customHeight="1" x14ac:dyDescent="0.2">
      <c r="A172" s="162">
        <v>316</v>
      </c>
      <c r="B172" s="115" t="s">
        <v>1080</v>
      </c>
      <c r="C172" s="17">
        <v>1</v>
      </c>
      <c r="D172" s="168">
        <v>4102</v>
      </c>
      <c r="E172" s="18" t="s">
        <v>1089</v>
      </c>
      <c r="F172" s="92" t="s">
        <v>613</v>
      </c>
      <c r="G172" s="17" t="s">
        <v>26</v>
      </c>
      <c r="H172" s="18" t="s">
        <v>614</v>
      </c>
      <c r="I172" s="77">
        <v>4102042</v>
      </c>
      <c r="J172" s="18" t="s">
        <v>615</v>
      </c>
      <c r="K172" s="17" t="s">
        <v>26</v>
      </c>
      <c r="L172" s="90" t="s">
        <v>616</v>
      </c>
      <c r="M172" s="77">
        <v>410204200</v>
      </c>
      <c r="N172" s="90" t="s">
        <v>617</v>
      </c>
      <c r="O172" s="94" t="s">
        <v>1212</v>
      </c>
      <c r="P172" s="121">
        <v>12</v>
      </c>
      <c r="Q172" s="121"/>
      <c r="R172" s="118">
        <f t="shared" si="6"/>
        <v>12</v>
      </c>
      <c r="S172" s="25">
        <v>2021003630010</v>
      </c>
      <c r="T172" s="16" t="s">
        <v>1191</v>
      </c>
      <c r="U172" s="106" t="s">
        <v>618</v>
      </c>
      <c r="V172" s="30"/>
      <c r="W172" s="30"/>
      <c r="X172" s="30"/>
      <c r="Y172" s="30"/>
      <c r="Z172" s="30"/>
      <c r="AA172" s="30"/>
      <c r="AB172" s="28">
        <f>18000000+3800000</f>
        <v>21800000</v>
      </c>
      <c r="AC172" s="30"/>
      <c r="AD172" s="30"/>
      <c r="AE172" s="30"/>
      <c r="AF172" s="93">
        <f t="shared" si="7"/>
        <v>21800000</v>
      </c>
      <c r="AG172" s="143" t="s">
        <v>1224</v>
      </c>
      <c r="AI172" s="21"/>
      <c r="AJ172" s="21"/>
    </row>
    <row r="173" spans="1:36" ht="117" hidden="1" customHeight="1" x14ac:dyDescent="0.2">
      <c r="A173" s="162">
        <v>316</v>
      </c>
      <c r="B173" s="115" t="s">
        <v>1080</v>
      </c>
      <c r="C173" s="17">
        <v>1</v>
      </c>
      <c r="D173" s="168">
        <v>4102</v>
      </c>
      <c r="E173" s="18" t="s">
        <v>1089</v>
      </c>
      <c r="F173" s="92" t="s">
        <v>619</v>
      </c>
      <c r="G173" s="17" t="s">
        <v>26</v>
      </c>
      <c r="H173" s="16" t="s">
        <v>620</v>
      </c>
      <c r="I173" s="77">
        <v>4102001</v>
      </c>
      <c r="J173" s="16" t="s">
        <v>621</v>
      </c>
      <c r="K173" s="17" t="s">
        <v>26</v>
      </c>
      <c r="L173" s="90" t="s">
        <v>622</v>
      </c>
      <c r="M173" s="77">
        <v>410200100</v>
      </c>
      <c r="N173" s="90" t="s">
        <v>623</v>
      </c>
      <c r="O173" s="94" t="s">
        <v>1212</v>
      </c>
      <c r="P173" s="121">
        <v>1</v>
      </c>
      <c r="Q173" s="121"/>
      <c r="R173" s="118">
        <f t="shared" si="6"/>
        <v>1</v>
      </c>
      <c r="S173" s="91">
        <v>2020003630033</v>
      </c>
      <c r="T173" s="16" t="s">
        <v>1190</v>
      </c>
      <c r="U173" s="87" t="s">
        <v>624</v>
      </c>
      <c r="V173" s="30"/>
      <c r="W173" s="30"/>
      <c r="X173" s="30"/>
      <c r="Y173" s="30"/>
      <c r="Z173" s="30"/>
      <c r="AA173" s="30"/>
      <c r="AB173" s="28">
        <f>20000000-5000000</f>
        <v>15000000</v>
      </c>
      <c r="AC173" s="30"/>
      <c r="AD173" s="30"/>
      <c r="AE173" s="30"/>
      <c r="AF173" s="93">
        <f t="shared" si="7"/>
        <v>15000000</v>
      </c>
      <c r="AG173" s="143" t="s">
        <v>1224</v>
      </c>
      <c r="AI173" s="21"/>
      <c r="AJ173" s="21"/>
    </row>
    <row r="174" spans="1:36" ht="288" hidden="1" customHeight="1" x14ac:dyDescent="0.2">
      <c r="A174" s="162">
        <v>316</v>
      </c>
      <c r="B174" s="115" t="s">
        <v>1080</v>
      </c>
      <c r="C174" s="17">
        <v>1</v>
      </c>
      <c r="D174" s="168">
        <v>4102</v>
      </c>
      <c r="E174" s="18" t="s">
        <v>1089</v>
      </c>
      <c r="F174" s="92" t="s">
        <v>625</v>
      </c>
      <c r="G174" s="17">
        <v>4102022</v>
      </c>
      <c r="H174" s="97" t="s">
        <v>626</v>
      </c>
      <c r="I174" s="98">
        <v>4102046</v>
      </c>
      <c r="J174" s="97" t="s">
        <v>627</v>
      </c>
      <c r="K174" s="98" t="s">
        <v>628</v>
      </c>
      <c r="L174" s="90" t="s">
        <v>629</v>
      </c>
      <c r="M174" s="98">
        <v>410204600</v>
      </c>
      <c r="N174" s="90" t="s">
        <v>630</v>
      </c>
      <c r="O174" s="94" t="s">
        <v>1213</v>
      </c>
      <c r="P174" s="121">
        <v>21</v>
      </c>
      <c r="Q174" s="121"/>
      <c r="R174" s="118">
        <f t="shared" si="6"/>
        <v>21</v>
      </c>
      <c r="S174" s="91">
        <v>2020003630033</v>
      </c>
      <c r="T174" s="16" t="s">
        <v>1190</v>
      </c>
      <c r="U174" s="87" t="s">
        <v>624</v>
      </c>
      <c r="V174" s="30"/>
      <c r="W174" s="30"/>
      <c r="X174" s="30"/>
      <c r="Y174" s="30"/>
      <c r="Z174" s="30"/>
      <c r="AA174" s="30"/>
      <c r="AB174" s="28">
        <v>18000000</v>
      </c>
      <c r="AC174" s="30"/>
      <c r="AD174" s="30"/>
      <c r="AE174" s="30"/>
      <c r="AF174" s="93">
        <f t="shared" si="7"/>
        <v>18000000</v>
      </c>
      <c r="AG174" s="143" t="s">
        <v>1224</v>
      </c>
      <c r="AI174" s="21"/>
      <c r="AJ174" s="21"/>
    </row>
    <row r="175" spans="1:36" ht="117" hidden="1" customHeight="1" x14ac:dyDescent="0.2">
      <c r="A175" s="162">
        <v>316</v>
      </c>
      <c r="B175" s="115" t="s">
        <v>1080</v>
      </c>
      <c r="C175" s="17">
        <v>1</v>
      </c>
      <c r="D175" s="168">
        <v>4102</v>
      </c>
      <c r="E175" s="18" t="s">
        <v>1089</v>
      </c>
      <c r="F175" s="92" t="s">
        <v>631</v>
      </c>
      <c r="G175" s="17">
        <v>4102038</v>
      </c>
      <c r="H175" s="18" t="s">
        <v>632</v>
      </c>
      <c r="I175" s="17">
        <v>4102038</v>
      </c>
      <c r="J175" s="18" t="s">
        <v>632</v>
      </c>
      <c r="K175" s="95">
        <v>410203800</v>
      </c>
      <c r="L175" s="90" t="s">
        <v>633</v>
      </c>
      <c r="M175" s="95">
        <v>410203800</v>
      </c>
      <c r="N175" s="90" t="s">
        <v>633</v>
      </c>
      <c r="O175" s="94" t="s">
        <v>1213</v>
      </c>
      <c r="P175" s="121">
        <v>10</v>
      </c>
      <c r="Q175" s="121"/>
      <c r="R175" s="118">
        <f t="shared" si="6"/>
        <v>10</v>
      </c>
      <c r="S175" s="91">
        <v>2020003630034</v>
      </c>
      <c r="T175" s="18" t="s">
        <v>1189</v>
      </c>
      <c r="U175" s="106" t="s">
        <v>634</v>
      </c>
      <c r="V175" s="30"/>
      <c r="W175" s="30"/>
      <c r="X175" s="30"/>
      <c r="Y175" s="30"/>
      <c r="Z175" s="30"/>
      <c r="AA175" s="30"/>
      <c r="AB175" s="28">
        <f>37000000+19045000</f>
        <v>56045000</v>
      </c>
      <c r="AC175" s="30"/>
      <c r="AD175" s="30"/>
      <c r="AE175" s="30"/>
      <c r="AF175" s="93">
        <f t="shared" si="7"/>
        <v>56045000</v>
      </c>
      <c r="AG175" s="143" t="s">
        <v>1224</v>
      </c>
      <c r="AI175" s="21"/>
      <c r="AJ175" s="21"/>
    </row>
    <row r="176" spans="1:36" ht="117" hidden="1" customHeight="1" x14ac:dyDescent="0.2">
      <c r="A176" s="162">
        <v>316</v>
      </c>
      <c r="B176" s="115" t="s">
        <v>1080</v>
      </c>
      <c r="C176" s="17">
        <v>1</v>
      </c>
      <c r="D176" s="168">
        <v>4103</v>
      </c>
      <c r="E176" s="18" t="s">
        <v>1123</v>
      </c>
      <c r="F176" s="92" t="s">
        <v>635</v>
      </c>
      <c r="G176" s="77">
        <v>4103059</v>
      </c>
      <c r="H176" s="18" t="s">
        <v>636</v>
      </c>
      <c r="I176" s="77">
        <v>4103059</v>
      </c>
      <c r="J176" s="18" t="s">
        <v>636</v>
      </c>
      <c r="K176" s="88">
        <v>410305900</v>
      </c>
      <c r="L176" s="90" t="s">
        <v>637</v>
      </c>
      <c r="M176" s="88">
        <v>410305900</v>
      </c>
      <c r="N176" s="90" t="s">
        <v>637</v>
      </c>
      <c r="O176" s="94" t="s">
        <v>1213</v>
      </c>
      <c r="P176" s="105">
        <v>16</v>
      </c>
      <c r="Q176" s="105"/>
      <c r="R176" s="118">
        <f t="shared" si="6"/>
        <v>16</v>
      </c>
      <c r="S176" s="91">
        <v>2020003630103</v>
      </c>
      <c r="T176" s="18" t="s">
        <v>1062</v>
      </c>
      <c r="U176" s="92" t="s">
        <v>638</v>
      </c>
      <c r="V176" s="30"/>
      <c r="W176" s="30"/>
      <c r="X176" s="30"/>
      <c r="Y176" s="30"/>
      <c r="Z176" s="30"/>
      <c r="AA176" s="30"/>
      <c r="AB176" s="28">
        <f>15000000+23500000</f>
        <v>38500000</v>
      </c>
      <c r="AC176" s="30"/>
      <c r="AD176" s="30"/>
      <c r="AE176" s="30"/>
      <c r="AF176" s="93">
        <f t="shared" si="7"/>
        <v>38500000</v>
      </c>
      <c r="AG176" s="143" t="s">
        <v>1224</v>
      </c>
      <c r="AI176" s="21"/>
      <c r="AJ176" s="21"/>
    </row>
    <row r="177" spans="1:36" ht="117" hidden="1" customHeight="1" x14ac:dyDescent="0.2">
      <c r="A177" s="162">
        <v>316</v>
      </c>
      <c r="B177" s="115" t="s">
        <v>1080</v>
      </c>
      <c r="C177" s="17">
        <v>1</v>
      </c>
      <c r="D177" s="168">
        <v>4103</v>
      </c>
      <c r="E177" s="18" t="s">
        <v>1123</v>
      </c>
      <c r="F177" s="92" t="s">
        <v>639</v>
      </c>
      <c r="G177" s="17">
        <v>4103052</v>
      </c>
      <c r="H177" s="18" t="s">
        <v>213</v>
      </c>
      <c r="I177" s="17">
        <v>4103052</v>
      </c>
      <c r="J177" s="18" t="s">
        <v>213</v>
      </c>
      <c r="K177" s="95">
        <v>410305202</v>
      </c>
      <c r="L177" s="90" t="s">
        <v>640</v>
      </c>
      <c r="M177" s="95">
        <v>410305202</v>
      </c>
      <c r="N177" s="90" t="s">
        <v>641</v>
      </c>
      <c r="O177" s="94" t="s">
        <v>1212</v>
      </c>
      <c r="P177" s="105">
        <v>1</v>
      </c>
      <c r="Q177" s="105"/>
      <c r="R177" s="118">
        <f t="shared" si="6"/>
        <v>1</v>
      </c>
      <c r="S177" s="91">
        <v>2020003630104</v>
      </c>
      <c r="T177" s="90" t="s">
        <v>1058</v>
      </c>
      <c r="U177" s="92" t="s">
        <v>642</v>
      </c>
      <c r="V177" s="30"/>
      <c r="W177" s="30"/>
      <c r="X177" s="30"/>
      <c r="Y177" s="30"/>
      <c r="Z177" s="30"/>
      <c r="AA177" s="30"/>
      <c r="AB177" s="28">
        <f>20000000+29300000</f>
        <v>49300000</v>
      </c>
      <c r="AC177" s="30"/>
      <c r="AD177" s="30"/>
      <c r="AE177" s="30"/>
      <c r="AF177" s="93">
        <f t="shared" si="7"/>
        <v>49300000</v>
      </c>
      <c r="AG177" s="143" t="s">
        <v>1224</v>
      </c>
      <c r="AI177" s="21"/>
      <c r="AJ177" s="21"/>
    </row>
    <row r="178" spans="1:36" ht="117" hidden="1" customHeight="1" x14ac:dyDescent="0.2">
      <c r="A178" s="162">
        <v>316</v>
      </c>
      <c r="B178" s="115" t="s">
        <v>1080</v>
      </c>
      <c r="C178" s="17">
        <v>1</v>
      </c>
      <c r="D178" s="168">
        <v>4103</v>
      </c>
      <c r="E178" s="18" t="s">
        <v>1123</v>
      </c>
      <c r="F178" s="92" t="s">
        <v>625</v>
      </c>
      <c r="G178" s="17">
        <v>4103050</v>
      </c>
      <c r="H178" s="18" t="s">
        <v>643</v>
      </c>
      <c r="I178" s="17">
        <v>4103050</v>
      </c>
      <c r="J178" s="18" t="s">
        <v>643</v>
      </c>
      <c r="K178" s="95">
        <v>410305001</v>
      </c>
      <c r="L178" s="90" t="s">
        <v>644</v>
      </c>
      <c r="M178" s="95">
        <v>410305001</v>
      </c>
      <c r="N178" s="90" t="s">
        <v>644</v>
      </c>
      <c r="O178" s="94" t="s">
        <v>1212</v>
      </c>
      <c r="P178" s="105">
        <v>12</v>
      </c>
      <c r="Q178" s="105"/>
      <c r="R178" s="118">
        <f t="shared" si="6"/>
        <v>12</v>
      </c>
      <c r="S178" s="91">
        <v>2020003630105</v>
      </c>
      <c r="T178" s="90" t="s">
        <v>1056</v>
      </c>
      <c r="U178" s="92" t="s">
        <v>645</v>
      </c>
      <c r="V178" s="30"/>
      <c r="W178" s="30"/>
      <c r="X178" s="30"/>
      <c r="Y178" s="30"/>
      <c r="Z178" s="30"/>
      <c r="AA178" s="30"/>
      <c r="AB178" s="28">
        <f>25000000+4000000</f>
        <v>29000000</v>
      </c>
      <c r="AC178" s="30"/>
      <c r="AD178" s="30"/>
      <c r="AE178" s="30"/>
      <c r="AF178" s="93">
        <f t="shared" si="7"/>
        <v>29000000</v>
      </c>
      <c r="AG178" s="143" t="s">
        <v>1224</v>
      </c>
      <c r="AI178" s="21"/>
      <c r="AJ178" s="21"/>
    </row>
    <row r="179" spans="1:36" ht="117" hidden="1" customHeight="1" x14ac:dyDescent="0.2">
      <c r="A179" s="162">
        <v>316</v>
      </c>
      <c r="B179" s="115" t="s">
        <v>1080</v>
      </c>
      <c r="C179" s="17">
        <v>1</v>
      </c>
      <c r="D179" s="168">
        <v>4103</v>
      </c>
      <c r="E179" s="18" t="s">
        <v>1123</v>
      </c>
      <c r="F179" s="92" t="s">
        <v>646</v>
      </c>
      <c r="G179" s="77">
        <v>4103058</v>
      </c>
      <c r="H179" s="18" t="s">
        <v>647</v>
      </c>
      <c r="I179" s="77">
        <v>4103058</v>
      </c>
      <c r="J179" s="18" t="s">
        <v>647</v>
      </c>
      <c r="K179" s="88">
        <v>410305800</v>
      </c>
      <c r="L179" s="90" t="s">
        <v>648</v>
      </c>
      <c r="M179" s="88">
        <v>410305800</v>
      </c>
      <c r="N179" s="90" t="s">
        <v>648</v>
      </c>
      <c r="O179" s="94" t="s">
        <v>1213</v>
      </c>
      <c r="P179" s="105">
        <v>4</v>
      </c>
      <c r="Q179" s="105">
        <v>1</v>
      </c>
      <c r="R179" s="118">
        <f t="shared" si="6"/>
        <v>5</v>
      </c>
      <c r="S179" s="91">
        <v>2020003630106</v>
      </c>
      <c r="T179" s="90" t="s">
        <v>1057</v>
      </c>
      <c r="U179" s="92" t="s">
        <v>649</v>
      </c>
      <c r="V179" s="30"/>
      <c r="W179" s="30"/>
      <c r="X179" s="30"/>
      <c r="Y179" s="30"/>
      <c r="Z179" s="30"/>
      <c r="AA179" s="30"/>
      <c r="AB179" s="28">
        <f>28000000+9000000-7000000</f>
        <v>30000000</v>
      </c>
      <c r="AC179" s="30"/>
      <c r="AD179" s="30"/>
      <c r="AE179" s="30"/>
      <c r="AF179" s="93">
        <f t="shared" si="7"/>
        <v>30000000</v>
      </c>
      <c r="AG179" s="143" t="s">
        <v>1224</v>
      </c>
      <c r="AI179" s="21"/>
      <c r="AJ179" s="21"/>
    </row>
    <row r="180" spans="1:36" ht="117" hidden="1" customHeight="1" x14ac:dyDescent="0.2">
      <c r="A180" s="162">
        <v>316</v>
      </c>
      <c r="B180" s="115" t="s">
        <v>1080</v>
      </c>
      <c r="C180" s="17">
        <v>1</v>
      </c>
      <c r="D180" s="168">
        <v>4103</v>
      </c>
      <c r="E180" s="18" t="s">
        <v>1123</v>
      </c>
      <c r="F180" s="87" t="s">
        <v>650</v>
      </c>
      <c r="G180" s="17" t="s">
        <v>26</v>
      </c>
      <c r="H180" s="18" t="s">
        <v>651</v>
      </c>
      <c r="I180" s="77">
        <v>4103060</v>
      </c>
      <c r="J180" s="18" t="s">
        <v>652</v>
      </c>
      <c r="K180" s="17" t="s">
        <v>26</v>
      </c>
      <c r="L180" s="90" t="s">
        <v>653</v>
      </c>
      <c r="M180" s="77">
        <v>410306000</v>
      </c>
      <c r="N180" s="90" t="s">
        <v>654</v>
      </c>
      <c r="O180" s="94" t="s">
        <v>1213</v>
      </c>
      <c r="P180" s="105">
        <v>5</v>
      </c>
      <c r="Q180" s="105"/>
      <c r="R180" s="118">
        <f t="shared" si="6"/>
        <v>5</v>
      </c>
      <c r="S180" s="91">
        <v>2020003630036</v>
      </c>
      <c r="T180" s="18" t="s">
        <v>1059</v>
      </c>
      <c r="U180" s="92" t="s">
        <v>655</v>
      </c>
      <c r="V180" s="30"/>
      <c r="W180" s="30"/>
      <c r="X180" s="30"/>
      <c r="Y180" s="30"/>
      <c r="Z180" s="30"/>
      <c r="AA180" s="30"/>
      <c r="AB180" s="28">
        <f>27000000+16724400</f>
        <v>43724400</v>
      </c>
      <c r="AC180" s="30"/>
      <c r="AD180" s="30"/>
      <c r="AE180" s="30"/>
      <c r="AF180" s="93">
        <f t="shared" si="7"/>
        <v>43724400</v>
      </c>
      <c r="AG180" s="143" t="s">
        <v>1224</v>
      </c>
      <c r="AI180" s="21"/>
      <c r="AJ180" s="21"/>
    </row>
    <row r="181" spans="1:36" ht="117" hidden="1" customHeight="1" x14ac:dyDescent="0.2">
      <c r="A181" s="162">
        <v>316</v>
      </c>
      <c r="B181" s="115" t="s">
        <v>1080</v>
      </c>
      <c r="C181" s="17">
        <v>1</v>
      </c>
      <c r="D181" s="168">
        <v>4103</v>
      </c>
      <c r="E181" s="18" t="s">
        <v>1123</v>
      </c>
      <c r="F181" s="87" t="s">
        <v>656</v>
      </c>
      <c r="G181" s="17" t="s">
        <v>26</v>
      </c>
      <c r="H181" s="18" t="s">
        <v>657</v>
      </c>
      <c r="I181" s="77">
        <v>4103060</v>
      </c>
      <c r="J181" s="18" t="s">
        <v>652</v>
      </c>
      <c r="K181" s="17" t="s">
        <v>26</v>
      </c>
      <c r="L181" s="90" t="s">
        <v>658</v>
      </c>
      <c r="M181" s="77">
        <v>410306000</v>
      </c>
      <c r="N181" s="90" t="s">
        <v>654</v>
      </c>
      <c r="O181" s="94" t="s">
        <v>1212</v>
      </c>
      <c r="P181" s="105">
        <v>2</v>
      </c>
      <c r="Q181" s="105"/>
      <c r="R181" s="118">
        <f t="shared" si="6"/>
        <v>2</v>
      </c>
      <c r="S181" s="91">
        <v>2020003630036</v>
      </c>
      <c r="T181" s="18" t="s">
        <v>1059</v>
      </c>
      <c r="U181" s="92" t="s">
        <v>655</v>
      </c>
      <c r="V181" s="30"/>
      <c r="W181" s="30"/>
      <c r="X181" s="30"/>
      <c r="Y181" s="30"/>
      <c r="Z181" s="30"/>
      <c r="AA181" s="30"/>
      <c r="AB181" s="28">
        <f>20000000+4300000+23275600</f>
        <v>47575600</v>
      </c>
      <c r="AC181" s="30"/>
      <c r="AD181" s="30"/>
      <c r="AE181" s="30"/>
      <c r="AF181" s="93">
        <f t="shared" si="7"/>
        <v>47575600</v>
      </c>
      <c r="AG181" s="143" t="s">
        <v>1224</v>
      </c>
      <c r="AI181" s="21"/>
      <c r="AJ181" s="21"/>
    </row>
    <row r="182" spans="1:36" ht="117" hidden="1" customHeight="1" x14ac:dyDescent="0.2">
      <c r="A182" s="162">
        <v>316</v>
      </c>
      <c r="B182" s="115" t="s">
        <v>1080</v>
      </c>
      <c r="C182" s="17">
        <v>1</v>
      </c>
      <c r="D182" s="168">
        <v>4103</v>
      </c>
      <c r="E182" s="18" t="s">
        <v>1123</v>
      </c>
      <c r="F182" s="92" t="s">
        <v>659</v>
      </c>
      <c r="G182" s="17" t="s">
        <v>26</v>
      </c>
      <c r="H182" s="18" t="s">
        <v>660</v>
      </c>
      <c r="I182" s="77">
        <v>4103052</v>
      </c>
      <c r="J182" s="18" t="s">
        <v>213</v>
      </c>
      <c r="K182" s="17" t="s">
        <v>26</v>
      </c>
      <c r="L182" s="90" t="s">
        <v>661</v>
      </c>
      <c r="M182" s="77">
        <v>410305202</v>
      </c>
      <c r="N182" s="90" t="s">
        <v>640</v>
      </c>
      <c r="O182" s="94" t="s">
        <v>1212</v>
      </c>
      <c r="P182" s="105">
        <v>1</v>
      </c>
      <c r="Q182" s="105"/>
      <c r="R182" s="118">
        <f t="shared" si="6"/>
        <v>1</v>
      </c>
      <c r="S182" s="91">
        <v>2020003630037</v>
      </c>
      <c r="T182" s="18" t="s">
        <v>1060</v>
      </c>
      <c r="U182" s="92" t="s">
        <v>662</v>
      </c>
      <c r="V182" s="30"/>
      <c r="W182" s="30"/>
      <c r="X182" s="30"/>
      <c r="Y182" s="30"/>
      <c r="Z182" s="30"/>
      <c r="AA182" s="30"/>
      <c r="AB182" s="28">
        <f>40000000+679946</f>
        <v>40679946</v>
      </c>
      <c r="AC182" s="30"/>
      <c r="AD182" s="30"/>
      <c r="AE182" s="30"/>
      <c r="AF182" s="93">
        <f t="shared" si="7"/>
        <v>40679946</v>
      </c>
      <c r="AG182" s="143" t="s">
        <v>1224</v>
      </c>
      <c r="AI182" s="21"/>
      <c r="AJ182" s="21"/>
    </row>
    <row r="183" spans="1:36" ht="117" hidden="1" customHeight="1" x14ac:dyDescent="0.2">
      <c r="A183" s="162">
        <v>316</v>
      </c>
      <c r="B183" s="115" t="s">
        <v>1080</v>
      </c>
      <c r="C183" s="17">
        <v>1</v>
      </c>
      <c r="D183" s="168">
        <v>4104</v>
      </c>
      <c r="E183" s="18" t="s">
        <v>1124</v>
      </c>
      <c r="F183" s="96" t="s">
        <v>1042</v>
      </c>
      <c r="G183" s="17">
        <v>4104035</v>
      </c>
      <c r="H183" s="18" t="s">
        <v>663</v>
      </c>
      <c r="I183" s="77">
        <v>4104020</v>
      </c>
      <c r="J183" s="18" t="s">
        <v>664</v>
      </c>
      <c r="K183" s="17">
        <v>410403500</v>
      </c>
      <c r="L183" s="90" t="s">
        <v>665</v>
      </c>
      <c r="M183" s="17">
        <v>410403500</v>
      </c>
      <c r="N183" s="90" t="s">
        <v>666</v>
      </c>
      <c r="O183" s="94" t="s">
        <v>1213</v>
      </c>
      <c r="P183" s="105">
        <v>115</v>
      </c>
      <c r="Q183" s="105">
        <v>10</v>
      </c>
      <c r="R183" s="118">
        <f t="shared" si="6"/>
        <v>125</v>
      </c>
      <c r="S183" s="91">
        <v>2020003630035</v>
      </c>
      <c r="T183" s="18" t="s">
        <v>1061</v>
      </c>
      <c r="U183" s="92" t="s">
        <v>667</v>
      </c>
      <c r="V183" s="30"/>
      <c r="W183" s="30"/>
      <c r="X183" s="30"/>
      <c r="Y183" s="30"/>
      <c r="Z183" s="30"/>
      <c r="AA183" s="30"/>
      <c r="AB183" s="28">
        <f>70000000</f>
        <v>70000000</v>
      </c>
      <c r="AC183" s="30"/>
      <c r="AD183" s="30"/>
      <c r="AE183" s="30"/>
      <c r="AF183" s="93">
        <f t="shared" si="7"/>
        <v>70000000</v>
      </c>
      <c r="AG183" s="143" t="s">
        <v>1224</v>
      </c>
      <c r="AI183" s="21"/>
      <c r="AJ183" s="21"/>
    </row>
    <row r="184" spans="1:36" ht="117" hidden="1" customHeight="1" x14ac:dyDescent="0.2">
      <c r="A184" s="162">
        <v>316</v>
      </c>
      <c r="B184" s="115" t="s">
        <v>1080</v>
      </c>
      <c r="C184" s="17">
        <v>1</v>
      </c>
      <c r="D184" s="168">
        <v>4104</v>
      </c>
      <c r="E184" s="18" t="s">
        <v>1124</v>
      </c>
      <c r="F184" s="96" t="s">
        <v>1043</v>
      </c>
      <c r="G184" s="17">
        <v>4104035</v>
      </c>
      <c r="H184" s="18" t="s">
        <v>663</v>
      </c>
      <c r="I184" s="77">
        <v>4104020</v>
      </c>
      <c r="J184" s="18" t="s">
        <v>664</v>
      </c>
      <c r="K184" s="17" t="s">
        <v>26</v>
      </c>
      <c r="L184" s="96" t="s">
        <v>668</v>
      </c>
      <c r="M184" s="77">
        <v>410402000</v>
      </c>
      <c r="N184" s="90" t="s">
        <v>666</v>
      </c>
      <c r="O184" s="94" t="s">
        <v>1212</v>
      </c>
      <c r="P184" s="105">
        <v>12</v>
      </c>
      <c r="Q184" s="105"/>
      <c r="R184" s="118">
        <f t="shared" si="6"/>
        <v>12</v>
      </c>
      <c r="S184" s="91">
        <v>2020003630035</v>
      </c>
      <c r="T184" s="18" t="s">
        <v>1061</v>
      </c>
      <c r="U184" s="92" t="s">
        <v>667</v>
      </c>
      <c r="V184" s="30"/>
      <c r="W184" s="30"/>
      <c r="X184" s="30"/>
      <c r="Y184" s="30"/>
      <c r="Z184" s="30"/>
      <c r="AA184" s="30"/>
      <c r="AB184" s="28">
        <f>111000000+33196186.61+17310000+10578332</f>
        <v>172084518.61000001</v>
      </c>
      <c r="AC184" s="30"/>
      <c r="AD184" s="30"/>
      <c r="AE184" s="30"/>
      <c r="AF184" s="93">
        <f t="shared" si="7"/>
        <v>172084518.61000001</v>
      </c>
      <c r="AG184" s="143" t="s">
        <v>1224</v>
      </c>
      <c r="AI184" s="21"/>
      <c r="AJ184" s="21"/>
    </row>
    <row r="185" spans="1:36" ht="117" hidden="1" customHeight="1" x14ac:dyDescent="0.2">
      <c r="A185" s="162">
        <v>316</v>
      </c>
      <c r="B185" s="115" t="s">
        <v>1080</v>
      </c>
      <c r="C185" s="17">
        <v>1</v>
      </c>
      <c r="D185" s="168">
        <v>4104</v>
      </c>
      <c r="E185" s="18" t="s">
        <v>1124</v>
      </c>
      <c r="F185" s="92" t="s">
        <v>669</v>
      </c>
      <c r="G185" s="88">
        <v>4104026</v>
      </c>
      <c r="H185" s="18" t="s">
        <v>670</v>
      </c>
      <c r="I185" s="77">
        <v>4104027</v>
      </c>
      <c r="J185" s="18" t="s">
        <v>671</v>
      </c>
      <c r="K185" s="17" t="s">
        <v>26</v>
      </c>
      <c r="L185" s="90" t="s">
        <v>672</v>
      </c>
      <c r="M185" s="77">
        <v>410402700</v>
      </c>
      <c r="N185" s="90" t="s">
        <v>673</v>
      </c>
      <c r="O185" s="94" t="s">
        <v>1212</v>
      </c>
      <c r="P185" s="105">
        <v>12</v>
      </c>
      <c r="Q185" s="105"/>
      <c r="R185" s="118">
        <f t="shared" si="6"/>
        <v>12</v>
      </c>
      <c r="S185" s="91">
        <v>2020003630012</v>
      </c>
      <c r="T185" s="18" t="s">
        <v>1047</v>
      </c>
      <c r="U185" s="92" t="s">
        <v>674</v>
      </c>
      <c r="V185" s="30"/>
      <c r="W185" s="30"/>
      <c r="X185" s="30"/>
      <c r="Y185" s="30"/>
      <c r="Z185" s="30"/>
      <c r="AA185" s="30"/>
      <c r="AB185" s="28">
        <f>45000000+15000000</f>
        <v>60000000</v>
      </c>
      <c r="AC185" s="30"/>
      <c r="AD185" s="30"/>
      <c r="AE185" s="30"/>
      <c r="AF185" s="93">
        <f t="shared" si="7"/>
        <v>60000000</v>
      </c>
      <c r="AG185" s="143" t="s">
        <v>1224</v>
      </c>
      <c r="AI185" s="21"/>
      <c r="AJ185" s="21"/>
    </row>
    <row r="186" spans="1:36" ht="117" hidden="1" customHeight="1" x14ac:dyDescent="0.2">
      <c r="A186" s="162">
        <v>316</v>
      </c>
      <c r="B186" s="115" t="s">
        <v>1080</v>
      </c>
      <c r="C186" s="17">
        <v>1</v>
      </c>
      <c r="D186" s="168">
        <v>4104</v>
      </c>
      <c r="E186" s="18" t="s">
        <v>1124</v>
      </c>
      <c r="F186" s="92" t="s">
        <v>675</v>
      </c>
      <c r="G186" s="77">
        <v>4104015</v>
      </c>
      <c r="H186" s="97" t="s">
        <v>676</v>
      </c>
      <c r="I186" s="77">
        <v>4104015</v>
      </c>
      <c r="J186" s="97" t="s">
        <v>677</v>
      </c>
      <c r="K186" s="88">
        <v>410401500</v>
      </c>
      <c r="L186" s="90" t="s">
        <v>678</v>
      </c>
      <c r="M186" s="88">
        <v>410401500</v>
      </c>
      <c r="N186" s="90" t="s">
        <v>679</v>
      </c>
      <c r="O186" s="94" t="s">
        <v>1212</v>
      </c>
      <c r="P186" s="105">
        <v>7500</v>
      </c>
      <c r="Q186" s="105"/>
      <c r="R186" s="118">
        <f t="shared" si="6"/>
        <v>7500</v>
      </c>
      <c r="S186" s="91">
        <v>2020003630109</v>
      </c>
      <c r="T186" s="18" t="s">
        <v>1188</v>
      </c>
      <c r="U186" s="92" t="s">
        <v>680</v>
      </c>
      <c r="V186" s="30"/>
      <c r="W186" s="30"/>
      <c r="X186" s="30"/>
      <c r="Y186" s="30"/>
      <c r="Z186" s="30"/>
      <c r="AA186" s="30"/>
      <c r="AB186" s="28">
        <f>20000000+28700000+10000000+50000000+17286490+10578334</f>
        <v>136564824</v>
      </c>
      <c r="AC186" s="30"/>
      <c r="AD186" s="30"/>
      <c r="AE186" s="30"/>
      <c r="AF186" s="93">
        <f t="shared" si="7"/>
        <v>136564824</v>
      </c>
      <c r="AG186" s="143" t="s">
        <v>1224</v>
      </c>
      <c r="AI186" s="21"/>
      <c r="AJ186" s="21"/>
    </row>
    <row r="187" spans="1:36" ht="117" hidden="1" customHeight="1" x14ac:dyDescent="0.2">
      <c r="A187" s="162">
        <v>316</v>
      </c>
      <c r="B187" s="115" t="s">
        <v>1080</v>
      </c>
      <c r="C187" s="17">
        <v>1</v>
      </c>
      <c r="D187" s="168">
        <v>4104</v>
      </c>
      <c r="E187" s="18" t="s">
        <v>1124</v>
      </c>
      <c r="F187" s="92" t="s">
        <v>681</v>
      </c>
      <c r="G187" s="17" t="s">
        <v>26</v>
      </c>
      <c r="H187" s="97" t="s">
        <v>682</v>
      </c>
      <c r="I187" s="17">
        <v>4104008</v>
      </c>
      <c r="J187" s="97" t="s">
        <v>683</v>
      </c>
      <c r="K187" s="17" t="s">
        <v>26</v>
      </c>
      <c r="L187" s="96" t="s">
        <v>684</v>
      </c>
      <c r="M187" s="17">
        <v>410400800</v>
      </c>
      <c r="N187" s="96" t="s">
        <v>685</v>
      </c>
      <c r="O187" s="94" t="s">
        <v>1212</v>
      </c>
      <c r="P187" s="105">
        <v>12</v>
      </c>
      <c r="Q187" s="105"/>
      <c r="R187" s="118">
        <f t="shared" si="6"/>
        <v>12</v>
      </c>
      <c r="S187" s="91">
        <v>2020003630109</v>
      </c>
      <c r="T187" s="18" t="s">
        <v>1188</v>
      </c>
      <c r="U187" s="92" t="s">
        <v>680</v>
      </c>
      <c r="V187" s="30">
        <f>3393118962+1400016+658216640+511986149.98+1479555993.59</f>
        <v>6044277761.5699997</v>
      </c>
      <c r="W187" s="30"/>
      <c r="X187" s="30"/>
      <c r="Y187" s="30"/>
      <c r="Z187" s="30"/>
      <c r="AA187" s="30"/>
      <c r="AB187" s="28"/>
      <c r="AC187" s="30"/>
      <c r="AD187" s="30"/>
      <c r="AE187" s="30"/>
      <c r="AF187" s="93">
        <f t="shared" si="7"/>
        <v>6044277761.5699997</v>
      </c>
      <c r="AG187" s="143" t="s">
        <v>1224</v>
      </c>
      <c r="AI187" s="21"/>
      <c r="AJ187" s="21"/>
    </row>
    <row r="188" spans="1:36" ht="117" hidden="1" customHeight="1" x14ac:dyDescent="0.2">
      <c r="A188" s="162">
        <v>316</v>
      </c>
      <c r="B188" s="115" t="s">
        <v>1080</v>
      </c>
      <c r="C188" s="17">
        <v>2</v>
      </c>
      <c r="D188" s="168">
        <v>1702</v>
      </c>
      <c r="E188" s="18" t="s">
        <v>1097</v>
      </c>
      <c r="F188" s="92" t="s">
        <v>686</v>
      </c>
      <c r="G188" s="77">
        <v>1702011</v>
      </c>
      <c r="H188" s="18" t="s">
        <v>687</v>
      </c>
      <c r="I188" s="77">
        <v>1702011</v>
      </c>
      <c r="J188" s="18" t="s">
        <v>687</v>
      </c>
      <c r="K188" s="88" t="s">
        <v>688</v>
      </c>
      <c r="L188" s="90" t="s">
        <v>689</v>
      </c>
      <c r="M188" s="88">
        <v>170201102</v>
      </c>
      <c r="N188" s="90" t="s">
        <v>689</v>
      </c>
      <c r="O188" s="94" t="s">
        <v>1213</v>
      </c>
      <c r="P188" s="105">
        <v>10</v>
      </c>
      <c r="Q188" s="105"/>
      <c r="R188" s="118">
        <f t="shared" si="6"/>
        <v>10</v>
      </c>
      <c r="S188" s="91">
        <v>2020003630113</v>
      </c>
      <c r="T188" s="18" t="s">
        <v>1187</v>
      </c>
      <c r="U188" s="92" t="s">
        <v>690</v>
      </c>
      <c r="V188" s="30"/>
      <c r="W188" s="30"/>
      <c r="X188" s="30"/>
      <c r="Y188" s="30"/>
      <c r="Z188" s="30"/>
      <c r="AA188" s="30"/>
      <c r="AB188" s="28">
        <v>18000000</v>
      </c>
      <c r="AC188" s="30"/>
      <c r="AD188" s="30"/>
      <c r="AE188" s="30"/>
      <c r="AF188" s="93">
        <f t="shared" si="7"/>
        <v>18000000</v>
      </c>
      <c r="AG188" s="143" t="s">
        <v>1224</v>
      </c>
      <c r="AI188" s="21"/>
      <c r="AJ188" s="21"/>
    </row>
    <row r="189" spans="1:36" ht="117" hidden="1" customHeight="1" x14ac:dyDescent="0.2">
      <c r="A189" s="162">
        <v>316</v>
      </c>
      <c r="B189" s="115" t="s">
        <v>1080</v>
      </c>
      <c r="C189" s="17">
        <v>2</v>
      </c>
      <c r="D189" s="168">
        <v>3604</v>
      </c>
      <c r="E189" s="18" t="s">
        <v>1119</v>
      </c>
      <c r="F189" s="92" t="s">
        <v>691</v>
      </c>
      <c r="G189" s="17">
        <v>3604006</v>
      </c>
      <c r="H189" s="18" t="s">
        <v>692</v>
      </c>
      <c r="I189" s="17">
        <v>3604006</v>
      </c>
      <c r="J189" s="18" t="s">
        <v>692</v>
      </c>
      <c r="K189" s="88">
        <v>360400600</v>
      </c>
      <c r="L189" s="90" t="s">
        <v>231</v>
      </c>
      <c r="M189" s="88">
        <v>360400600</v>
      </c>
      <c r="N189" s="90" t="s">
        <v>231</v>
      </c>
      <c r="O189" s="94" t="s">
        <v>1213</v>
      </c>
      <c r="P189" s="126">
        <v>250</v>
      </c>
      <c r="Q189" s="126"/>
      <c r="R189" s="118">
        <f t="shared" si="6"/>
        <v>250</v>
      </c>
      <c r="S189" s="91">
        <v>2020003630114</v>
      </c>
      <c r="T189" s="97" t="s">
        <v>693</v>
      </c>
      <c r="U189" s="106" t="s">
        <v>694</v>
      </c>
      <c r="V189" s="30"/>
      <c r="W189" s="30"/>
      <c r="X189" s="30"/>
      <c r="Y189" s="30"/>
      <c r="Z189" s="30"/>
      <c r="AA189" s="30"/>
      <c r="AB189" s="28">
        <f>18000000-4000000+10000000</f>
        <v>24000000</v>
      </c>
      <c r="AC189" s="30"/>
      <c r="AD189" s="30"/>
      <c r="AE189" s="30"/>
      <c r="AF189" s="93">
        <f t="shared" si="7"/>
        <v>24000000</v>
      </c>
      <c r="AG189" s="143" t="s">
        <v>1224</v>
      </c>
      <c r="AI189" s="21"/>
      <c r="AJ189" s="21"/>
    </row>
    <row r="190" spans="1:36" ht="117" hidden="1" customHeight="1" x14ac:dyDescent="0.2">
      <c r="A190" s="162">
        <v>316</v>
      </c>
      <c r="B190" s="115" t="s">
        <v>1080</v>
      </c>
      <c r="C190" s="17">
        <v>4</v>
      </c>
      <c r="D190" s="168">
        <v>4502</v>
      </c>
      <c r="E190" s="18" t="s">
        <v>1091</v>
      </c>
      <c r="F190" s="92" t="s">
        <v>695</v>
      </c>
      <c r="G190" s="77">
        <v>4502001</v>
      </c>
      <c r="H190" s="18" t="s">
        <v>51</v>
      </c>
      <c r="I190" s="77">
        <v>4502001</v>
      </c>
      <c r="J190" s="18" t="s">
        <v>51</v>
      </c>
      <c r="K190" s="17" t="s">
        <v>26</v>
      </c>
      <c r="L190" s="90" t="s">
        <v>696</v>
      </c>
      <c r="M190" s="77">
        <v>450200108</v>
      </c>
      <c r="N190" s="90" t="s">
        <v>697</v>
      </c>
      <c r="O190" s="94" t="s">
        <v>1213</v>
      </c>
      <c r="P190" s="105">
        <v>1</v>
      </c>
      <c r="Q190" s="105">
        <v>1</v>
      </c>
      <c r="R190" s="118">
        <f t="shared" si="6"/>
        <v>2</v>
      </c>
      <c r="S190" s="91">
        <v>2020003630115</v>
      </c>
      <c r="T190" s="18" t="s">
        <v>1184</v>
      </c>
      <c r="U190" s="92" t="s">
        <v>698</v>
      </c>
      <c r="V190" s="30"/>
      <c r="W190" s="30"/>
      <c r="X190" s="30"/>
      <c r="Y190" s="30"/>
      <c r="Z190" s="30"/>
      <c r="AA190" s="30"/>
      <c r="AB190" s="28">
        <f>18000000-3000000</f>
        <v>15000000</v>
      </c>
      <c r="AC190" s="30"/>
      <c r="AD190" s="30"/>
      <c r="AE190" s="30"/>
      <c r="AF190" s="93">
        <f t="shared" si="7"/>
        <v>15000000</v>
      </c>
      <c r="AG190" s="143" t="s">
        <v>1224</v>
      </c>
      <c r="AI190" s="21"/>
      <c r="AJ190" s="21"/>
    </row>
    <row r="191" spans="1:36" ht="168" hidden="1" customHeight="1" x14ac:dyDescent="0.2">
      <c r="A191" s="162">
        <v>316</v>
      </c>
      <c r="B191" s="115" t="s">
        <v>1080</v>
      </c>
      <c r="C191" s="17">
        <v>4</v>
      </c>
      <c r="D191" s="168">
        <v>4502</v>
      </c>
      <c r="E191" s="18" t="s">
        <v>1091</v>
      </c>
      <c r="F191" s="96" t="s">
        <v>704</v>
      </c>
      <c r="G191" s="17" t="s">
        <v>26</v>
      </c>
      <c r="H191" s="18" t="s">
        <v>699</v>
      </c>
      <c r="I191" s="98">
        <v>4502038</v>
      </c>
      <c r="J191" s="18" t="s">
        <v>700</v>
      </c>
      <c r="K191" s="17" t="s">
        <v>26</v>
      </c>
      <c r="L191" s="90" t="s">
        <v>701</v>
      </c>
      <c r="M191" s="95">
        <v>450203800</v>
      </c>
      <c r="N191" s="90" t="s">
        <v>702</v>
      </c>
      <c r="O191" s="94" t="s">
        <v>1212</v>
      </c>
      <c r="P191" s="105">
        <v>1</v>
      </c>
      <c r="Q191" s="105"/>
      <c r="R191" s="118">
        <f t="shared" si="6"/>
        <v>1</v>
      </c>
      <c r="S191" s="25">
        <v>2021003630008</v>
      </c>
      <c r="T191" s="18" t="s">
        <v>1185</v>
      </c>
      <c r="U191" s="92" t="s">
        <v>703</v>
      </c>
      <c r="V191" s="30"/>
      <c r="W191" s="30"/>
      <c r="X191" s="30"/>
      <c r="Y191" s="30"/>
      <c r="Z191" s="30"/>
      <c r="AA191" s="30"/>
      <c r="AB191" s="28">
        <f>95000000-18000000+9900000</f>
        <v>86900000</v>
      </c>
      <c r="AC191" s="30"/>
      <c r="AD191" s="30"/>
      <c r="AE191" s="30"/>
      <c r="AF191" s="93">
        <f t="shared" si="7"/>
        <v>86900000</v>
      </c>
      <c r="AG191" s="143" t="s">
        <v>1224</v>
      </c>
      <c r="AI191" s="21"/>
      <c r="AJ191" s="21"/>
    </row>
    <row r="192" spans="1:36" ht="168" hidden="1" customHeight="1" thickBot="1" x14ac:dyDescent="0.25">
      <c r="A192" s="165">
        <v>316</v>
      </c>
      <c r="B192" s="166" t="s">
        <v>1080</v>
      </c>
      <c r="C192" s="170">
        <v>4</v>
      </c>
      <c r="D192" s="168">
        <v>4502</v>
      </c>
      <c r="E192" s="18" t="s">
        <v>1091</v>
      </c>
      <c r="F192" s="92" t="s">
        <v>704</v>
      </c>
      <c r="G192" s="17" t="s">
        <v>26</v>
      </c>
      <c r="H192" s="18" t="s">
        <v>705</v>
      </c>
      <c r="I192" s="98">
        <v>4502038</v>
      </c>
      <c r="J192" s="18" t="s">
        <v>700</v>
      </c>
      <c r="K192" s="17" t="s">
        <v>26</v>
      </c>
      <c r="L192" s="90" t="s">
        <v>706</v>
      </c>
      <c r="M192" s="95">
        <v>450203800</v>
      </c>
      <c r="N192" s="90" t="s">
        <v>702</v>
      </c>
      <c r="O192" s="94" t="s">
        <v>1212</v>
      </c>
      <c r="P192" s="105">
        <v>1</v>
      </c>
      <c r="Q192" s="105"/>
      <c r="R192" s="118">
        <f t="shared" si="6"/>
        <v>1</v>
      </c>
      <c r="S192" s="25">
        <v>2021003630007</v>
      </c>
      <c r="T192" s="92" t="s">
        <v>1186</v>
      </c>
      <c r="U192" s="92" t="s">
        <v>707</v>
      </c>
      <c r="V192" s="30"/>
      <c r="W192" s="30"/>
      <c r="X192" s="30"/>
      <c r="Y192" s="30"/>
      <c r="Z192" s="30"/>
      <c r="AA192" s="30"/>
      <c r="AB192" s="28">
        <v>90000000</v>
      </c>
      <c r="AC192" s="30"/>
      <c r="AD192" s="30"/>
      <c r="AE192" s="30"/>
      <c r="AF192" s="93">
        <f t="shared" si="7"/>
        <v>90000000</v>
      </c>
      <c r="AG192" s="143" t="s">
        <v>1224</v>
      </c>
      <c r="AI192" s="21"/>
      <c r="AJ192" s="21"/>
    </row>
    <row r="193" spans="1:36" ht="117" hidden="1" customHeight="1" x14ac:dyDescent="0.2">
      <c r="A193" s="17">
        <v>316</v>
      </c>
      <c r="B193" s="115" t="s">
        <v>1080</v>
      </c>
      <c r="C193" s="17">
        <v>4</v>
      </c>
      <c r="D193" s="168">
        <v>4502</v>
      </c>
      <c r="E193" s="18" t="s">
        <v>1091</v>
      </c>
      <c r="F193" s="96" t="s">
        <v>1044</v>
      </c>
      <c r="G193" s="77">
        <v>4502024</v>
      </c>
      <c r="H193" s="18" t="s">
        <v>241</v>
      </c>
      <c r="I193" s="77">
        <v>4502024</v>
      </c>
      <c r="J193" s="18" t="s">
        <v>241</v>
      </c>
      <c r="K193" s="17" t="s">
        <v>26</v>
      </c>
      <c r="L193" s="90" t="s">
        <v>708</v>
      </c>
      <c r="M193" s="77">
        <v>450202401</v>
      </c>
      <c r="N193" s="18" t="s">
        <v>709</v>
      </c>
      <c r="O193" s="94" t="s">
        <v>1212</v>
      </c>
      <c r="P193" s="105">
        <v>1</v>
      </c>
      <c r="Q193" s="105"/>
      <c r="R193" s="118">
        <f t="shared" si="6"/>
        <v>1</v>
      </c>
      <c r="S193" s="25">
        <v>2020003630111</v>
      </c>
      <c r="T193" s="92" t="s">
        <v>1145</v>
      </c>
      <c r="U193" s="92" t="s">
        <v>710</v>
      </c>
      <c r="V193" s="30"/>
      <c r="W193" s="30"/>
      <c r="X193" s="30"/>
      <c r="Y193" s="30"/>
      <c r="Z193" s="30"/>
      <c r="AA193" s="30"/>
      <c r="AB193" s="28">
        <f>33000000+29843334</f>
        <v>62843334</v>
      </c>
      <c r="AC193" s="30"/>
      <c r="AD193" s="30"/>
      <c r="AE193" s="30"/>
      <c r="AF193" s="93">
        <f t="shared" si="7"/>
        <v>62843334</v>
      </c>
      <c r="AG193" s="143" t="s">
        <v>1224</v>
      </c>
      <c r="AI193" s="21"/>
      <c r="AJ193" s="21"/>
    </row>
    <row r="194" spans="1:36" ht="117" hidden="1" customHeight="1" x14ac:dyDescent="0.2">
      <c r="A194" s="17">
        <v>316</v>
      </c>
      <c r="B194" s="115" t="s">
        <v>1080</v>
      </c>
      <c r="C194" s="17">
        <v>4</v>
      </c>
      <c r="D194" s="168">
        <v>4502</v>
      </c>
      <c r="E194" s="18" t="s">
        <v>1091</v>
      </c>
      <c r="F194" s="32" t="s">
        <v>1045</v>
      </c>
      <c r="G194" s="77">
        <v>4502024</v>
      </c>
      <c r="H194" s="18" t="s">
        <v>241</v>
      </c>
      <c r="I194" s="77">
        <v>4502024</v>
      </c>
      <c r="J194" s="18" t="s">
        <v>241</v>
      </c>
      <c r="K194" s="17" t="s">
        <v>26</v>
      </c>
      <c r="L194" s="90" t="s">
        <v>711</v>
      </c>
      <c r="M194" s="77">
        <v>450202401</v>
      </c>
      <c r="N194" s="90" t="s">
        <v>709</v>
      </c>
      <c r="O194" s="94" t="s">
        <v>1212</v>
      </c>
      <c r="P194" s="105">
        <v>1</v>
      </c>
      <c r="Q194" s="105"/>
      <c r="R194" s="118">
        <f t="shared" si="6"/>
        <v>1</v>
      </c>
      <c r="S194" s="91">
        <v>2020003630112</v>
      </c>
      <c r="T194" s="18" t="s">
        <v>712</v>
      </c>
      <c r="U194" s="92" t="s">
        <v>713</v>
      </c>
      <c r="V194" s="30"/>
      <c r="W194" s="30"/>
      <c r="X194" s="30"/>
      <c r="Y194" s="30"/>
      <c r="Z194" s="30"/>
      <c r="AA194" s="30"/>
      <c r="AB194" s="28">
        <f>40000000+30000000+13851781</f>
        <v>83851781</v>
      </c>
      <c r="AC194" s="30"/>
      <c r="AD194" s="30"/>
      <c r="AE194" s="30"/>
      <c r="AF194" s="93">
        <f t="shared" si="7"/>
        <v>83851781</v>
      </c>
      <c r="AG194" s="143" t="s">
        <v>1224</v>
      </c>
      <c r="AI194" s="21"/>
      <c r="AJ194" s="21"/>
    </row>
    <row r="195" spans="1:36" ht="117" hidden="1" customHeight="1" x14ac:dyDescent="0.2">
      <c r="A195" s="17">
        <v>318</v>
      </c>
      <c r="B195" s="115" t="s">
        <v>1083</v>
      </c>
      <c r="C195" s="17">
        <v>1</v>
      </c>
      <c r="D195" s="168">
        <v>1903</v>
      </c>
      <c r="E195" s="18" t="s">
        <v>1104</v>
      </c>
      <c r="F195" s="92" t="s">
        <v>715</v>
      </c>
      <c r="G195" s="17">
        <v>1903009</v>
      </c>
      <c r="H195" s="18" t="s">
        <v>716</v>
      </c>
      <c r="I195" s="17">
        <v>1903009</v>
      </c>
      <c r="J195" s="18" t="s">
        <v>717</v>
      </c>
      <c r="K195" s="95">
        <v>190300900</v>
      </c>
      <c r="L195" s="90" t="s">
        <v>718</v>
      </c>
      <c r="M195" s="95">
        <v>190300900</v>
      </c>
      <c r="N195" s="90" t="s">
        <v>1063</v>
      </c>
      <c r="O195" s="94" t="s">
        <v>1213</v>
      </c>
      <c r="P195" s="105">
        <v>960</v>
      </c>
      <c r="Q195" s="105"/>
      <c r="R195" s="118">
        <f t="shared" si="6"/>
        <v>960</v>
      </c>
      <c r="S195" s="91">
        <v>2020003630116</v>
      </c>
      <c r="T195" s="18" t="s">
        <v>719</v>
      </c>
      <c r="U195" s="92" t="s">
        <v>720</v>
      </c>
      <c r="V195" s="30"/>
      <c r="W195" s="30"/>
      <c r="X195" s="30">
        <f>65000000+8127667</f>
        <v>73127667</v>
      </c>
      <c r="Y195" s="30"/>
      <c r="Z195" s="30"/>
      <c r="AA195" s="30"/>
      <c r="AB195" s="28"/>
      <c r="AC195" s="30"/>
      <c r="AD195" s="30"/>
      <c r="AE195" s="30"/>
      <c r="AF195" s="93">
        <f t="shared" si="7"/>
        <v>73127667</v>
      </c>
      <c r="AG195" s="143" t="s">
        <v>1226</v>
      </c>
      <c r="AI195" s="21"/>
      <c r="AJ195" s="21"/>
    </row>
    <row r="196" spans="1:36" ht="117" hidden="1" customHeight="1" x14ac:dyDescent="0.2">
      <c r="A196" s="17">
        <v>318</v>
      </c>
      <c r="B196" s="115" t="s">
        <v>1083</v>
      </c>
      <c r="C196" s="17">
        <v>1</v>
      </c>
      <c r="D196" s="168">
        <v>1903</v>
      </c>
      <c r="E196" s="18" t="s">
        <v>1104</v>
      </c>
      <c r="F196" s="92" t="s">
        <v>721</v>
      </c>
      <c r="G196" s="17">
        <v>1903031</v>
      </c>
      <c r="H196" s="18" t="s">
        <v>722</v>
      </c>
      <c r="I196" s="17">
        <v>1903031</v>
      </c>
      <c r="J196" s="18" t="s">
        <v>722</v>
      </c>
      <c r="K196" s="95">
        <v>190303100</v>
      </c>
      <c r="L196" s="90" t="s">
        <v>723</v>
      </c>
      <c r="M196" s="95">
        <v>190303100</v>
      </c>
      <c r="N196" s="90" t="s">
        <v>723</v>
      </c>
      <c r="O196" s="94" t="s">
        <v>1212</v>
      </c>
      <c r="P196" s="105">
        <v>12</v>
      </c>
      <c r="Q196" s="105"/>
      <c r="R196" s="118">
        <f t="shared" si="6"/>
        <v>12</v>
      </c>
      <c r="S196" s="91">
        <v>2020003630116</v>
      </c>
      <c r="T196" s="18" t="s">
        <v>719</v>
      </c>
      <c r="U196" s="92" t="s">
        <v>720</v>
      </c>
      <c r="V196" s="30"/>
      <c r="W196" s="30"/>
      <c r="X196" s="49">
        <f>64000000+35317635</f>
        <v>99317635</v>
      </c>
      <c r="Y196" s="30"/>
      <c r="Z196" s="30"/>
      <c r="AA196" s="30"/>
      <c r="AB196" s="28"/>
      <c r="AC196" s="30"/>
      <c r="AD196" s="30"/>
      <c r="AE196" s="30"/>
      <c r="AF196" s="93">
        <f t="shared" si="7"/>
        <v>99317635</v>
      </c>
      <c r="AG196" s="143" t="s">
        <v>1226</v>
      </c>
      <c r="AI196" s="21"/>
      <c r="AJ196" s="21"/>
    </row>
    <row r="197" spans="1:36" s="19" customFormat="1" ht="117" hidden="1" customHeight="1" x14ac:dyDescent="0.25">
      <c r="A197" s="17">
        <v>318</v>
      </c>
      <c r="B197" s="115" t="s">
        <v>1083</v>
      </c>
      <c r="C197" s="17">
        <v>1</v>
      </c>
      <c r="D197" s="168">
        <v>1903</v>
      </c>
      <c r="E197" s="18" t="s">
        <v>1104</v>
      </c>
      <c r="F197" s="92" t="s">
        <v>724</v>
      </c>
      <c r="G197" s="17">
        <v>1903023</v>
      </c>
      <c r="H197" s="18" t="s">
        <v>725</v>
      </c>
      <c r="I197" s="17">
        <v>1903023</v>
      </c>
      <c r="J197" s="18" t="s">
        <v>725</v>
      </c>
      <c r="K197" s="95">
        <v>190302300</v>
      </c>
      <c r="L197" s="90" t="s">
        <v>726</v>
      </c>
      <c r="M197" s="95">
        <v>190302300</v>
      </c>
      <c r="N197" s="90" t="s">
        <v>726</v>
      </c>
      <c r="O197" s="94" t="s">
        <v>1212</v>
      </c>
      <c r="P197" s="105">
        <v>12</v>
      </c>
      <c r="Q197" s="105"/>
      <c r="R197" s="118">
        <f t="shared" si="6"/>
        <v>12</v>
      </c>
      <c r="S197" s="91">
        <v>2020003630116</v>
      </c>
      <c r="T197" s="18" t="s">
        <v>719</v>
      </c>
      <c r="U197" s="92" t="s">
        <v>720</v>
      </c>
      <c r="V197" s="30"/>
      <c r="W197" s="30"/>
      <c r="X197" s="49">
        <f>40000000+200000000+4184864</f>
        <v>244184864</v>
      </c>
      <c r="Y197" s="30"/>
      <c r="Z197" s="30"/>
      <c r="AA197" s="30"/>
      <c r="AB197" s="49"/>
      <c r="AC197" s="30"/>
      <c r="AD197" s="30"/>
      <c r="AE197" s="30"/>
      <c r="AF197" s="93">
        <f t="shared" si="7"/>
        <v>244184864</v>
      </c>
      <c r="AG197" s="143" t="s">
        <v>1226</v>
      </c>
      <c r="AJ197" s="21"/>
    </row>
    <row r="198" spans="1:36" s="19" customFormat="1" ht="117" hidden="1" customHeight="1" x14ac:dyDescent="0.25">
      <c r="A198" s="17">
        <v>318</v>
      </c>
      <c r="B198" s="115" t="s">
        <v>1083</v>
      </c>
      <c r="C198" s="17">
        <v>1</v>
      </c>
      <c r="D198" s="168">
        <v>1903</v>
      </c>
      <c r="E198" s="18" t="s">
        <v>1104</v>
      </c>
      <c r="F198" s="92" t="s">
        <v>727</v>
      </c>
      <c r="G198" s="17" t="s">
        <v>26</v>
      </c>
      <c r="H198" s="18" t="s">
        <v>728</v>
      </c>
      <c r="I198" s="17">
        <v>1903050</v>
      </c>
      <c r="J198" s="18" t="s">
        <v>1209</v>
      </c>
      <c r="K198" s="17" t="s">
        <v>26</v>
      </c>
      <c r="L198" s="90" t="s">
        <v>729</v>
      </c>
      <c r="M198" s="95">
        <v>190305000</v>
      </c>
      <c r="N198" s="90" t="s">
        <v>1169</v>
      </c>
      <c r="O198" s="94" t="s">
        <v>1212</v>
      </c>
      <c r="P198" s="105">
        <v>12</v>
      </c>
      <c r="Q198" s="105"/>
      <c r="R198" s="118">
        <f t="shared" si="6"/>
        <v>12</v>
      </c>
      <c r="S198" s="91">
        <v>2020003630116</v>
      </c>
      <c r="T198" s="18" t="s">
        <v>719</v>
      </c>
      <c r="U198" s="92" t="s">
        <v>720</v>
      </c>
      <c r="V198" s="30"/>
      <c r="W198" s="30"/>
      <c r="X198" s="30">
        <v>40000000</v>
      </c>
      <c r="Y198" s="49"/>
      <c r="Z198" s="30"/>
      <c r="AA198" s="30"/>
      <c r="AB198" s="49"/>
      <c r="AC198" s="30"/>
      <c r="AD198" s="30"/>
      <c r="AE198" s="30"/>
      <c r="AF198" s="93">
        <f t="shared" si="7"/>
        <v>40000000</v>
      </c>
      <c r="AG198" s="143" t="s">
        <v>1226</v>
      </c>
      <c r="AJ198" s="21"/>
    </row>
    <row r="199" spans="1:36" s="19" customFormat="1" ht="117" hidden="1" customHeight="1" x14ac:dyDescent="0.25">
      <c r="A199" s="17">
        <v>318</v>
      </c>
      <c r="B199" s="115" t="s">
        <v>1083</v>
      </c>
      <c r="C199" s="17">
        <v>1</v>
      </c>
      <c r="D199" s="168">
        <v>1903</v>
      </c>
      <c r="E199" s="18" t="s">
        <v>1104</v>
      </c>
      <c r="F199" s="92" t="s">
        <v>715</v>
      </c>
      <c r="G199" s="17" t="s">
        <v>26</v>
      </c>
      <c r="H199" s="18" t="s">
        <v>730</v>
      </c>
      <c r="I199" s="17">
        <v>1903038</v>
      </c>
      <c r="J199" s="18" t="s">
        <v>731</v>
      </c>
      <c r="K199" s="17" t="s">
        <v>26</v>
      </c>
      <c r="L199" s="90" t="s">
        <v>732</v>
      </c>
      <c r="M199" s="17">
        <v>190303801</v>
      </c>
      <c r="N199" s="90" t="s">
        <v>733</v>
      </c>
      <c r="O199" s="94" t="s">
        <v>1212</v>
      </c>
      <c r="P199" s="91">
        <v>1</v>
      </c>
      <c r="Q199" s="91"/>
      <c r="R199" s="118">
        <f t="shared" si="6"/>
        <v>1</v>
      </c>
      <c r="S199" s="91">
        <v>2020003630116</v>
      </c>
      <c r="T199" s="18" t="s">
        <v>719</v>
      </c>
      <c r="U199" s="92" t="s">
        <v>720</v>
      </c>
      <c r="V199" s="30"/>
      <c r="W199" s="30"/>
      <c r="X199" s="30">
        <v>0</v>
      </c>
      <c r="Y199" s="30"/>
      <c r="Z199" s="30"/>
      <c r="AA199" s="30"/>
      <c r="AB199" s="49"/>
      <c r="AC199" s="30"/>
      <c r="AD199" s="30"/>
      <c r="AE199" s="30">
        <v>1783090149.6199999</v>
      </c>
      <c r="AF199" s="93">
        <f t="shared" si="7"/>
        <v>1783090149.6199999</v>
      </c>
      <c r="AG199" s="143" t="s">
        <v>1226</v>
      </c>
      <c r="AJ199" s="21"/>
    </row>
    <row r="200" spans="1:36" s="19" customFormat="1" ht="117" hidden="1" customHeight="1" x14ac:dyDescent="0.25">
      <c r="A200" s="17">
        <v>318</v>
      </c>
      <c r="B200" s="115" t="s">
        <v>1083</v>
      </c>
      <c r="C200" s="17">
        <v>1</v>
      </c>
      <c r="D200" s="168">
        <v>1903</v>
      </c>
      <c r="E200" s="18" t="s">
        <v>1104</v>
      </c>
      <c r="F200" s="92" t="s">
        <v>734</v>
      </c>
      <c r="G200" s="17">
        <v>1903038</v>
      </c>
      <c r="H200" s="18" t="s">
        <v>731</v>
      </c>
      <c r="I200" s="17">
        <v>1903038</v>
      </c>
      <c r="J200" s="18" t="s">
        <v>731</v>
      </c>
      <c r="K200" s="95">
        <v>190303801</v>
      </c>
      <c r="L200" s="18" t="s">
        <v>735</v>
      </c>
      <c r="M200" s="95">
        <v>190303801</v>
      </c>
      <c r="N200" s="90" t="s">
        <v>735</v>
      </c>
      <c r="O200" s="94" t="s">
        <v>1212</v>
      </c>
      <c r="P200" s="105">
        <v>11</v>
      </c>
      <c r="Q200" s="105"/>
      <c r="R200" s="118">
        <f t="shared" ref="R200:R263" si="8">P200+Q200</f>
        <v>11</v>
      </c>
      <c r="S200" s="91">
        <v>2020003630116</v>
      </c>
      <c r="T200" s="18" t="s">
        <v>719</v>
      </c>
      <c r="U200" s="92" t="s">
        <v>720</v>
      </c>
      <c r="V200" s="30"/>
      <c r="W200" s="30"/>
      <c r="X200" s="39">
        <f>30000000+9430000</f>
        <v>39430000</v>
      </c>
      <c r="Y200" s="30"/>
      <c r="Z200" s="30"/>
      <c r="AA200" s="30"/>
      <c r="AB200" s="49"/>
      <c r="AC200" s="30"/>
      <c r="AD200" s="30"/>
      <c r="AE200" s="30"/>
      <c r="AF200" s="93">
        <f t="shared" si="7"/>
        <v>39430000</v>
      </c>
      <c r="AG200" s="143" t="s">
        <v>1226</v>
      </c>
      <c r="AJ200" s="21"/>
    </row>
    <row r="201" spans="1:36" s="19" customFormat="1" ht="117" hidden="1" customHeight="1" x14ac:dyDescent="0.25">
      <c r="A201" s="17">
        <v>318</v>
      </c>
      <c r="B201" s="115" t="s">
        <v>1083</v>
      </c>
      <c r="C201" s="17">
        <v>1</v>
      </c>
      <c r="D201" s="168">
        <v>1903</v>
      </c>
      <c r="E201" s="18" t="s">
        <v>1104</v>
      </c>
      <c r="F201" s="92" t="s">
        <v>721</v>
      </c>
      <c r="G201" s="17">
        <v>1903027</v>
      </c>
      <c r="H201" s="18" t="s">
        <v>736</v>
      </c>
      <c r="I201" s="17">
        <v>1903027</v>
      </c>
      <c r="J201" s="18" t="s">
        <v>736</v>
      </c>
      <c r="K201" s="95">
        <v>190302700</v>
      </c>
      <c r="L201" s="90" t="s">
        <v>737</v>
      </c>
      <c r="M201" s="95">
        <v>190302700</v>
      </c>
      <c r="N201" s="90" t="s">
        <v>737</v>
      </c>
      <c r="O201" s="94" t="s">
        <v>1212</v>
      </c>
      <c r="P201" s="105">
        <v>5</v>
      </c>
      <c r="Q201" s="105"/>
      <c r="R201" s="118">
        <f t="shared" si="8"/>
        <v>5</v>
      </c>
      <c r="S201" s="91">
        <v>2020003630116</v>
      </c>
      <c r="T201" s="18" t="s">
        <v>719</v>
      </c>
      <c r="U201" s="92" t="s">
        <v>720</v>
      </c>
      <c r="V201" s="30"/>
      <c r="W201" s="30"/>
      <c r="X201" s="39">
        <f>20000000+11254167</f>
        <v>31254167</v>
      </c>
      <c r="Y201" s="30"/>
      <c r="Z201" s="30"/>
      <c r="AA201" s="30"/>
      <c r="AB201" s="49"/>
      <c r="AC201" s="30"/>
      <c r="AD201" s="30"/>
      <c r="AE201" s="30"/>
      <c r="AF201" s="93">
        <f t="shared" si="7"/>
        <v>31254167</v>
      </c>
      <c r="AG201" s="143" t="s">
        <v>1226</v>
      </c>
      <c r="AJ201" s="21"/>
    </row>
    <row r="202" spans="1:36" s="19" customFormat="1" ht="117" hidden="1" customHeight="1" x14ac:dyDescent="0.25">
      <c r="A202" s="17">
        <v>318</v>
      </c>
      <c r="B202" s="115" t="s">
        <v>1083</v>
      </c>
      <c r="C202" s="17">
        <v>1</v>
      </c>
      <c r="D202" s="168">
        <v>1903</v>
      </c>
      <c r="E202" s="18" t="s">
        <v>1104</v>
      </c>
      <c r="F202" s="96" t="s">
        <v>768</v>
      </c>
      <c r="G202" s="17">
        <v>1903011</v>
      </c>
      <c r="H202" s="18" t="s">
        <v>739</v>
      </c>
      <c r="I202" s="17">
        <v>1903011</v>
      </c>
      <c r="J202" s="18" t="s">
        <v>739</v>
      </c>
      <c r="K202" s="95">
        <v>190301100</v>
      </c>
      <c r="L202" s="90" t="s">
        <v>740</v>
      </c>
      <c r="M202" s="95">
        <v>190301100</v>
      </c>
      <c r="N202" s="90" t="s">
        <v>741</v>
      </c>
      <c r="O202" s="94" t="s">
        <v>1212</v>
      </c>
      <c r="P202" s="105">
        <v>140</v>
      </c>
      <c r="Q202" s="105"/>
      <c r="R202" s="118">
        <f t="shared" si="8"/>
        <v>140</v>
      </c>
      <c r="S202" s="91">
        <v>2020003630116</v>
      </c>
      <c r="T202" s="18" t="s">
        <v>719</v>
      </c>
      <c r="U202" s="92" t="s">
        <v>720</v>
      </c>
      <c r="V202" s="30"/>
      <c r="W202" s="30"/>
      <c r="X202" s="30">
        <f>40000000+10917167</f>
        <v>50917167</v>
      </c>
      <c r="Y202" s="30"/>
      <c r="Z202" s="30"/>
      <c r="AA202" s="30"/>
      <c r="AB202" s="49"/>
      <c r="AC202" s="30"/>
      <c r="AD202" s="30"/>
      <c r="AE202" s="30"/>
      <c r="AF202" s="93">
        <f t="shared" si="7"/>
        <v>50917167</v>
      </c>
      <c r="AG202" s="143" t="s">
        <v>1226</v>
      </c>
      <c r="AJ202" s="21"/>
    </row>
    <row r="203" spans="1:36" s="19" customFormat="1" ht="117" hidden="1" customHeight="1" x14ac:dyDescent="0.25">
      <c r="A203" s="17">
        <v>318</v>
      </c>
      <c r="B203" s="115" t="s">
        <v>1083</v>
      </c>
      <c r="C203" s="17">
        <v>1</v>
      </c>
      <c r="D203" s="168">
        <v>1903</v>
      </c>
      <c r="E203" s="18" t="s">
        <v>1104</v>
      </c>
      <c r="F203" s="92" t="s">
        <v>742</v>
      </c>
      <c r="G203" s="95">
        <v>1903001</v>
      </c>
      <c r="H203" s="90" t="s">
        <v>60</v>
      </c>
      <c r="I203" s="90">
        <v>1903001</v>
      </c>
      <c r="J203" s="95" t="s">
        <v>60</v>
      </c>
      <c r="K203" s="90">
        <v>190300100</v>
      </c>
      <c r="L203" s="90" t="s">
        <v>743</v>
      </c>
      <c r="M203" s="95">
        <v>190300100</v>
      </c>
      <c r="N203" s="90" t="s">
        <v>743</v>
      </c>
      <c r="O203" s="94" t="s">
        <v>1212</v>
      </c>
      <c r="P203" s="105">
        <v>1</v>
      </c>
      <c r="Q203" s="105"/>
      <c r="R203" s="118">
        <f t="shared" si="8"/>
        <v>1</v>
      </c>
      <c r="S203" s="91">
        <v>2020003630117</v>
      </c>
      <c r="T203" s="18" t="s">
        <v>744</v>
      </c>
      <c r="U203" s="92" t="s">
        <v>745</v>
      </c>
      <c r="V203" s="30"/>
      <c r="W203" s="30"/>
      <c r="X203" s="30">
        <f>90000000+60877501</f>
        <v>150877501</v>
      </c>
      <c r="Y203" s="30"/>
      <c r="Z203" s="30"/>
      <c r="AA203" s="30"/>
      <c r="AB203" s="28">
        <v>20000000</v>
      </c>
      <c r="AC203" s="30"/>
      <c r="AD203" s="30"/>
      <c r="AE203" s="30"/>
      <c r="AF203" s="93">
        <f t="shared" si="7"/>
        <v>170877501</v>
      </c>
      <c r="AG203" s="143" t="s">
        <v>1226</v>
      </c>
      <c r="AJ203" s="21"/>
    </row>
    <row r="204" spans="1:36" s="19" customFormat="1" ht="117" hidden="1" customHeight="1" x14ac:dyDescent="0.25">
      <c r="A204" s="17">
        <v>318</v>
      </c>
      <c r="B204" s="115" t="s">
        <v>1083</v>
      </c>
      <c r="C204" s="17">
        <v>1</v>
      </c>
      <c r="D204" s="168">
        <v>1903</v>
      </c>
      <c r="E204" s="18" t="s">
        <v>1104</v>
      </c>
      <c r="F204" s="92" t="s">
        <v>746</v>
      </c>
      <c r="G204" s="17">
        <v>1903015</v>
      </c>
      <c r="H204" s="18" t="s">
        <v>747</v>
      </c>
      <c r="I204" s="17">
        <v>1903015</v>
      </c>
      <c r="J204" s="18" t="s">
        <v>747</v>
      </c>
      <c r="K204" s="95">
        <v>190301500</v>
      </c>
      <c r="L204" s="18" t="s">
        <v>748</v>
      </c>
      <c r="M204" s="95">
        <v>190301500</v>
      </c>
      <c r="N204" s="90" t="s">
        <v>748</v>
      </c>
      <c r="O204" s="94" t="s">
        <v>1212</v>
      </c>
      <c r="P204" s="105">
        <v>12</v>
      </c>
      <c r="Q204" s="105"/>
      <c r="R204" s="118">
        <f t="shared" si="8"/>
        <v>12</v>
      </c>
      <c r="S204" s="91">
        <v>2020003630117</v>
      </c>
      <c r="T204" s="18" t="s">
        <v>744</v>
      </c>
      <c r="U204" s="92" t="s">
        <v>745</v>
      </c>
      <c r="V204" s="30"/>
      <c r="W204" s="30"/>
      <c r="X204" s="30">
        <f>190000000-606682.1+67092516.1</f>
        <v>256485834</v>
      </c>
      <c r="Y204" s="30"/>
      <c r="Z204" s="30"/>
      <c r="AA204" s="30"/>
      <c r="AB204" s="28">
        <v>30000000</v>
      </c>
      <c r="AC204" s="30"/>
      <c r="AD204" s="30"/>
      <c r="AE204" s="30"/>
      <c r="AF204" s="93">
        <f t="shared" si="7"/>
        <v>286485834</v>
      </c>
      <c r="AG204" s="143" t="s">
        <v>1226</v>
      </c>
      <c r="AJ204" s="21"/>
    </row>
    <row r="205" spans="1:36" s="19" customFormat="1" ht="117" hidden="1" customHeight="1" x14ac:dyDescent="0.25">
      <c r="A205" s="17">
        <v>318</v>
      </c>
      <c r="B205" s="115" t="s">
        <v>1083</v>
      </c>
      <c r="C205" s="17">
        <v>1</v>
      </c>
      <c r="D205" s="168">
        <v>1903</v>
      </c>
      <c r="E205" s="18" t="s">
        <v>1104</v>
      </c>
      <c r="F205" s="92" t="s">
        <v>749</v>
      </c>
      <c r="G205" s="17">
        <v>1903012</v>
      </c>
      <c r="H205" s="18" t="s">
        <v>750</v>
      </c>
      <c r="I205" s="17">
        <v>1903012</v>
      </c>
      <c r="J205" s="18" t="s">
        <v>750</v>
      </c>
      <c r="K205" s="95">
        <v>190301200</v>
      </c>
      <c r="L205" s="18" t="s">
        <v>751</v>
      </c>
      <c r="M205" s="95">
        <v>190301200</v>
      </c>
      <c r="N205" s="90" t="s">
        <v>751</v>
      </c>
      <c r="O205" s="94" t="s">
        <v>1212</v>
      </c>
      <c r="P205" s="105">
        <v>4000</v>
      </c>
      <c r="Q205" s="105"/>
      <c r="R205" s="118">
        <f t="shared" si="8"/>
        <v>4000</v>
      </c>
      <c r="S205" s="91">
        <v>2020003630118</v>
      </c>
      <c r="T205" s="18" t="s">
        <v>1052</v>
      </c>
      <c r="U205" s="92" t="s">
        <v>752</v>
      </c>
      <c r="V205" s="30"/>
      <c r="W205" s="30"/>
      <c r="X205" s="49">
        <f>600000000+3000000+17323100+8500000+193172933</f>
        <v>821996033</v>
      </c>
      <c r="Y205" s="49"/>
      <c r="Z205" s="30"/>
      <c r="AA205" s="30"/>
      <c r="AB205" s="28">
        <f>100000000+200000000</f>
        <v>300000000</v>
      </c>
      <c r="AC205" s="30"/>
      <c r="AD205" s="30"/>
      <c r="AE205" s="113"/>
      <c r="AF205" s="93">
        <f t="shared" si="7"/>
        <v>1121996033</v>
      </c>
      <c r="AG205" s="143" t="s">
        <v>1226</v>
      </c>
      <c r="AJ205" s="21"/>
    </row>
    <row r="206" spans="1:36" s="19" customFormat="1" ht="117" hidden="1" customHeight="1" x14ac:dyDescent="0.25">
      <c r="A206" s="17">
        <v>318</v>
      </c>
      <c r="B206" s="115" t="s">
        <v>1083</v>
      </c>
      <c r="C206" s="17">
        <v>1</v>
      </c>
      <c r="D206" s="168">
        <v>1903</v>
      </c>
      <c r="E206" s="18" t="s">
        <v>1104</v>
      </c>
      <c r="F206" s="92" t="s">
        <v>753</v>
      </c>
      <c r="G206" s="17">
        <v>1903016</v>
      </c>
      <c r="H206" s="18" t="s">
        <v>754</v>
      </c>
      <c r="I206" s="17">
        <v>1903016</v>
      </c>
      <c r="J206" s="18" t="s">
        <v>754</v>
      </c>
      <c r="K206" s="95">
        <v>190301600</v>
      </c>
      <c r="L206" s="90" t="s">
        <v>755</v>
      </c>
      <c r="M206" s="95">
        <v>190301600</v>
      </c>
      <c r="N206" s="90" t="s">
        <v>755</v>
      </c>
      <c r="O206" s="94" t="s">
        <v>1212</v>
      </c>
      <c r="P206" s="105">
        <v>240</v>
      </c>
      <c r="Q206" s="105"/>
      <c r="R206" s="118">
        <f t="shared" si="8"/>
        <v>240</v>
      </c>
      <c r="S206" s="91">
        <v>2020003630118</v>
      </c>
      <c r="T206" s="18" t="s">
        <v>1052</v>
      </c>
      <c r="U206" s="92" t="s">
        <v>752</v>
      </c>
      <c r="V206" s="30"/>
      <c r="W206" s="30"/>
      <c r="X206" s="49">
        <f>94000000+50000</f>
        <v>94050000</v>
      </c>
      <c r="Y206" s="30"/>
      <c r="Z206" s="30"/>
      <c r="AA206" s="30"/>
      <c r="AB206" s="28"/>
      <c r="AC206" s="30"/>
      <c r="AD206" s="30"/>
      <c r="AE206" s="30"/>
      <c r="AF206" s="93">
        <f t="shared" si="7"/>
        <v>94050000</v>
      </c>
      <c r="AG206" s="143" t="s">
        <v>1226</v>
      </c>
      <c r="AJ206" s="21"/>
    </row>
    <row r="207" spans="1:36" s="19" customFormat="1" ht="117" hidden="1" customHeight="1" x14ac:dyDescent="0.25">
      <c r="A207" s="17">
        <v>318</v>
      </c>
      <c r="B207" s="115" t="s">
        <v>1083</v>
      </c>
      <c r="C207" s="17">
        <v>1</v>
      </c>
      <c r="D207" s="168">
        <v>1903</v>
      </c>
      <c r="E207" s="18" t="s">
        <v>1104</v>
      </c>
      <c r="F207" s="92" t="s">
        <v>738</v>
      </c>
      <c r="G207" s="95">
        <v>1903011</v>
      </c>
      <c r="H207" s="18" t="s">
        <v>739</v>
      </c>
      <c r="I207" s="95">
        <v>1903011</v>
      </c>
      <c r="J207" s="95" t="s">
        <v>739</v>
      </c>
      <c r="K207" s="95">
        <v>190301101</v>
      </c>
      <c r="L207" s="18" t="s">
        <v>756</v>
      </c>
      <c r="M207" s="95">
        <v>190301101</v>
      </c>
      <c r="N207" s="90" t="s">
        <v>756</v>
      </c>
      <c r="O207" s="94" t="s">
        <v>1212</v>
      </c>
      <c r="P207" s="105">
        <v>12</v>
      </c>
      <c r="Q207" s="105"/>
      <c r="R207" s="118">
        <f t="shared" si="8"/>
        <v>12</v>
      </c>
      <c r="S207" s="91">
        <v>2020003630118</v>
      </c>
      <c r="T207" s="18" t="s">
        <v>1052</v>
      </c>
      <c r="U207" s="92" t="s">
        <v>752</v>
      </c>
      <c r="V207" s="30"/>
      <c r="W207" s="30"/>
      <c r="X207" s="49">
        <v>110000000</v>
      </c>
      <c r="Y207" s="30"/>
      <c r="Z207" s="30"/>
      <c r="AA207" s="30"/>
      <c r="AB207" s="28"/>
      <c r="AC207" s="30"/>
      <c r="AD207" s="30"/>
      <c r="AE207" s="30"/>
      <c r="AF207" s="93">
        <f t="shared" si="7"/>
        <v>110000000</v>
      </c>
      <c r="AG207" s="143" t="s">
        <v>1226</v>
      </c>
      <c r="AJ207" s="21"/>
    </row>
    <row r="208" spans="1:36" s="19" customFormat="1" ht="117" hidden="1" customHeight="1" x14ac:dyDescent="0.25">
      <c r="A208" s="17">
        <v>318</v>
      </c>
      <c r="B208" s="115" t="s">
        <v>1083</v>
      </c>
      <c r="C208" s="17">
        <v>1</v>
      </c>
      <c r="D208" s="168">
        <v>1903</v>
      </c>
      <c r="E208" s="18" t="s">
        <v>1104</v>
      </c>
      <c r="F208" s="92" t="s">
        <v>738</v>
      </c>
      <c r="G208" s="17">
        <v>1903034</v>
      </c>
      <c r="H208" s="18" t="s">
        <v>74</v>
      </c>
      <c r="I208" s="17">
        <v>1903034</v>
      </c>
      <c r="J208" s="18" t="s">
        <v>74</v>
      </c>
      <c r="K208" s="95">
        <v>190303400</v>
      </c>
      <c r="L208" s="90" t="s">
        <v>757</v>
      </c>
      <c r="M208" s="95">
        <v>190303400</v>
      </c>
      <c r="N208" s="90" t="s">
        <v>757</v>
      </c>
      <c r="O208" s="94" t="s">
        <v>1212</v>
      </c>
      <c r="P208" s="105">
        <v>12</v>
      </c>
      <c r="Q208" s="105"/>
      <c r="R208" s="118">
        <f t="shared" si="8"/>
        <v>12</v>
      </c>
      <c r="S208" s="91">
        <v>2020003630119</v>
      </c>
      <c r="T208" s="18" t="s">
        <v>758</v>
      </c>
      <c r="U208" s="92" t="s">
        <v>759</v>
      </c>
      <c r="V208" s="30"/>
      <c r="W208" s="30"/>
      <c r="X208" s="30"/>
      <c r="Y208" s="49"/>
      <c r="Z208" s="30"/>
      <c r="AA208" s="30"/>
      <c r="AB208" s="28">
        <v>96954000</v>
      </c>
      <c r="AC208" s="30"/>
      <c r="AD208" s="30"/>
      <c r="AE208" s="30"/>
      <c r="AF208" s="93">
        <f t="shared" si="7"/>
        <v>96954000</v>
      </c>
      <c r="AG208" s="143" t="s">
        <v>1226</v>
      </c>
      <c r="AJ208" s="21"/>
    </row>
    <row r="209" spans="1:36" s="19" customFormat="1" ht="117" hidden="1" customHeight="1" x14ac:dyDescent="0.25">
      <c r="A209" s="17">
        <v>318</v>
      </c>
      <c r="B209" s="115" t="s">
        <v>1083</v>
      </c>
      <c r="C209" s="17">
        <v>1</v>
      </c>
      <c r="D209" s="168">
        <v>1903</v>
      </c>
      <c r="E209" s="18" t="s">
        <v>1104</v>
      </c>
      <c r="F209" s="92" t="s">
        <v>760</v>
      </c>
      <c r="G209" s="17">
        <v>1903045</v>
      </c>
      <c r="H209" s="18" t="s">
        <v>761</v>
      </c>
      <c r="I209" s="17">
        <v>1903045</v>
      </c>
      <c r="J209" s="18" t="s">
        <v>761</v>
      </c>
      <c r="K209" s="95">
        <v>190304500</v>
      </c>
      <c r="L209" s="90" t="s">
        <v>762</v>
      </c>
      <c r="M209" s="95">
        <v>190304500</v>
      </c>
      <c r="N209" s="90" t="s">
        <v>762</v>
      </c>
      <c r="O209" s="94" t="s">
        <v>1213</v>
      </c>
      <c r="P209" s="105">
        <v>1057</v>
      </c>
      <c r="Q209" s="105">
        <v>236</v>
      </c>
      <c r="R209" s="118">
        <f t="shared" si="8"/>
        <v>1293</v>
      </c>
      <c r="S209" s="91">
        <v>2020003630120</v>
      </c>
      <c r="T209" s="18" t="s">
        <v>763</v>
      </c>
      <c r="U209" s="92" t="s">
        <v>764</v>
      </c>
      <c r="V209" s="30"/>
      <c r="W209" s="30"/>
      <c r="X209" s="30"/>
      <c r="Y209" s="49"/>
      <c r="Z209" s="30"/>
      <c r="AA209" s="30"/>
      <c r="AB209" s="28">
        <f>19636000+25000000</f>
        <v>44636000</v>
      </c>
      <c r="AC209" s="30"/>
      <c r="AD209" s="30"/>
      <c r="AE209" s="30"/>
      <c r="AF209" s="93">
        <f t="shared" si="7"/>
        <v>44636000</v>
      </c>
      <c r="AG209" s="143" t="s">
        <v>1226</v>
      </c>
      <c r="AJ209" s="21"/>
    </row>
    <row r="210" spans="1:36" s="19" customFormat="1" ht="117" hidden="1" customHeight="1" x14ac:dyDescent="0.25">
      <c r="A210" s="17">
        <v>318</v>
      </c>
      <c r="B210" s="115" t="s">
        <v>1083</v>
      </c>
      <c r="C210" s="17">
        <v>1</v>
      </c>
      <c r="D210" s="168">
        <v>1903</v>
      </c>
      <c r="E210" s="18" t="s">
        <v>1104</v>
      </c>
      <c r="F210" s="92" t="s">
        <v>742</v>
      </c>
      <c r="G210" s="95">
        <v>1903001</v>
      </c>
      <c r="H210" s="90" t="s">
        <v>60</v>
      </c>
      <c r="I210" s="17">
        <v>1903001</v>
      </c>
      <c r="J210" s="18" t="s">
        <v>60</v>
      </c>
      <c r="K210" s="95">
        <v>190300100</v>
      </c>
      <c r="L210" s="90" t="s">
        <v>743</v>
      </c>
      <c r="M210" s="95">
        <v>190300100</v>
      </c>
      <c r="N210" s="90" t="s">
        <v>743</v>
      </c>
      <c r="O210" s="94" t="s">
        <v>1212</v>
      </c>
      <c r="P210" s="91">
        <v>1</v>
      </c>
      <c r="Q210" s="91"/>
      <c r="R210" s="118">
        <f t="shared" si="8"/>
        <v>1</v>
      </c>
      <c r="S210" s="91">
        <v>2020003630120</v>
      </c>
      <c r="T210" s="18" t="s">
        <v>763</v>
      </c>
      <c r="U210" s="92" t="s">
        <v>764</v>
      </c>
      <c r="V210" s="30"/>
      <c r="W210" s="30"/>
      <c r="X210" s="30"/>
      <c r="Y210" s="30"/>
      <c r="Z210" s="30"/>
      <c r="AA210" s="30"/>
      <c r="AB210" s="28">
        <v>15000000</v>
      </c>
      <c r="AC210" s="30"/>
      <c r="AD210" s="30"/>
      <c r="AE210" s="30"/>
      <c r="AF210" s="93">
        <f t="shared" si="7"/>
        <v>15000000</v>
      </c>
      <c r="AG210" s="143" t="s">
        <v>1226</v>
      </c>
      <c r="AJ210" s="21"/>
    </row>
    <row r="211" spans="1:36" s="19" customFormat="1" ht="117" hidden="1" customHeight="1" x14ac:dyDescent="0.25">
      <c r="A211" s="17">
        <v>318</v>
      </c>
      <c r="B211" s="115" t="s">
        <v>1083</v>
      </c>
      <c r="C211" s="17">
        <v>1</v>
      </c>
      <c r="D211" s="168">
        <v>1903</v>
      </c>
      <c r="E211" s="18" t="s">
        <v>1104</v>
      </c>
      <c r="F211" s="96" t="s">
        <v>765</v>
      </c>
      <c r="G211" s="95">
        <v>1903010</v>
      </c>
      <c r="H211" s="90" t="s">
        <v>766</v>
      </c>
      <c r="I211" s="95">
        <v>1903010</v>
      </c>
      <c r="J211" s="90" t="s">
        <v>766</v>
      </c>
      <c r="K211" s="95">
        <v>190301000</v>
      </c>
      <c r="L211" s="90" t="s">
        <v>767</v>
      </c>
      <c r="M211" s="95">
        <v>190301000</v>
      </c>
      <c r="N211" s="90" t="s">
        <v>767</v>
      </c>
      <c r="O211" s="94" t="s">
        <v>1212</v>
      </c>
      <c r="P211" s="105">
        <v>12</v>
      </c>
      <c r="Q211" s="105"/>
      <c r="R211" s="118">
        <f t="shared" si="8"/>
        <v>12</v>
      </c>
      <c r="S211" s="91">
        <v>2020003630120</v>
      </c>
      <c r="T211" s="18" t="s">
        <v>763</v>
      </c>
      <c r="U211" s="92" t="s">
        <v>764</v>
      </c>
      <c r="V211" s="30"/>
      <c r="W211" s="30"/>
      <c r="X211" s="30"/>
      <c r="Y211" s="49"/>
      <c r="Z211" s="30"/>
      <c r="AA211" s="30"/>
      <c r="AB211" s="28">
        <v>15000000</v>
      </c>
      <c r="AC211" s="30"/>
      <c r="AD211" s="30"/>
      <c r="AE211" s="30"/>
      <c r="AF211" s="93">
        <f t="shared" si="7"/>
        <v>15000000</v>
      </c>
      <c r="AG211" s="143" t="s">
        <v>1226</v>
      </c>
      <c r="AJ211" s="21"/>
    </row>
    <row r="212" spans="1:36" s="19" customFormat="1" ht="117" hidden="1" customHeight="1" x14ac:dyDescent="0.25">
      <c r="A212" s="17">
        <v>318</v>
      </c>
      <c r="B212" s="115" t="s">
        <v>1083</v>
      </c>
      <c r="C212" s="17">
        <v>1</v>
      </c>
      <c r="D212" s="168">
        <v>1903</v>
      </c>
      <c r="E212" s="18" t="s">
        <v>1104</v>
      </c>
      <c r="F212" s="96" t="s">
        <v>738</v>
      </c>
      <c r="G212" s="17">
        <v>1903011</v>
      </c>
      <c r="H212" s="18" t="s">
        <v>739</v>
      </c>
      <c r="I212" s="17">
        <v>1903011</v>
      </c>
      <c r="J212" s="18" t="s">
        <v>739</v>
      </c>
      <c r="K212" s="95">
        <v>190301101</v>
      </c>
      <c r="L212" s="18" t="s">
        <v>756</v>
      </c>
      <c r="M212" s="95">
        <v>190301101</v>
      </c>
      <c r="N212" s="90" t="s">
        <v>756</v>
      </c>
      <c r="O212" s="94" t="s">
        <v>1212</v>
      </c>
      <c r="P212" s="105">
        <v>12</v>
      </c>
      <c r="Q212" s="105"/>
      <c r="R212" s="118">
        <f t="shared" si="8"/>
        <v>12</v>
      </c>
      <c r="S212" s="91">
        <v>2020003630120</v>
      </c>
      <c r="T212" s="18" t="s">
        <v>763</v>
      </c>
      <c r="U212" s="92" t="s">
        <v>764</v>
      </c>
      <c r="V212" s="30"/>
      <c r="W212" s="30"/>
      <c r="X212" s="30"/>
      <c r="Y212" s="49"/>
      <c r="Z212" s="30"/>
      <c r="AA212" s="30"/>
      <c r="AB212" s="28">
        <v>15000000</v>
      </c>
      <c r="AC212" s="30"/>
      <c r="AD212" s="30"/>
      <c r="AE212" s="30"/>
      <c r="AF212" s="93">
        <f t="shared" si="7"/>
        <v>15000000</v>
      </c>
      <c r="AG212" s="143" t="s">
        <v>1226</v>
      </c>
      <c r="AJ212" s="21"/>
    </row>
    <row r="213" spans="1:36" ht="117" hidden="1" customHeight="1" x14ac:dyDescent="0.2">
      <c r="A213" s="17">
        <v>318</v>
      </c>
      <c r="B213" s="115" t="s">
        <v>1083</v>
      </c>
      <c r="C213" s="17">
        <v>1</v>
      </c>
      <c r="D213" s="168">
        <v>1903</v>
      </c>
      <c r="E213" s="18" t="s">
        <v>1104</v>
      </c>
      <c r="F213" s="92" t="s">
        <v>769</v>
      </c>
      <c r="G213" s="17">
        <v>1903047</v>
      </c>
      <c r="H213" s="18" t="s">
        <v>770</v>
      </c>
      <c r="I213" s="17">
        <v>1903047</v>
      </c>
      <c r="J213" s="18" t="s">
        <v>770</v>
      </c>
      <c r="K213" s="95">
        <v>190304701</v>
      </c>
      <c r="L213" s="90" t="s">
        <v>771</v>
      </c>
      <c r="M213" s="95">
        <v>190304701</v>
      </c>
      <c r="N213" s="90" t="s">
        <v>771</v>
      </c>
      <c r="O213" s="94" t="s">
        <v>1212</v>
      </c>
      <c r="P213" s="105">
        <v>1</v>
      </c>
      <c r="Q213" s="105"/>
      <c r="R213" s="118">
        <f t="shared" si="8"/>
        <v>1</v>
      </c>
      <c r="S213" s="91">
        <v>2020003630121</v>
      </c>
      <c r="T213" s="18" t="s">
        <v>1182</v>
      </c>
      <c r="U213" s="92" t="s">
        <v>772</v>
      </c>
      <c r="V213" s="30"/>
      <c r="W213" s="30"/>
      <c r="X213" s="30"/>
      <c r="Y213" s="39">
        <v>20000000</v>
      </c>
      <c r="Z213" s="30"/>
      <c r="AA213" s="30"/>
      <c r="AB213" s="28"/>
      <c r="AC213" s="30"/>
      <c r="AD213" s="30"/>
      <c r="AE213" s="30"/>
      <c r="AF213" s="93">
        <f t="shared" si="7"/>
        <v>20000000</v>
      </c>
      <c r="AG213" s="143" t="s">
        <v>1226</v>
      </c>
      <c r="AI213" s="21"/>
      <c r="AJ213" s="21"/>
    </row>
    <row r="214" spans="1:36" ht="117" hidden="1" customHeight="1" x14ac:dyDescent="0.2">
      <c r="A214" s="17">
        <v>318</v>
      </c>
      <c r="B214" s="115" t="s">
        <v>1083</v>
      </c>
      <c r="C214" s="17">
        <v>1</v>
      </c>
      <c r="D214" s="168">
        <v>1903</v>
      </c>
      <c r="E214" s="18" t="s">
        <v>1104</v>
      </c>
      <c r="F214" s="92" t="s">
        <v>773</v>
      </c>
      <c r="G214" s="17">
        <v>1903019</v>
      </c>
      <c r="H214" s="18" t="s">
        <v>774</v>
      </c>
      <c r="I214" s="17">
        <v>1903019</v>
      </c>
      <c r="J214" s="18" t="s">
        <v>774</v>
      </c>
      <c r="K214" s="95">
        <v>190301900</v>
      </c>
      <c r="L214" s="90" t="s">
        <v>775</v>
      </c>
      <c r="M214" s="95">
        <v>190301900</v>
      </c>
      <c r="N214" s="90" t="s">
        <v>775</v>
      </c>
      <c r="O214" s="94" t="s">
        <v>1212</v>
      </c>
      <c r="P214" s="105">
        <v>75</v>
      </c>
      <c r="Q214" s="105"/>
      <c r="R214" s="118">
        <f t="shared" si="8"/>
        <v>75</v>
      </c>
      <c r="S214" s="91">
        <v>2020003630121</v>
      </c>
      <c r="T214" s="18" t="s">
        <v>1182</v>
      </c>
      <c r="U214" s="92" t="s">
        <v>772</v>
      </c>
      <c r="V214" s="30"/>
      <c r="W214" s="30"/>
      <c r="X214" s="30"/>
      <c r="Y214" s="39">
        <v>50000000</v>
      </c>
      <c r="Z214" s="54"/>
      <c r="AA214" s="30"/>
      <c r="AB214" s="28"/>
      <c r="AC214" s="30"/>
      <c r="AD214" s="30"/>
      <c r="AE214" s="30"/>
      <c r="AF214" s="93">
        <f t="shared" si="7"/>
        <v>50000000</v>
      </c>
      <c r="AG214" s="143" t="s">
        <v>1226</v>
      </c>
      <c r="AI214" s="21"/>
      <c r="AJ214" s="21"/>
    </row>
    <row r="215" spans="1:36" ht="117" hidden="1" customHeight="1" x14ac:dyDescent="0.2">
      <c r="A215" s="17">
        <v>318</v>
      </c>
      <c r="B215" s="115" t="s">
        <v>1083</v>
      </c>
      <c r="C215" s="17">
        <v>1</v>
      </c>
      <c r="D215" s="168">
        <v>1903</v>
      </c>
      <c r="E215" s="18" t="s">
        <v>1104</v>
      </c>
      <c r="F215" s="92" t="s">
        <v>776</v>
      </c>
      <c r="G215" s="17">
        <v>1903028</v>
      </c>
      <c r="H215" s="18" t="s">
        <v>777</v>
      </c>
      <c r="I215" s="17">
        <v>1903028</v>
      </c>
      <c r="J215" s="18" t="s">
        <v>777</v>
      </c>
      <c r="K215" s="95">
        <v>190302800</v>
      </c>
      <c r="L215" s="90" t="s">
        <v>778</v>
      </c>
      <c r="M215" s="95">
        <v>190302800</v>
      </c>
      <c r="N215" s="90" t="s">
        <v>778</v>
      </c>
      <c r="O215" s="94" t="s">
        <v>1212</v>
      </c>
      <c r="P215" s="105">
        <v>250</v>
      </c>
      <c r="Q215" s="105"/>
      <c r="R215" s="118">
        <f t="shared" si="8"/>
        <v>250</v>
      </c>
      <c r="S215" s="91">
        <v>2020003630121</v>
      </c>
      <c r="T215" s="18" t="s">
        <v>1182</v>
      </c>
      <c r="U215" s="92" t="s">
        <v>772</v>
      </c>
      <c r="V215" s="30"/>
      <c r="W215" s="30"/>
      <c r="X215" s="30"/>
      <c r="Y215" s="39">
        <v>40000000</v>
      </c>
      <c r="Z215" s="30"/>
      <c r="AA215" s="30"/>
      <c r="AB215" s="28"/>
      <c r="AC215" s="30"/>
      <c r="AD215" s="30"/>
      <c r="AE215" s="30"/>
      <c r="AF215" s="93">
        <f t="shared" si="7"/>
        <v>40000000</v>
      </c>
      <c r="AG215" s="143" t="s">
        <v>1226</v>
      </c>
      <c r="AI215" s="21"/>
      <c r="AJ215" s="21"/>
    </row>
    <row r="216" spans="1:36" ht="117" hidden="1" customHeight="1" x14ac:dyDescent="0.2">
      <c r="A216" s="17">
        <v>318</v>
      </c>
      <c r="B216" s="115" t="s">
        <v>1083</v>
      </c>
      <c r="C216" s="17">
        <v>1</v>
      </c>
      <c r="D216" s="168">
        <v>1903</v>
      </c>
      <c r="E216" s="18" t="s">
        <v>1104</v>
      </c>
      <c r="F216" s="92" t="s">
        <v>746</v>
      </c>
      <c r="G216" s="17">
        <v>1903025</v>
      </c>
      <c r="H216" s="18" t="s">
        <v>779</v>
      </c>
      <c r="I216" s="17">
        <v>1903025</v>
      </c>
      <c r="J216" s="18" t="s">
        <v>779</v>
      </c>
      <c r="K216" s="95">
        <v>190302500</v>
      </c>
      <c r="L216" s="90" t="s">
        <v>780</v>
      </c>
      <c r="M216" s="95">
        <v>190302500</v>
      </c>
      <c r="N216" s="90" t="s">
        <v>780</v>
      </c>
      <c r="O216" s="94" t="s">
        <v>1212</v>
      </c>
      <c r="P216" s="105">
        <v>12</v>
      </c>
      <c r="Q216" s="105"/>
      <c r="R216" s="118">
        <f t="shared" si="8"/>
        <v>12</v>
      </c>
      <c r="S216" s="91">
        <v>2020003630121</v>
      </c>
      <c r="T216" s="18" t="s">
        <v>1182</v>
      </c>
      <c r="U216" s="92" t="s">
        <v>772</v>
      </c>
      <c r="V216" s="30"/>
      <c r="W216" s="30"/>
      <c r="X216" s="30"/>
      <c r="Y216" s="39">
        <f>49125000+10000</f>
        <v>49135000</v>
      </c>
      <c r="Z216" s="30"/>
      <c r="AA216" s="30"/>
      <c r="AB216" s="28"/>
      <c r="AC216" s="30"/>
      <c r="AD216" s="30"/>
      <c r="AE216" s="30"/>
      <c r="AF216" s="93">
        <f t="shared" si="7"/>
        <v>49135000</v>
      </c>
      <c r="AG216" s="143" t="s">
        <v>1226</v>
      </c>
      <c r="AI216" s="21"/>
      <c r="AJ216" s="21"/>
    </row>
    <row r="217" spans="1:36" ht="117" hidden="1" customHeight="1" x14ac:dyDescent="0.2">
      <c r="A217" s="17">
        <v>318</v>
      </c>
      <c r="B217" s="115" t="s">
        <v>1083</v>
      </c>
      <c r="C217" s="17">
        <v>1</v>
      </c>
      <c r="D217" s="168">
        <v>1905</v>
      </c>
      <c r="E217" s="18" t="s">
        <v>1105</v>
      </c>
      <c r="F217" s="92" t="s">
        <v>724</v>
      </c>
      <c r="G217" s="17">
        <v>1905028</v>
      </c>
      <c r="H217" s="18" t="s">
        <v>781</v>
      </c>
      <c r="I217" s="17">
        <v>1905028</v>
      </c>
      <c r="J217" s="18" t="s">
        <v>781</v>
      </c>
      <c r="K217" s="95">
        <v>190502800</v>
      </c>
      <c r="L217" s="90" t="s">
        <v>782</v>
      </c>
      <c r="M217" s="95">
        <v>190502800</v>
      </c>
      <c r="N217" s="90" t="s">
        <v>782</v>
      </c>
      <c r="O217" s="94" t="s">
        <v>1212</v>
      </c>
      <c r="P217" s="105">
        <v>12</v>
      </c>
      <c r="Q217" s="105"/>
      <c r="R217" s="118">
        <f t="shared" si="8"/>
        <v>12</v>
      </c>
      <c r="S217" s="91">
        <v>2020003630122</v>
      </c>
      <c r="T217" s="18" t="s">
        <v>1183</v>
      </c>
      <c r="U217" s="92" t="s">
        <v>783</v>
      </c>
      <c r="V217" s="30"/>
      <c r="W217" s="30"/>
      <c r="X217" s="30">
        <f>45000000+22935000</f>
        <v>67935000</v>
      </c>
      <c r="Y217" s="30"/>
      <c r="Z217" s="30"/>
      <c r="AA217" s="30"/>
      <c r="AB217" s="28"/>
      <c r="AC217" s="30"/>
      <c r="AD217" s="30"/>
      <c r="AE217" s="30"/>
      <c r="AF217" s="93">
        <f t="shared" si="7"/>
        <v>67935000</v>
      </c>
      <c r="AG217" s="143" t="s">
        <v>1226</v>
      </c>
      <c r="AI217" s="21"/>
      <c r="AJ217" s="21"/>
    </row>
    <row r="218" spans="1:36" ht="117" hidden="1" customHeight="1" x14ac:dyDescent="0.2">
      <c r="A218" s="17">
        <v>318</v>
      </c>
      <c r="B218" s="115" t="s">
        <v>1083</v>
      </c>
      <c r="C218" s="17">
        <v>1</v>
      </c>
      <c r="D218" s="168">
        <v>1905</v>
      </c>
      <c r="E218" s="18" t="s">
        <v>1105</v>
      </c>
      <c r="F218" s="92" t="s">
        <v>724</v>
      </c>
      <c r="G218" s="17">
        <v>1905031</v>
      </c>
      <c r="H218" s="90" t="s">
        <v>784</v>
      </c>
      <c r="I218" s="17">
        <v>1905031</v>
      </c>
      <c r="J218" s="18" t="s">
        <v>784</v>
      </c>
      <c r="K218" s="17">
        <v>190503100</v>
      </c>
      <c r="L218" s="90" t="s">
        <v>785</v>
      </c>
      <c r="M218" s="17">
        <v>190503100</v>
      </c>
      <c r="N218" s="90" t="s">
        <v>785</v>
      </c>
      <c r="O218" s="94" t="s">
        <v>1212</v>
      </c>
      <c r="P218" s="105">
        <v>12</v>
      </c>
      <c r="Q218" s="105"/>
      <c r="R218" s="118">
        <f t="shared" si="8"/>
        <v>12</v>
      </c>
      <c r="S218" s="91">
        <v>2020003630122</v>
      </c>
      <c r="T218" s="18" t="s">
        <v>1183</v>
      </c>
      <c r="U218" s="92" t="s">
        <v>783</v>
      </c>
      <c r="V218" s="30"/>
      <c r="W218" s="30"/>
      <c r="X218" s="30">
        <f>45000000+2400000</f>
        <v>47400000</v>
      </c>
      <c r="Y218" s="30"/>
      <c r="Z218" s="30"/>
      <c r="AA218" s="30"/>
      <c r="AB218" s="28"/>
      <c r="AC218" s="30"/>
      <c r="AD218" s="30"/>
      <c r="AE218" s="30"/>
      <c r="AF218" s="93">
        <f t="shared" si="7"/>
        <v>47400000</v>
      </c>
      <c r="AG218" s="143" t="s">
        <v>1226</v>
      </c>
      <c r="AI218" s="21"/>
      <c r="AJ218" s="21"/>
    </row>
    <row r="219" spans="1:36" ht="117" hidden="1" customHeight="1" x14ac:dyDescent="0.2">
      <c r="A219" s="17">
        <v>318</v>
      </c>
      <c r="B219" s="115" t="s">
        <v>1083</v>
      </c>
      <c r="C219" s="17">
        <v>1</v>
      </c>
      <c r="D219" s="168">
        <v>1905</v>
      </c>
      <c r="E219" s="18" t="s">
        <v>1105</v>
      </c>
      <c r="F219" s="92" t="s">
        <v>786</v>
      </c>
      <c r="G219" s="17">
        <v>1905019</v>
      </c>
      <c r="H219" s="18" t="s">
        <v>787</v>
      </c>
      <c r="I219" s="17">
        <v>1905019</v>
      </c>
      <c r="J219" s="18" t="s">
        <v>787</v>
      </c>
      <c r="K219" s="17">
        <v>190501900</v>
      </c>
      <c r="L219" s="18" t="s">
        <v>231</v>
      </c>
      <c r="M219" s="17">
        <v>190501900</v>
      </c>
      <c r="N219" s="90" t="s">
        <v>231</v>
      </c>
      <c r="O219" s="94" t="s">
        <v>1212</v>
      </c>
      <c r="P219" s="105">
        <v>60</v>
      </c>
      <c r="Q219" s="105"/>
      <c r="R219" s="118">
        <f t="shared" si="8"/>
        <v>60</v>
      </c>
      <c r="S219" s="91">
        <v>2020003630123</v>
      </c>
      <c r="T219" s="18" t="s">
        <v>788</v>
      </c>
      <c r="U219" s="92" t="s">
        <v>789</v>
      </c>
      <c r="V219" s="30"/>
      <c r="W219" s="30"/>
      <c r="X219" s="30">
        <f>30000000</f>
        <v>30000000</v>
      </c>
      <c r="Y219" s="30"/>
      <c r="Z219" s="30"/>
      <c r="AA219" s="30"/>
      <c r="AB219" s="28"/>
      <c r="AC219" s="30"/>
      <c r="AD219" s="30"/>
      <c r="AE219" s="30"/>
      <c r="AF219" s="93">
        <f t="shared" si="7"/>
        <v>30000000</v>
      </c>
      <c r="AG219" s="143" t="s">
        <v>1226</v>
      </c>
      <c r="AI219" s="21"/>
      <c r="AJ219" s="21"/>
    </row>
    <row r="220" spans="1:36" ht="117" hidden="1" customHeight="1" x14ac:dyDescent="0.2">
      <c r="A220" s="17">
        <v>318</v>
      </c>
      <c r="B220" s="115" t="s">
        <v>1083</v>
      </c>
      <c r="C220" s="17">
        <v>1</v>
      </c>
      <c r="D220" s="168">
        <v>1905</v>
      </c>
      <c r="E220" s="18" t="s">
        <v>1105</v>
      </c>
      <c r="F220" s="92" t="s">
        <v>790</v>
      </c>
      <c r="G220" s="17" t="s">
        <v>26</v>
      </c>
      <c r="H220" s="18" t="s">
        <v>792</v>
      </c>
      <c r="I220" s="17">
        <v>1905031</v>
      </c>
      <c r="J220" s="18" t="s">
        <v>793</v>
      </c>
      <c r="K220" s="17" t="s">
        <v>791</v>
      </c>
      <c r="L220" s="90" t="s">
        <v>794</v>
      </c>
      <c r="M220" s="17">
        <v>190503100</v>
      </c>
      <c r="N220" s="90" t="s">
        <v>795</v>
      </c>
      <c r="O220" s="94" t="s">
        <v>1212</v>
      </c>
      <c r="P220" s="105">
        <v>11</v>
      </c>
      <c r="Q220" s="105"/>
      <c r="R220" s="118">
        <f t="shared" si="8"/>
        <v>11</v>
      </c>
      <c r="S220" s="91">
        <v>2020003630123</v>
      </c>
      <c r="T220" s="18" t="s">
        <v>788</v>
      </c>
      <c r="U220" s="92" t="s">
        <v>789</v>
      </c>
      <c r="V220" s="30"/>
      <c r="W220" s="30"/>
      <c r="X220" s="30">
        <v>50000000</v>
      </c>
      <c r="Y220" s="30"/>
      <c r="Z220" s="30"/>
      <c r="AA220" s="30"/>
      <c r="AB220" s="28"/>
      <c r="AC220" s="30"/>
      <c r="AD220" s="30"/>
      <c r="AE220" s="30"/>
      <c r="AF220" s="93">
        <f t="shared" si="7"/>
        <v>50000000</v>
      </c>
      <c r="AG220" s="143" t="s">
        <v>1226</v>
      </c>
      <c r="AI220" s="21"/>
      <c r="AJ220" s="21"/>
    </row>
    <row r="221" spans="1:36" ht="117" hidden="1" customHeight="1" x14ac:dyDescent="0.2">
      <c r="A221" s="17">
        <v>318</v>
      </c>
      <c r="B221" s="115" t="s">
        <v>1083</v>
      </c>
      <c r="C221" s="17">
        <v>1</v>
      </c>
      <c r="D221" s="168">
        <v>1905</v>
      </c>
      <c r="E221" s="18" t="s">
        <v>1105</v>
      </c>
      <c r="F221" s="96" t="s">
        <v>802</v>
      </c>
      <c r="G221" s="17" t="s">
        <v>26</v>
      </c>
      <c r="H221" s="18" t="s">
        <v>796</v>
      </c>
      <c r="I221" s="17">
        <v>1905015</v>
      </c>
      <c r="J221" s="18" t="s">
        <v>159</v>
      </c>
      <c r="K221" s="17" t="s">
        <v>26</v>
      </c>
      <c r="L221" s="90" t="s">
        <v>797</v>
      </c>
      <c r="M221" s="17">
        <v>190501500</v>
      </c>
      <c r="N221" s="90" t="s">
        <v>161</v>
      </c>
      <c r="O221" s="94" t="s">
        <v>1212</v>
      </c>
      <c r="P221" s="105">
        <v>1</v>
      </c>
      <c r="Q221" s="105"/>
      <c r="R221" s="118">
        <f t="shared" si="8"/>
        <v>1</v>
      </c>
      <c r="S221" s="91">
        <v>2020003630123</v>
      </c>
      <c r="T221" s="18" t="s">
        <v>788</v>
      </c>
      <c r="U221" s="92" t="s">
        <v>789</v>
      </c>
      <c r="V221" s="30"/>
      <c r="W221" s="30"/>
      <c r="X221" s="30">
        <v>35000000</v>
      </c>
      <c r="Y221" s="30"/>
      <c r="Z221" s="30"/>
      <c r="AA221" s="30"/>
      <c r="AB221" s="28"/>
      <c r="AC221" s="30"/>
      <c r="AD221" s="30"/>
      <c r="AE221" s="30"/>
      <c r="AF221" s="93">
        <f t="shared" si="7"/>
        <v>35000000</v>
      </c>
      <c r="AG221" s="143" t="s">
        <v>1226</v>
      </c>
      <c r="AI221" s="21"/>
      <c r="AJ221" s="21"/>
    </row>
    <row r="222" spans="1:36" ht="117" hidden="1" customHeight="1" x14ac:dyDescent="0.2">
      <c r="A222" s="17">
        <v>318</v>
      </c>
      <c r="B222" s="115" t="s">
        <v>1083</v>
      </c>
      <c r="C222" s="17">
        <v>1</v>
      </c>
      <c r="D222" s="168">
        <v>1905</v>
      </c>
      <c r="E222" s="18" t="s">
        <v>1105</v>
      </c>
      <c r="F222" s="92" t="s">
        <v>727</v>
      </c>
      <c r="G222" s="17" t="s">
        <v>26</v>
      </c>
      <c r="H222" s="18" t="s">
        <v>798</v>
      </c>
      <c r="I222" s="90">
        <v>1905024</v>
      </c>
      <c r="J222" s="17" t="s">
        <v>799</v>
      </c>
      <c r="K222" s="18" t="s">
        <v>26</v>
      </c>
      <c r="L222" s="90" t="s">
        <v>800</v>
      </c>
      <c r="M222" s="17">
        <v>190502400</v>
      </c>
      <c r="N222" s="90" t="s">
        <v>801</v>
      </c>
      <c r="O222" s="94" t="s">
        <v>1213</v>
      </c>
      <c r="P222" s="105">
        <v>4</v>
      </c>
      <c r="Q222" s="129">
        <v>0.4</v>
      </c>
      <c r="R222" s="130">
        <f t="shared" si="8"/>
        <v>4.4000000000000004</v>
      </c>
      <c r="S222" s="91">
        <v>2020003630123</v>
      </c>
      <c r="T222" s="18" t="s">
        <v>788</v>
      </c>
      <c r="U222" s="92" t="s">
        <v>789</v>
      </c>
      <c r="V222" s="30"/>
      <c r="W222" s="30"/>
      <c r="X222" s="30">
        <v>70000000</v>
      </c>
      <c r="Y222" s="30"/>
      <c r="Z222" s="30"/>
      <c r="AA222" s="30"/>
      <c r="AB222" s="28">
        <v>24000000</v>
      </c>
      <c r="AC222" s="30"/>
      <c r="AD222" s="30"/>
      <c r="AE222" s="30"/>
      <c r="AF222" s="93">
        <f t="shared" si="7"/>
        <v>94000000</v>
      </c>
      <c r="AG222" s="143" t="s">
        <v>1226</v>
      </c>
      <c r="AI222" s="21"/>
      <c r="AJ222" s="21"/>
    </row>
    <row r="223" spans="1:36" ht="117" hidden="1" customHeight="1" x14ac:dyDescent="0.2">
      <c r="A223" s="17">
        <v>318</v>
      </c>
      <c r="B223" s="115" t="s">
        <v>1083</v>
      </c>
      <c r="C223" s="17">
        <v>1</v>
      </c>
      <c r="D223" s="168">
        <v>1905</v>
      </c>
      <c r="E223" s="18" t="s">
        <v>1105</v>
      </c>
      <c r="F223" s="92" t="s">
        <v>802</v>
      </c>
      <c r="G223" s="17" t="s">
        <v>26</v>
      </c>
      <c r="H223" s="18" t="s">
        <v>803</v>
      </c>
      <c r="I223" s="17">
        <v>1905015</v>
      </c>
      <c r="J223" s="18" t="s">
        <v>159</v>
      </c>
      <c r="K223" s="17" t="s">
        <v>26</v>
      </c>
      <c r="L223" s="90" t="s">
        <v>804</v>
      </c>
      <c r="M223" s="17">
        <v>190501500</v>
      </c>
      <c r="N223" s="90" t="s">
        <v>161</v>
      </c>
      <c r="O223" s="94" t="s">
        <v>1213</v>
      </c>
      <c r="P223" s="105">
        <v>4</v>
      </c>
      <c r="Q223" s="105">
        <v>2</v>
      </c>
      <c r="R223" s="118">
        <f t="shared" si="8"/>
        <v>6</v>
      </c>
      <c r="S223" s="91">
        <v>2020003630123</v>
      </c>
      <c r="T223" s="18" t="s">
        <v>788</v>
      </c>
      <c r="U223" s="92" t="s">
        <v>789</v>
      </c>
      <c r="V223" s="30"/>
      <c r="W223" s="30"/>
      <c r="X223" s="30">
        <v>30000000</v>
      </c>
      <c r="Y223" s="30"/>
      <c r="Z223" s="30"/>
      <c r="AA223" s="30"/>
      <c r="AB223" s="28"/>
      <c r="AC223" s="30"/>
      <c r="AD223" s="30"/>
      <c r="AE223" s="30"/>
      <c r="AF223" s="93">
        <f t="shared" si="7"/>
        <v>30000000</v>
      </c>
      <c r="AG223" s="143" t="s">
        <v>1226</v>
      </c>
      <c r="AI223" s="21"/>
      <c r="AJ223" s="21"/>
    </row>
    <row r="224" spans="1:36" ht="117" hidden="1" customHeight="1" x14ac:dyDescent="0.2">
      <c r="A224" s="17">
        <v>318</v>
      </c>
      <c r="B224" s="115" t="s">
        <v>1083</v>
      </c>
      <c r="C224" s="17">
        <v>1</v>
      </c>
      <c r="D224" s="168">
        <v>1905</v>
      </c>
      <c r="E224" s="18" t="s">
        <v>1105</v>
      </c>
      <c r="F224" s="92" t="s">
        <v>727</v>
      </c>
      <c r="G224" s="17" t="s">
        <v>26</v>
      </c>
      <c r="H224" s="18" t="s">
        <v>805</v>
      </c>
      <c r="I224" s="17">
        <v>1905024</v>
      </c>
      <c r="J224" s="18" t="s">
        <v>799</v>
      </c>
      <c r="K224" s="17" t="s">
        <v>26</v>
      </c>
      <c r="L224" s="90" t="s">
        <v>806</v>
      </c>
      <c r="M224" s="95">
        <v>190502400</v>
      </c>
      <c r="N224" s="90" t="s">
        <v>801</v>
      </c>
      <c r="O224" s="94" t="s">
        <v>1212</v>
      </c>
      <c r="P224" s="105">
        <v>12</v>
      </c>
      <c r="Q224" s="105"/>
      <c r="R224" s="118">
        <f t="shared" si="8"/>
        <v>12</v>
      </c>
      <c r="S224" s="91">
        <v>2020003630123</v>
      </c>
      <c r="T224" s="18" t="s">
        <v>788</v>
      </c>
      <c r="U224" s="92" t="s">
        <v>789</v>
      </c>
      <c r="V224" s="30"/>
      <c r="W224" s="30"/>
      <c r="X224" s="30">
        <v>30000000</v>
      </c>
      <c r="Y224" s="30"/>
      <c r="Z224" s="30"/>
      <c r="AA224" s="30"/>
      <c r="AB224" s="28"/>
      <c r="AC224" s="30"/>
      <c r="AD224" s="30"/>
      <c r="AE224" s="30"/>
      <c r="AF224" s="93">
        <f t="shared" ref="AF224:AF287" si="9">V224+W224+X224+Y224+Z224+AA224+AB224+AC224+AE224</f>
        <v>30000000</v>
      </c>
      <c r="AG224" s="143" t="s">
        <v>1226</v>
      </c>
      <c r="AI224" s="21"/>
      <c r="AJ224" s="21"/>
    </row>
    <row r="225" spans="1:36" ht="117" hidden="1" customHeight="1" x14ac:dyDescent="0.2">
      <c r="A225" s="17">
        <v>318</v>
      </c>
      <c r="B225" s="115" t="s">
        <v>1083</v>
      </c>
      <c r="C225" s="17">
        <v>1</v>
      </c>
      <c r="D225" s="168">
        <v>1905</v>
      </c>
      <c r="E225" s="18" t="s">
        <v>1105</v>
      </c>
      <c r="F225" s="92" t="s">
        <v>760</v>
      </c>
      <c r="G225" s="17" t="s">
        <v>26</v>
      </c>
      <c r="H225" s="18" t="s">
        <v>807</v>
      </c>
      <c r="I225" s="17">
        <v>1905024</v>
      </c>
      <c r="J225" s="18" t="s">
        <v>799</v>
      </c>
      <c r="K225" s="17" t="s">
        <v>26</v>
      </c>
      <c r="L225" s="90" t="s">
        <v>808</v>
      </c>
      <c r="M225" s="95">
        <v>190502401</v>
      </c>
      <c r="N225" s="90" t="s">
        <v>809</v>
      </c>
      <c r="O225" s="94" t="s">
        <v>1213</v>
      </c>
      <c r="P225" s="105">
        <v>4</v>
      </c>
      <c r="Q225" s="105"/>
      <c r="R225" s="118">
        <f t="shared" si="8"/>
        <v>4</v>
      </c>
      <c r="S225" s="91">
        <v>2020003630123</v>
      </c>
      <c r="T225" s="18" t="s">
        <v>788</v>
      </c>
      <c r="U225" s="92" t="s">
        <v>789</v>
      </c>
      <c r="V225" s="30"/>
      <c r="W225" s="30"/>
      <c r="X225" s="50">
        <v>30000000</v>
      </c>
      <c r="Y225" s="30"/>
      <c r="Z225" s="30"/>
      <c r="AA225" s="30"/>
      <c r="AB225" s="28"/>
      <c r="AC225" s="30"/>
      <c r="AD225" s="30"/>
      <c r="AE225" s="30"/>
      <c r="AF225" s="93">
        <f t="shared" si="9"/>
        <v>30000000</v>
      </c>
      <c r="AG225" s="143" t="s">
        <v>1226</v>
      </c>
      <c r="AI225" s="21"/>
      <c r="AJ225" s="21"/>
    </row>
    <row r="226" spans="1:36" ht="117" hidden="1" customHeight="1" x14ac:dyDescent="0.2">
      <c r="A226" s="17">
        <v>318</v>
      </c>
      <c r="B226" s="115" t="s">
        <v>1083</v>
      </c>
      <c r="C226" s="17">
        <v>1</v>
      </c>
      <c r="D226" s="168">
        <v>1905</v>
      </c>
      <c r="E226" s="18" t="s">
        <v>1105</v>
      </c>
      <c r="F226" s="92" t="s">
        <v>574</v>
      </c>
      <c r="G226" s="17">
        <v>1905021</v>
      </c>
      <c r="H226" s="18" t="s">
        <v>575</v>
      </c>
      <c r="I226" s="17">
        <v>1905021</v>
      </c>
      <c r="J226" s="18" t="s">
        <v>575</v>
      </c>
      <c r="K226" s="95">
        <v>190502100</v>
      </c>
      <c r="L226" s="90" t="s">
        <v>576</v>
      </c>
      <c r="M226" s="77">
        <v>190502100</v>
      </c>
      <c r="N226" s="90" t="s">
        <v>576</v>
      </c>
      <c r="O226" s="94" t="s">
        <v>1212</v>
      </c>
      <c r="P226" s="105">
        <v>12</v>
      </c>
      <c r="Q226" s="105"/>
      <c r="R226" s="118">
        <f t="shared" si="8"/>
        <v>12</v>
      </c>
      <c r="S226" s="91">
        <v>2020003630124</v>
      </c>
      <c r="T226" s="18" t="s">
        <v>810</v>
      </c>
      <c r="U226" s="92" t="s">
        <v>811</v>
      </c>
      <c r="V226" s="30"/>
      <c r="W226" s="30"/>
      <c r="X226" s="50">
        <v>109515000</v>
      </c>
      <c r="Y226" s="30"/>
      <c r="Z226" s="30"/>
      <c r="AA226" s="30"/>
      <c r="AB226" s="28"/>
      <c r="AC226" s="30"/>
      <c r="AD226" s="30"/>
      <c r="AE226" s="30"/>
      <c r="AF226" s="93">
        <f t="shared" si="9"/>
        <v>109515000</v>
      </c>
      <c r="AG226" s="143" t="s">
        <v>1226</v>
      </c>
      <c r="AI226" s="21"/>
      <c r="AJ226" s="21"/>
    </row>
    <row r="227" spans="1:36" ht="117" hidden="1" customHeight="1" x14ac:dyDescent="0.2">
      <c r="A227" s="17">
        <v>318</v>
      </c>
      <c r="B227" s="115" t="s">
        <v>1083</v>
      </c>
      <c r="C227" s="17">
        <v>1</v>
      </c>
      <c r="D227" s="168">
        <v>1905</v>
      </c>
      <c r="E227" s="18" t="s">
        <v>1105</v>
      </c>
      <c r="F227" s="92" t="s">
        <v>790</v>
      </c>
      <c r="G227" s="17" t="s">
        <v>26</v>
      </c>
      <c r="H227" s="18" t="s">
        <v>812</v>
      </c>
      <c r="I227" s="17">
        <v>1905021</v>
      </c>
      <c r="J227" s="18" t="s">
        <v>813</v>
      </c>
      <c r="K227" s="17" t="s">
        <v>26</v>
      </c>
      <c r="L227" s="90" t="s">
        <v>794</v>
      </c>
      <c r="M227" s="17">
        <v>190502100</v>
      </c>
      <c r="N227" s="90" t="s">
        <v>814</v>
      </c>
      <c r="O227" s="94" t="s">
        <v>1212</v>
      </c>
      <c r="P227" s="105">
        <v>11</v>
      </c>
      <c r="Q227" s="105"/>
      <c r="R227" s="118">
        <f t="shared" si="8"/>
        <v>11</v>
      </c>
      <c r="S227" s="91">
        <v>2020003630124</v>
      </c>
      <c r="T227" s="18" t="s">
        <v>810</v>
      </c>
      <c r="U227" s="92" t="s">
        <v>811</v>
      </c>
      <c r="V227" s="30"/>
      <c r="W227" s="30"/>
      <c r="X227" s="50">
        <v>87930000</v>
      </c>
      <c r="Y227" s="30"/>
      <c r="Z227" s="30"/>
      <c r="AA227" s="30"/>
      <c r="AB227" s="28"/>
      <c r="AC227" s="30"/>
      <c r="AD227" s="30"/>
      <c r="AE227" s="30"/>
      <c r="AF227" s="93">
        <f t="shared" si="9"/>
        <v>87930000</v>
      </c>
      <c r="AG227" s="143" t="s">
        <v>1226</v>
      </c>
      <c r="AI227" s="21"/>
      <c r="AJ227" s="21"/>
    </row>
    <row r="228" spans="1:36" ht="117" hidden="1" customHeight="1" x14ac:dyDescent="0.2">
      <c r="A228" s="17">
        <v>318</v>
      </c>
      <c r="B228" s="115" t="s">
        <v>1083</v>
      </c>
      <c r="C228" s="17">
        <v>1</v>
      </c>
      <c r="D228" s="168">
        <v>1905</v>
      </c>
      <c r="E228" s="18" t="s">
        <v>1105</v>
      </c>
      <c r="F228" s="92" t="s">
        <v>746</v>
      </c>
      <c r="G228" s="17">
        <v>1905020</v>
      </c>
      <c r="H228" s="18" t="s">
        <v>815</v>
      </c>
      <c r="I228" s="35">
        <v>1905020</v>
      </c>
      <c r="J228" s="18" t="s">
        <v>815</v>
      </c>
      <c r="K228" s="95">
        <v>190502000</v>
      </c>
      <c r="L228" s="90" t="s">
        <v>816</v>
      </c>
      <c r="M228" s="95">
        <v>190502000</v>
      </c>
      <c r="N228" s="90" t="s">
        <v>816</v>
      </c>
      <c r="O228" s="94" t="s">
        <v>1212</v>
      </c>
      <c r="P228" s="105">
        <v>12</v>
      </c>
      <c r="Q228" s="105"/>
      <c r="R228" s="118">
        <f t="shared" si="8"/>
        <v>12</v>
      </c>
      <c r="S228" s="91">
        <v>2020003630125</v>
      </c>
      <c r="T228" s="18" t="s">
        <v>817</v>
      </c>
      <c r="U228" s="92" t="s">
        <v>818</v>
      </c>
      <c r="V228" s="30"/>
      <c r="W228" s="30"/>
      <c r="X228" s="28">
        <f>40000000+13271000</f>
        <v>53271000</v>
      </c>
      <c r="Y228" s="30"/>
      <c r="Z228" s="30"/>
      <c r="AA228" s="30"/>
      <c r="AB228" s="28"/>
      <c r="AC228" s="30"/>
      <c r="AD228" s="30"/>
      <c r="AE228" s="30">
        <f>548597644+225000000</f>
        <v>773597644</v>
      </c>
      <c r="AF228" s="93">
        <f t="shared" si="9"/>
        <v>826868644</v>
      </c>
      <c r="AG228" s="143" t="s">
        <v>1226</v>
      </c>
      <c r="AI228" s="21"/>
      <c r="AJ228" s="21"/>
    </row>
    <row r="229" spans="1:36" ht="117" hidden="1" customHeight="1" x14ac:dyDescent="0.2">
      <c r="A229" s="17">
        <v>318</v>
      </c>
      <c r="B229" s="115" t="s">
        <v>1083</v>
      </c>
      <c r="C229" s="17">
        <v>1</v>
      </c>
      <c r="D229" s="168">
        <v>1905</v>
      </c>
      <c r="E229" s="18" t="s">
        <v>1105</v>
      </c>
      <c r="F229" s="92" t="s">
        <v>577</v>
      </c>
      <c r="G229" s="17">
        <v>1905022</v>
      </c>
      <c r="H229" s="18" t="s">
        <v>578</v>
      </c>
      <c r="I229" s="35">
        <v>1905022</v>
      </c>
      <c r="J229" s="18" t="s">
        <v>578</v>
      </c>
      <c r="K229" s="95">
        <v>190502200</v>
      </c>
      <c r="L229" s="90" t="s">
        <v>579</v>
      </c>
      <c r="M229" s="95">
        <v>190502200</v>
      </c>
      <c r="N229" s="90" t="s">
        <v>579</v>
      </c>
      <c r="O229" s="94" t="s">
        <v>1212</v>
      </c>
      <c r="P229" s="105">
        <v>12</v>
      </c>
      <c r="Q229" s="105"/>
      <c r="R229" s="118">
        <f t="shared" si="8"/>
        <v>12</v>
      </c>
      <c r="S229" s="91">
        <v>2020003630125</v>
      </c>
      <c r="T229" s="18" t="s">
        <v>817</v>
      </c>
      <c r="U229" s="92" t="s">
        <v>818</v>
      </c>
      <c r="V229" s="30"/>
      <c r="W229" s="30"/>
      <c r="X229" s="28">
        <f>70000000+12004333</f>
        <v>82004333</v>
      </c>
      <c r="Y229" s="30"/>
      <c r="Z229" s="30"/>
      <c r="AA229" s="30"/>
      <c r="AB229" s="28"/>
      <c r="AC229" s="30"/>
      <c r="AD229" s="30"/>
      <c r="AE229" s="30"/>
      <c r="AF229" s="93">
        <f t="shared" si="9"/>
        <v>82004333</v>
      </c>
      <c r="AG229" s="143" t="s">
        <v>1226</v>
      </c>
      <c r="AI229" s="21"/>
      <c r="AJ229" s="21"/>
    </row>
    <row r="230" spans="1:36" ht="117" hidden="1" customHeight="1" x14ac:dyDescent="0.2">
      <c r="A230" s="17">
        <v>318</v>
      </c>
      <c r="B230" s="115" t="s">
        <v>1083</v>
      </c>
      <c r="C230" s="17">
        <v>1</v>
      </c>
      <c r="D230" s="168">
        <v>1905</v>
      </c>
      <c r="E230" s="18" t="s">
        <v>1105</v>
      </c>
      <c r="F230" s="92" t="s">
        <v>746</v>
      </c>
      <c r="G230" s="17" t="s">
        <v>26</v>
      </c>
      <c r="H230" s="18" t="s">
        <v>819</v>
      </c>
      <c r="I230" s="17">
        <v>1905015</v>
      </c>
      <c r="J230" s="18" t="s">
        <v>159</v>
      </c>
      <c r="K230" s="17" t="s">
        <v>26</v>
      </c>
      <c r="L230" s="90" t="s">
        <v>820</v>
      </c>
      <c r="M230" s="17" t="s">
        <v>821</v>
      </c>
      <c r="N230" s="90" t="s">
        <v>822</v>
      </c>
      <c r="O230" s="94" t="s">
        <v>1212</v>
      </c>
      <c r="P230" s="105">
        <v>1</v>
      </c>
      <c r="Q230" s="105"/>
      <c r="R230" s="118">
        <f t="shared" si="8"/>
        <v>1</v>
      </c>
      <c r="S230" s="91">
        <v>2020003630125</v>
      </c>
      <c r="T230" s="18" t="s">
        <v>817</v>
      </c>
      <c r="U230" s="92" t="s">
        <v>818</v>
      </c>
      <c r="V230" s="30"/>
      <c r="W230" s="30"/>
      <c r="X230" s="28">
        <f>50000000+6366667</f>
        <v>56366667</v>
      </c>
      <c r="Y230" s="30"/>
      <c r="Z230" s="30"/>
      <c r="AA230" s="30"/>
      <c r="AB230" s="28"/>
      <c r="AC230" s="30"/>
      <c r="AD230" s="30"/>
      <c r="AE230" s="30"/>
      <c r="AF230" s="93">
        <f t="shared" si="9"/>
        <v>56366667</v>
      </c>
      <c r="AG230" s="143" t="s">
        <v>1226</v>
      </c>
      <c r="AI230" s="21"/>
      <c r="AJ230" s="21"/>
    </row>
    <row r="231" spans="1:36" ht="117" hidden="1" customHeight="1" x14ac:dyDescent="0.2">
      <c r="A231" s="17">
        <v>318</v>
      </c>
      <c r="B231" s="115" t="s">
        <v>1083</v>
      </c>
      <c r="C231" s="17">
        <v>1</v>
      </c>
      <c r="D231" s="168">
        <v>1905</v>
      </c>
      <c r="E231" s="18" t="s">
        <v>1105</v>
      </c>
      <c r="F231" s="92" t="s">
        <v>823</v>
      </c>
      <c r="G231" s="17">
        <v>1905023</v>
      </c>
      <c r="H231" s="18" t="s">
        <v>824</v>
      </c>
      <c r="I231" s="17">
        <v>1905023</v>
      </c>
      <c r="J231" s="18" t="s">
        <v>824</v>
      </c>
      <c r="K231" s="95">
        <v>190502300</v>
      </c>
      <c r="L231" s="90" t="s">
        <v>825</v>
      </c>
      <c r="M231" s="95">
        <v>190502300</v>
      </c>
      <c r="N231" s="90" t="s">
        <v>825</v>
      </c>
      <c r="O231" s="94" t="s">
        <v>1212</v>
      </c>
      <c r="P231" s="105">
        <v>12</v>
      </c>
      <c r="Q231" s="105"/>
      <c r="R231" s="118">
        <f t="shared" si="8"/>
        <v>12</v>
      </c>
      <c r="S231" s="91">
        <v>2020003630126</v>
      </c>
      <c r="T231" s="18" t="s">
        <v>1066</v>
      </c>
      <c r="U231" s="92" t="s">
        <v>826</v>
      </c>
      <c r="V231" s="30"/>
      <c r="W231" s="30"/>
      <c r="X231" s="28">
        <f>90000000+54642867</f>
        <v>144642867</v>
      </c>
      <c r="Y231" s="30"/>
      <c r="Z231" s="30"/>
      <c r="AA231" s="30"/>
      <c r="AB231" s="28">
        <v>30484800</v>
      </c>
      <c r="AC231" s="30"/>
      <c r="AD231" s="30"/>
      <c r="AE231" s="30"/>
      <c r="AF231" s="93">
        <f t="shared" si="9"/>
        <v>175127667</v>
      </c>
      <c r="AG231" s="143" t="s">
        <v>1226</v>
      </c>
      <c r="AI231" s="21"/>
      <c r="AJ231" s="21"/>
    </row>
    <row r="232" spans="1:36" ht="117" hidden="1" customHeight="1" x14ac:dyDescent="0.2">
      <c r="A232" s="17">
        <v>318</v>
      </c>
      <c r="B232" s="115" t="s">
        <v>1083</v>
      </c>
      <c r="C232" s="17">
        <v>1</v>
      </c>
      <c r="D232" s="168">
        <v>1905</v>
      </c>
      <c r="E232" s="18" t="s">
        <v>1105</v>
      </c>
      <c r="F232" s="92" t="s">
        <v>724</v>
      </c>
      <c r="G232" s="17">
        <v>1905031</v>
      </c>
      <c r="H232" s="90" t="s">
        <v>784</v>
      </c>
      <c r="I232" s="17">
        <v>1905031</v>
      </c>
      <c r="J232" s="18" t="s">
        <v>784</v>
      </c>
      <c r="K232" s="17">
        <v>190503100</v>
      </c>
      <c r="L232" s="90" t="s">
        <v>785</v>
      </c>
      <c r="M232" s="17">
        <v>190503100</v>
      </c>
      <c r="N232" s="90" t="s">
        <v>785</v>
      </c>
      <c r="O232" s="94" t="s">
        <v>1212</v>
      </c>
      <c r="P232" s="105">
        <v>12</v>
      </c>
      <c r="Q232" s="105"/>
      <c r="R232" s="118">
        <f t="shared" si="8"/>
        <v>12</v>
      </c>
      <c r="S232" s="91">
        <v>2020003630126</v>
      </c>
      <c r="T232" s="18" t="s">
        <v>1066</v>
      </c>
      <c r="U232" s="92" t="s">
        <v>826</v>
      </c>
      <c r="V232" s="30"/>
      <c r="W232" s="30"/>
      <c r="X232" s="28">
        <f>80000000+30374667</f>
        <v>110374667</v>
      </c>
      <c r="Y232" s="30"/>
      <c r="Z232" s="30"/>
      <c r="AA232" s="30"/>
      <c r="AB232" s="28"/>
      <c r="AC232" s="30"/>
      <c r="AD232" s="30"/>
      <c r="AE232" s="30"/>
      <c r="AF232" s="93">
        <f t="shared" si="9"/>
        <v>110374667</v>
      </c>
      <c r="AG232" s="143" t="s">
        <v>1226</v>
      </c>
      <c r="AI232" s="21"/>
      <c r="AJ232" s="21"/>
    </row>
    <row r="233" spans="1:36" ht="117" hidden="1" customHeight="1" x14ac:dyDescent="0.2">
      <c r="A233" s="17">
        <v>318</v>
      </c>
      <c r="B233" s="115" t="s">
        <v>1083</v>
      </c>
      <c r="C233" s="17">
        <v>1</v>
      </c>
      <c r="D233" s="168">
        <v>1905</v>
      </c>
      <c r="E233" s="18" t="s">
        <v>1105</v>
      </c>
      <c r="F233" s="92" t="s">
        <v>827</v>
      </c>
      <c r="G233" s="17">
        <v>1905012</v>
      </c>
      <c r="H233" s="18" t="s">
        <v>828</v>
      </c>
      <c r="I233" s="17">
        <v>1905012</v>
      </c>
      <c r="J233" s="18" t="s">
        <v>828</v>
      </c>
      <c r="K233" s="95">
        <v>190501200</v>
      </c>
      <c r="L233" s="90" t="s">
        <v>828</v>
      </c>
      <c r="M233" s="95">
        <v>190501200</v>
      </c>
      <c r="N233" s="90" t="s">
        <v>828</v>
      </c>
      <c r="O233" s="94" t="s">
        <v>1212</v>
      </c>
      <c r="P233" s="105">
        <v>1</v>
      </c>
      <c r="Q233" s="105"/>
      <c r="R233" s="118">
        <f t="shared" si="8"/>
        <v>1</v>
      </c>
      <c r="S233" s="91">
        <v>2020003630127</v>
      </c>
      <c r="T233" s="18" t="s">
        <v>829</v>
      </c>
      <c r="U233" s="92" t="s">
        <v>830</v>
      </c>
      <c r="V233" s="30"/>
      <c r="W233" s="30"/>
      <c r="X233" s="30">
        <f>20000000+2782168+1704450491.94-1163271904.1-260000000</f>
        <v>303960755.84000015</v>
      </c>
      <c r="Y233" s="30"/>
      <c r="Z233" s="30"/>
      <c r="AA233" s="30"/>
      <c r="AB233" s="28"/>
      <c r="AC233" s="30"/>
      <c r="AD233" s="30"/>
      <c r="AE233" s="39"/>
      <c r="AF233" s="93">
        <f t="shared" si="9"/>
        <v>303960755.84000015</v>
      </c>
      <c r="AG233" s="143" t="s">
        <v>1226</v>
      </c>
      <c r="AI233" s="21"/>
      <c r="AJ233" s="21"/>
    </row>
    <row r="234" spans="1:36" ht="117" hidden="1" customHeight="1" x14ac:dyDescent="0.2">
      <c r="A234" s="17">
        <v>318</v>
      </c>
      <c r="B234" s="115" t="s">
        <v>1083</v>
      </c>
      <c r="C234" s="17">
        <v>1</v>
      </c>
      <c r="D234" s="168">
        <v>1905</v>
      </c>
      <c r="E234" s="18" t="s">
        <v>1105</v>
      </c>
      <c r="F234" s="92" t="s">
        <v>831</v>
      </c>
      <c r="G234" s="17">
        <v>1905026</v>
      </c>
      <c r="H234" s="90" t="s">
        <v>832</v>
      </c>
      <c r="I234" s="17">
        <v>1905026</v>
      </c>
      <c r="J234" s="18" t="s">
        <v>832</v>
      </c>
      <c r="K234" s="95">
        <v>190502600</v>
      </c>
      <c r="L234" s="90" t="s">
        <v>833</v>
      </c>
      <c r="M234" s="95">
        <v>190502600</v>
      </c>
      <c r="N234" s="90" t="s">
        <v>833</v>
      </c>
      <c r="O234" s="94" t="s">
        <v>1212</v>
      </c>
      <c r="P234" s="105">
        <v>12</v>
      </c>
      <c r="Q234" s="105"/>
      <c r="R234" s="118">
        <f t="shared" si="8"/>
        <v>12</v>
      </c>
      <c r="S234" s="91">
        <v>2020003630127</v>
      </c>
      <c r="T234" s="18" t="s">
        <v>829</v>
      </c>
      <c r="U234" s="92" t="s">
        <v>830</v>
      </c>
      <c r="V234" s="30"/>
      <c r="W234" s="30"/>
      <c r="X234" s="30">
        <f>70000000+20000000+20000000</f>
        <v>110000000</v>
      </c>
      <c r="Y234" s="26"/>
      <c r="Z234" s="30"/>
      <c r="AA234" s="30"/>
      <c r="AB234" s="28"/>
      <c r="AC234" s="30"/>
      <c r="AD234" s="30"/>
      <c r="AE234" s="30"/>
      <c r="AF234" s="93">
        <f t="shared" si="9"/>
        <v>110000000</v>
      </c>
      <c r="AG234" s="143" t="s">
        <v>1226</v>
      </c>
      <c r="AI234" s="21"/>
      <c r="AJ234" s="21"/>
    </row>
    <row r="235" spans="1:36" ht="117" hidden="1" customHeight="1" x14ac:dyDescent="0.2">
      <c r="A235" s="17">
        <v>318</v>
      </c>
      <c r="B235" s="115" t="s">
        <v>1083</v>
      </c>
      <c r="C235" s="17">
        <v>1</v>
      </c>
      <c r="D235" s="168">
        <v>1905</v>
      </c>
      <c r="E235" s="18" t="s">
        <v>1105</v>
      </c>
      <c r="F235" s="92" t="s">
        <v>827</v>
      </c>
      <c r="G235" s="17">
        <v>1905027</v>
      </c>
      <c r="H235" s="18" t="s">
        <v>834</v>
      </c>
      <c r="I235" s="17">
        <v>1905027</v>
      </c>
      <c r="J235" s="18" t="s">
        <v>834</v>
      </c>
      <c r="K235" s="95">
        <v>190502700</v>
      </c>
      <c r="L235" s="18" t="s">
        <v>835</v>
      </c>
      <c r="M235" s="95">
        <v>190502700</v>
      </c>
      <c r="N235" s="90" t="s">
        <v>835</v>
      </c>
      <c r="O235" s="94" t="s">
        <v>1212</v>
      </c>
      <c r="P235" s="105">
        <v>12</v>
      </c>
      <c r="Q235" s="105"/>
      <c r="R235" s="118">
        <f t="shared" si="8"/>
        <v>12</v>
      </c>
      <c r="S235" s="91">
        <v>2020003630127</v>
      </c>
      <c r="T235" s="18" t="s">
        <v>829</v>
      </c>
      <c r="U235" s="92" t="s">
        <v>830</v>
      </c>
      <c r="V235" s="30"/>
      <c r="W235" s="30"/>
      <c r="X235" s="30">
        <f>75000000+90000000</f>
        <v>165000000</v>
      </c>
      <c r="Y235" s="26"/>
      <c r="Z235" s="30"/>
      <c r="AA235" s="30"/>
      <c r="AB235" s="28"/>
      <c r="AC235" s="30"/>
      <c r="AD235" s="30"/>
      <c r="AE235" s="30"/>
      <c r="AF235" s="93">
        <f t="shared" si="9"/>
        <v>165000000</v>
      </c>
      <c r="AG235" s="143" t="s">
        <v>1226</v>
      </c>
      <c r="AI235" s="21"/>
      <c r="AJ235" s="21"/>
    </row>
    <row r="236" spans="1:36" ht="117" hidden="1" customHeight="1" x14ac:dyDescent="0.2">
      <c r="A236" s="17">
        <v>318</v>
      </c>
      <c r="B236" s="115" t="s">
        <v>1083</v>
      </c>
      <c r="C236" s="17">
        <v>1</v>
      </c>
      <c r="D236" s="168">
        <v>1905</v>
      </c>
      <c r="E236" s="18" t="s">
        <v>1105</v>
      </c>
      <c r="F236" s="92" t="s">
        <v>836</v>
      </c>
      <c r="G236" s="17" t="s">
        <v>26</v>
      </c>
      <c r="H236" s="18" t="s">
        <v>803</v>
      </c>
      <c r="I236" s="17">
        <v>1905015</v>
      </c>
      <c r="J236" s="18" t="s">
        <v>252</v>
      </c>
      <c r="K236" s="17" t="s">
        <v>26</v>
      </c>
      <c r="L236" s="90" t="s">
        <v>804</v>
      </c>
      <c r="M236" s="95" t="s">
        <v>837</v>
      </c>
      <c r="N236" s="90" t="s">
        <v>161</v>
      </c>
      <c r="O236" s="94" t="s">
        <v>1213</v>
      </c>
      <c r="P236" s="105">
        <v>4</v>
      </c>
      <c r="Q236" s="105">
        <v>2</v>
      </c>
      <c r="R236" s="118">
        <f t="shared" si="8"/>
        <v>6</v>
      </c>
      <c r="S236" s="91">
        <v>2020003630128</v>
      </c>
      <c r="T236" s="18" t="s">
        <v>838</v>
      </c>
      <c r="U236" s="92" t="s">
        <v>1181</v>
      </c>
      <c r="V236" s="30"/>
      <c r="W236" s="30"/>
      <c r="X236" s="30">
        <v>80000000</v>
      </c>
      <c r="Y236" s="30"/>
      <c r="Z236" s="30"/>
      <c r="AA236" s="30"/>
      <c r="AB236" s="28">
        <v>40000000</v>
      </c>
      <c r="AC236" s="30"/>
      <c r="AD236" s="30"/>
      <c r="AE236" s="30"/>
      <c r="AF236" s="93">
        <f t="shared" si="9"/>
        <v>120000000</v>
      </c>
      <c r="AG236" s="143" t="s">
        <v>1226</v>
      </c>
      <c r="AI236" s="21"/>
      <c r="AJ236" s="21"/>
    </row>
    <row r="237" spans="1:36" ht="148.5" hidden="1" customHeight="1" x14ac:dyDescent="0.2">
      <c r="A237" s="17">
        <v>318</v>
      </c>
      <c r="B237" s="115" t="s">
        <v>1083</v>
      </c>
      <c r="C237" s="17">
        <v>1</v>
      </c>
      <c r="D237" s="168">
        <v>1905</v>
      </c>
      <c r="E237" s="18" t="s">
        <v>1105</v>
      </c>
      <c r="F237" s="92" t="s">
        <v>831</v>
      </c>
      <c r="G237" s="17">
        <v>1905026</v>
      </c>
      <c r="H237" s="90" t="s">
        <v>832</v>
      </c>
      <c r="I237" s="17">
        <v>1905026</v>
      </c>
      <c r="J237" s="18" t="s">
        <v>832</v>
      </c>
      <c r="K237" s="95">
        <v>190502600</v>
      </c>
      <c r="L237" s="90" t="s">
        <v>833</v>
      </c>
      <c r="M237" s="95">
        <v>190502600</v>
      </c>
      <c r="N237" s="90" t="s">
        <v>833</v>
      </c>
      <c r="O237" s="94" t="s">
        <v>1212</v>
      </c>
      <c r="P237" s="91">
        <v>12</v>
      </c>
      <c r="Q237" s="91"/>
      <c r="R237" s="118">
        <f t="shared" si="8"/>
        <v>12</v>
      </c>
      <c r="S237" s="91">
        <v>2020003630128</v>
      </c>
      <c r="T237" s="18" t="s">
        <v>838</v>
      </c>
      <c r="U237" s="92" t="s">
        <v>1181</v>
      </c>
      <c r="V237" s="30"/>
      <c r="W237" s="30"/>
      <c r="X237" s="30">
        <f>30000000+10000000+47478000</f>
        <v>87478000</v>
      </c>
      <c r="Y237" s="30"/>
      <c r="Z237" s="26"/>
      <c r="AA237" s="30"/>
      <c r="AB237" s="30">
        <v>130000000</v>
      </c>
      <c r="AC237" s="30"/>
      <c r="AD237" s="30"/>
      <c r="AE237" s="30">
        <v>232096860</v>
      </c>
      <c r="AF237" s="93">
        <f t="shared" si="9"/>
        <v>449574860</v>
      </c>
      <c r="AG237" s="143" t="s">
        <v>1226</v>
      </c>
      <c r="AI237" s="21"/>
      <c r="AJ237" s="21"/>
    </row>
    <row r="238" spans="1:36" ht="117" hidden="1" customHeight="1" x14ac:dyDescent="0.2">
      <c r="A238" s="17">
        <v>318</v>
      </c>
      <c r="B238" s="115" t="s">
        <v>1083</v>
      </c>
      <c r="C238" s="17">
        <v>1</v>
      </c>
      <c r="D238" s="168">
        <v>1905</v>
      </c>
      <c r="E238" s="18" t="s">
        <v>1105</v>
      </c>
      <c r="F238" s="92" t="s">
        <v>727</v>
      </c>
      <c r="G238" s="17">
        <v>1905014</v>
      </c>
      <c r="H238" s="18" t="s">
        <v>60</v>
      </c>
      <c r="I238" s="17">
        <v>1905014</v>
      </c>
      <c r="J238" s="18" t="s">
        <v>60</v>
      </c>
      <c r="K238" s="17">
        <v>190501400</v>
      </c>
      <c r="L238" s="18" t="s">
        <v>378</v>
      </c>
      <c r="M238" s="17">
        <v>190501400</v>
      </c>
      <c r="N238" s="90" t="s">
        <v>378</v>
      </c>
      <c r="O238" s="94" t="s">
        <v>1212</v>
      </c>
      <c r="P238" s="105">
        <v>12</v>
      </c>
      <c r="Q238" s="105"/>
      <c r="R238" s="118">
        <f t="shared" si="8"/>
        <v>12</v>
      </c>
      <c r="S238" s="91">
        <v>2020003630129</v>
      </c>
      <c r="T238" s="18" t="s">
        <v>1175</v>
      </c>
      <c r="U238" s="92" t="s">
        <v>1180</v>
      </c>
      <c r="V238" s="30"/>
      <c r="W238" s="30"/>
      <c r="X238" s="30">
        <f>45000000+9452467</f>
        <v>54452467</v>
      </c>
      <c r="Y238" s="30"/>
      <c r="Z238" s="30"/>
      <c r="AA238" s="30"/>
      <c r="AB238" s="28"/>
      <c r="AC238" s="30"/>
      <c r="AD238" s="30"/>
      <c r="AE238" s="30"/>
      <c r="AF238" s="93">
        <f t="shared" si="9"/>
        <v>54452467</v>
      </c>
      <c r="AG238" s="143" t="s">
        <v>1226</v>
      </c>
      <c r="AI238" s="21"/>
      <c r="AJ238" s="21"/>
    </row>
    <row r="239" spans="1:36" ht="147" hidden="1" customHeight="1" x14ac:dyDescent="0.2">
      <c r="A239" s="17">
        <v>318</v>
      </c>
      <c r="B239" s="115" t="s">
        <v>1083</v>
      </c>
      <c r="C239" s="17">
        <v>1</v>
      </c>
      <c r="D239" s="168">
        <v>1905</v>
      </c>
      <c r="E239" s="18" t="s">
        <v>1105</v>
      </c>
      <c r="F239" s="92" t="s">
        <v>831</v>
      </c>
      <c r="G239" s="95">
        <v>1905026</v>
      </c>
      <c r="H239" s="90" t="s">
        <v>839</v>
      </c>
      <c r="I239" s="17">
        <v>1905026</v>
      </c>
      <c r="J239" s="18" t="s">
        <v>839</v>
      </c>
      <c r="K239" s="95">
        <v>190502600</v>
      </c>
      <c r="L239" s="90" t="s">
        <v>833</v>
      </c>
      <c r="M239" s="95">
        <v>190502600</v>
      </c>
      <c r="N239" s="90" t="s">
        <v>833</v>
      </c>
      <c r="O239" s="94" t="s">
        <v>1212</v>
      </c>
      <c r="P239" s="91">
        <v>12</v>
      </c>
      <c r="Q239" s="91"/>
      <c r="R239" s="118">
        <f t="shared" si="8"/>
        <v>12</v>
      </c>
      <c r="S239" s="91">
        <v>2020003630129</v>
      </c>
      <c r="T239" s="18" t="s">
        <v>1175</v>
      </c>
      <c r="U239" s="92" t="s">
        <v>1180</v>
      </c>
      <c r="V239" s="30"/>
      <c r="W239" s="30"/>
      <c r="X239" s="30"/>
      <c r="Y239" s="30"/>
      <c r="Z239" s="30"/>
      <c r="AA239" s="30"/>
      <c r="AB239" s="28"/>
      <c r="AC239" s="30"/>
      <c r="AD239" s="30"/>
      <c r="AE239" s="30">
        <v>177530473</v>
      </c>
      <c r="AF239" s="93">
        <f t="shared" si="9"/>
        <v>177530473</v>
      </c>
      <c r="AG239" s="143" t="s">
        <v>1226</v>
      </c>
      <c r="AI239" s="21"/>
      <c r="AJ239" s="21"/>
    </row>
    <row r="240" spans="1:36" ht="147" hidden="1" customHeight="1" x14ac:dyDescent="0.2">
      <c r="A240" s="17">
        <v>318</v>
      </c>
      <c r="B240" s="115" t="s">
        <v>1083</v>
      </c>
      <c r="C240" s="17">
        <v>1</v>
      </c>
      <c r="D240" s="168">
        <v>1905</v>
      </c>
      <c r="E240" s="18" t="s">
        <v>1105</v>
      </c>
      <c r="F240" s="92" t="s">
        <v>831</v>
      </c>
      <c r="G240" s="17">
        <v>1905026</v>
      </c>
      <c r="H240" s="90" t="s">
        <v>832</v>
      </c>
      <c r="I240" s="17">
        <v>1905026</v>
      </c>
      <c r="J240" s="18" t="s">
        <v>832</v>
      </c>
      <c r="K240" s="95">
        <v>190502600</v>
      </c>
      <c r="L240" s="90" t="s">
        <v>833</v>
      </c>
      <c r="M240" s="95">
        <v>190502600</v>
      </c>
      <c r="N240" s="90" t="s">
        <v>833</v>
      </c>
      <c r="O240" s="94" t="s">
        <v>1212</v>
      </c>
      <c r="P240" s="91">
        <v>12</v>
      </c>
      <c r="Q240" s="91"/>
      <c r="R240" s="118">
        <f t="shared" si="8"/>
        <v>12</v>
      </c>
      <c r="S240" s="91">
        <v>2020003630130</v>
      </c>
      <c r="T240" s="104" t="s">
        <v>840</v>
      </c>
      <c r="U240" s="92" t="s">
        <v>841</v>
      </c>
      <c r="V240" s="30"/>
      <c r="W240" s="30"/>
      <c r="X240" s="30"/>
      <c r="Y240" s="39"/>
      <c r="Z240" s="30"/>
      <c r="AA240" s="30"/>
      <c r="AB240" s="28">
        <f>500000000-398675151+36000000+100000000+10000000+252675151-48165000</f>
        <v>451835000</v>
      </c>
      <c r="AC240" s="30"/>
      <c r="AD240" s="30"/>
      <c r="AE240" s="30"/>
      <c r="AF240" s="93">
        <f t="shared" si="9"/>
        <v>451835000</v>
      </c>
      <c r="AG240" s="143" t="s">
        <v>1226</v>
      </c>
      <c r="AI240" s="21"/>
      <c r="AJ240" s="21"/>
    </row>
    <row r="241" spans="1:37" ht="117" hidden="1" customHeight="1" x14ac:dyDescent="0.2">
      <c r="A241" s="17">
        <v>318</v>
      </c>
      <c r="B241" s="115" t="s">
        <v>1083</v>
      </c>
      <c r="C241" s="17">
        <v>1</v>
      </c>
      <c r="D241" s="168">
        <v>1905</v>
      </c>
      <c r="E241" s="18" t="s">
        <v>1105</v>
      </c>
      <c r="F241" s="92" t="s">
        <v>734</v>
      </c>
      <c r="G241" s="17">
        <v>1905029</v>
      </c>
      <c r="H241" s="18" t="s">
        <v>842</v>
      </c>
      <c r="I241" s="17">
        <v>1905030</v>
      </c>
      <c r="J241" s="18" t="s">
        <v>843</v>
      </c>
      <c r="K241" s="95">
        <v>190502900</v>
      </c>
      <c r="L241" s="90" t="s">
        <v>844</v>
      </c>
      <c r="M241" s="95">
        <v>190503000</v>
      </c>
      <c r="N241" s="90" t="s">
        <v>844</v>
      </c>
      <c r="O241" s="94" t="s">
        <v>1212</v>
      </c>
      <c r="P241" s="105">
        <v>60</v>
      </c>
      <c r="Q241" s="105"/>
      <c r="R241" s="118">
        <f t="shared" si="8"/>
        <v>60</v>
      </c>
      <c r="S241" s="91">
        <v>2020003630131</v>
      </c>
      <c r="T241" s="104" t="s">
        <v>1053</v>
      </c>
      <c r="U241" s="92" t="s">
        <v>845</v>
      </c>
      <c r="V241" s="30"/>
      <c r="W241" s="30"/>
      <c r="X241" s="30">
        <v>20000000</v>
      </c>
      <c r="Y241" s="30"/>
      <c r="Z241" s="30"/>
      <c r="AA241" s="30"/>
      <c r="AB241" s="28"/>
      <c r="AC241" s="30"/>
      <c r="AD241" s="30"/>
      <c r="AE241" s="30"/>
      <c r="AF241" s="93">
        <f t="shared" si="9"/>
        <v>20000000</v>
      </c>
      <c r="AG241" s="143" t="s">
        <v>1226</v>
      </c>
      <c r="AI241" s="21"/>
      <c r="AJ241" s="21"/>
    </row>
    <row r="242" spans="1:37" ht="117" hidden="1" customHeight="1" x14ac:dyDescent="0.2">
      <c r="A242" s="17">
        <v>318</v>
      </c>
      <c r="B242" s="115" t="s">
        <v>1083</v>
      </c>
      <c r="C242" s="17">
        <v>1</v>
      </c>
      <c r="D242" s="168">
        <v>1905</v>
      </c>
      <c r="E242" s="18" t="s">
        <v>1105</v>
      </c>
      <c r="F242" s="92" t="s">
        <v>769</v>
      </c>
      <c r="G242" s="17">
        <v>1905025</v>
      </c>
      <c r="H242" s="18" t="s">
        <v>846</v>
      </c>
      <c r="I242" s="17">
        <v>1905025</v>
      </c>
      <c r="J242" s="18" t="s">
        <v>846</v>
      </c>
      <c r="K242" s="95">
        <v>190502500</v>
      </c>
      <c r="L242" s="90" t="s">
        <v>847</v>
      </c>
      <c r="M242" s="95">
        <v>190502500</v>
      </c>
      <c r="N242" s="90" t="s">
        <v>847</v>
      </c>
      <c r="O242" s="94" t="s">
        <v>1212</v>
      </c>
      <c r="P242" s="105">
        <v>12</v>
      </c>
      <c r="Q242" s="105"/>
      <c r="R242" s="118">
        <f t="shared" si="8"/>
        <v>12</v>
      </c>
      <c r="S242" s="91">
        <v>2020003630132</v>
      </c>
      <c r="T242" s="104" t="s">
        <v>1176</v>
      </c>
      <c r="U242" s="92" t="s">
        <v>848</v>
      </c>
      <c r="V242" s="30"/>
      <c r="W242" s="30"/>
      <c r="X242" s="30">
        <f>85000000+8077333</f>
        <v>93077333</v>
      </c>
      <c r="Y242" s="30"/>
      <c r="Z242" s="30"/>
      <c r="AA242" s="30"/>
      <c r="AB242" s="28"/>
      <c r="AC242" s="30"/>
      <c r="AD242" s="30"/>
      <c r="AE242" s="30"/>
      <c r="AF242" s="93">
        <f t="shared" si="9"/>
        <v>93077333</v>
      </c>
      <c r="AG242" s="143" t="s">
        <v>1226</v>
      </c>
      <c r="AI242" s="21"/>
      <c r="AJ242" s="21"/>
    </row>
    <row r="243" spans="1:37" ht="117" hidden="1" customHeight="1" x14ac:dyDescent="0.2">
      <c r="A243" s="17">
        <v>318</v>
      </c>
      <c r="B243" s="115" t="s">
        <v>1083</v>
      </c>
      <c r="C243" s="17">
        <v>1</v>
      </c>
      <c r="D243" s="168">
        <v>1905</v>
      </c>
      <c r="E243" s="18" t="s">
        <v>1105</v>
      </c>
      <c r="F243" s="92" t="s">
        <v>738</v>
      </c>
      <c r="G243" s="17">
        <v>1905015</v>
      </c>
      <c r="H243" s="18" t="s">
        <v>159</v>
      </c>
      <c r="I243" s="17">
        <v>1905015</v>
      </c>
      <c r="J243" s="18" t="s">
        <v>159</v>
      </c>
      <c r="K243" s="17">
        <v>190501503</v>
      </c>
      <c r="L243" s="90" t="s">
        <v>849</v>
      </c>
      <c r="M243" s="17">
        <v>190501503</v>
      </c>
      <c r="N243" s="90" t="s">
        <v>849</v>
      </c>
      <c r="O243" s="94" t="s">
        <v>1212</v>
      </c>
      <c r="P243" s="105">
        <v>15</v>
      </c>
      <c r="Q243" s="105"/>
      <c r="R243" s="118">
        <f t="shared" si="8"/>
        <v>15</v>
      </c>
      <c r="S243" s="91">
        <v>2020003630133</v>
      </c>
      <c r="T243" s="104" t="s">
        <v>1177</v>
      </c>
      <c r="U243" s="92" t="s">
        <v>850</v>
      </c>
      <c r="V243" s="30"/>
      <c r="W243" s="30"/>
      <c r="X243" s="49">
        <f>320000000+98400120</f>
        <v>418400120</v>
      </c>
      <c r="Y243" s="30"/>
      <c r="Z243" s="30"/>
      <c r="AA243" s="30"/>
      <c r="AB243" s="28">
        <v>80000000</v>
      </c>
      <c r="AC243" s="30"/>
      <c r="AD243" s="30"/>
      <c r="AE243" s="30"/>
      <c r="AF243" s="93">
        <f t="shared" si="9"/>
        <v>498400120</v>
      </c>
      <c r="AG243" s="143" t="s">
        <v>1226</v>
      </c>
      <c r="AI243" s="21"/>
      <c r="AJ243" s="21"/>
    </row>
    <row r="244" spans="1:37" ht="117" hidden="1" customHeight="1" x14ac:dyDescent="0.2">
      <c r="A244" s="17">
        <v>318</v>
      </c>
      <c r="B244" s="115" t="s">
        <v>1083</v>
      </c>
      <c r="C244" s="17">
        <v>1</v>
      </c>
      <c r="D244" s="168">
        <v>1905</v>
      </c>
      <c r="E244" s="18" t="s">
        <v>1105</v>
      </c>
      <c r="F244" s="92" t="s">
        <v>851</v>
      </c>
      <c r="G244" s="17" t="s">
        <v>26</v>
      </c>
      <c r="H244" s="18" t="s">
        <v>852</v>
      </c>
      <c r="I244" s="17">
        <v>1905009</v>
      </c>
      <c r="J244" s="18" t="s">
        <v>853</v>
      </c>
      <c r="K244" s="17" t="s">
        <v>26</v>
      </c>
      <c r="L244" s="90" t="s">
        <v>854</v>
      </c>
      <c r="M244" s="17" t="s">
        <v>855</v>
      </c>
      <c r="N244" s="90" t="s">
        <v>856</v>
      </c>
      <c r="O244" s="94" t="s">
        <v>1212</v>
      </c>
      <c r="P244" s="105">
        <v>1</v>
      </c>
      <c r="Q244" s="105"/>
      <c r="R244" s="118">
        <f t="shared" si="8"/>
        <v>1</v>
      </c>
      <c r="S244" s="91">
        <v>2020003630134</v>
      </c>
      <c r="T244" s="104" t="s">
        <v>857</v>
      </c>
      <c r="U244" s="92" t="s">
        <v>858</v>
      </c>
      <c r="V244" s="30"/>
      <c r="W244" s="30"/>
      <c r="X244" s="30"/>
      <c r="Y244" s="50"/>
      <c r="Z244" s="30"/>
      <c r="AA244" s="30"/>
      <c r="AB244" s="28">
        <f>300000000+54900000</f>
        <v>354900000</v>
      </c>
      <c r="AC244" s="30"/>
      <c r="AD244" s="30"/>
      <c r="AE244" s="30"/>
      <c r="AF244" s="93">
        <f t="shared" si="9"/>
        <v>354900000</v>
      </c>
      <c r="AG244" s="143" t="s">
        <v>1226</v>
      </c>
      <c r="AI244" s="21"/>
      <c r="AJ244" s="21"/>
    </row>
    <row r="245" spans="1:37" ht="117" hidden="1" customHeight="1" x14ac:dyDescent="0.2">
      <c r="A245" s="17">
        <v>318</v>
      </c>
      <c r="B245" s="115" t="s">
        <v>1083</v>
      </c>
      <c r="C245" s="17">
        <v>1</v>
      </c>
      <c r="D245" s="168">
        <v>1905</v>
      </c>
      <c r="E245" s="18" t="s">
        <v>1105</v>
      </c>
      <c r="F245" s="96" t="s">
        <v>724</v>
      </c>
      <c r="G245" s="17">
        <v>1905031</v>
      </c>
      <c r="H245" s="90" t="s">
        <v>784</v>
      </c>
      <c r="I245" s="35">
        <v>1905031</v>
      </c>
      <c r="J245" s="18" t="s">
        <v>784</v>
      </c>
      <c r="K245" s="35">
        <v>190503100</v>
      </c>
      <c r="L245" s="90" t="s">
        <v>785</v>
      </c>
      <c r="M245" s="17">
        <v>190503100</v>
      </c>
      <c r="N245" s="90" t="s">
        <v>785</v>
      </c>
      <c r="O245" s="94" t="s">
        <v>1212</v>
      </c>
      <c r="P245" s="105">
        <v>12</v>
      </c>
      <c r="Q245" s="105"/>
      <c r="R245" s="118">
        <f t="shared" si="8"/>
        <v>12</v>
      </c>
      <c r="S245" s="91">
        <v>2020003630135</v>
      </c>
      <c r="T245" s="104" t="s">
        <v>859</v>
      </c>
      <c r="U245" s="92" t="s">
        <v>860</v>
      </c>
      <c r="V245" s="30"/>
      <c r="W245" s="30"/>
      <c r="X245" s="30">
        <f>1282454279.1+302759625+102548000-705793904.1+1005793904.1+260000000</f>
        <v>2247761904.0999999</v>
      </c>
      <c r="Y245" s="30"/>
      <c r="Z245" s="30"/>
      <c r="AA245" s="30"/>
      <c r="AB245" s="28"/>
      <c r="AC245" s="30"/>
      <c r="AD245" s="30"/>
      <c r="AE245" s="30"/>
      <c r="AF245" s="93">
        <f t="shared" si="9"/>
        <v>2247761904.0999999</v>
      </c>
      <c r="AG245" s="143" t="s">
        <v>1226</v>
      </c>
      <c r="AI245" s="21"/>
      <c r="AJ245" s="21"/>
    </row>
    <row r="246" spans="1:37" ht="117" hidden="1" customHeight="1" x14ac:dyDescent="0.2">
      <c r="A246" s="17">
        <v>318</v>
      </c>
      <c r="B246" s="115" t="s">
        <v>1083</v>
      </c>
      <c r="C246" s="17">
        <v>1</v>
      </c>
      <c r="D246" s="168">
        <v>1906</v>
      </c>
      <c r="E246" s="18" t="s">
        <v>1086</v>
      </c>
      <c r="F246" s="92" t="s">
        <v>863</v>
      </c>
      <c r="G246" s="17" t="s">
        <v>26</v>
      </c>
      <c r="H246" s="18" t="s">
        <v>864</v>
      </c>
      <c r="I246" s="17">
        <v>1906023</v>
      </c>
      <c r="J246" s="18" t="s">
        <v>865</v>
      </c>
      <c r="K246" s="17" t="s">
        <v>26</v>
      </c>
      <c r="L246" s="18" t="s">
        <v>866</v>
      </c>
      <c r="M246" s="17">
        <v>190602300</v>
      </c>
      <c r="N246" s="90" t="s">
        <v>867</v>
      </c>
      <c r="O246" s="94" t="s">
        <v>1212</v>
      </c>
      <c r="P246" s="105">
        <v>19899</v>
      </c>
      <c r="Q246" s="105"/>
      <c r="R246" s="118">
        <f t="shared" si="8"/>
        <v>19899</v>
      </c>
      <c r="S246" s="91">
        <v>2020003630136</v>
      </c>
      <c r="T246" s="104" t="s">
        <v>861</v>
      </c>
      <c r="U246" s="92" t="s">
        <v>862</v>
      </c>
      <c r="V246" s="30"/>
      <c r="W246" s="30">
        <f>3929163384-3929163384</f>
        <v>0</v>
      </c>
      <c r="X246" s="30"/>
      <c r="Y246" s="27">
        <f>4200828874+7157581679+1640264244+1327550400+742627190+425625593+13600000+393715436+1021550853+625149620+1679821678+3749209145+4269680335+8180037495.7+3926845415.95</f>
        <v>39354087958.649994</v>
      </c>
      <c r="Z246" s="30"/>
      <c r="AA246" s="30"/>
      <c r="AB246" s="28"/>
      <c r="AC246" s="30"/>
      <c r="AD246" s="30"/>
      <c r="AE246" s="30"/>
      <c r="AF246" s="93">
        <f t="shared" si="9"/>
        <v>39354087958.649994</v>
      </c>
      <c r="AG246" s="143" t="s">
        <v>1226</v>
      </c>
      <c r="AI246" s="21"/>
      <c r="AJ246" s="21"/>
    </row>
    <row r="247" spans="1:37" ht="117" hidden="1" customHeight="1" x14ac:dyDescent="0.2">
      <c r="A247" s="17">
        <v>318</v>
      </c>
      <c r="B247" s="115" t="s">
        <v>1083</v>
      </c>
      <c r="C247" s="17">
        <v>1</v>
      </c>
      <c r="D247" s="168">
        <v>1906</v>
      </c>
      <c r="E247" s="18" t="s">
        <v>1086</v>
      </c>
      <c r="F247" s="96" t="s">
        <v>753</v>
      </c>
      <c r="G247" s="17" t="s">
        <v>26</v>
      </c>
      <c r="H247" s="18" t="s">
        <v>868</v>
      </c>
      <c r="I247" s="17">
        <v>1906023</v>
      </c>
      <c r="J247" s="18" t="s">
        <v>865</v>
      </c>
      <c r="K247" s="17" t="s">
        <v>26</v>
      </c>
      <c r="L247" s="90" t="s">
        <v>869</v>
      </c>
      <c r="M247" s="95">
        <v>190602301</v>
      </c>
      <c r="N247" s="90" t="s">
        <v>870</v>
      </c>
      <c r="O247" s="94" t="s">
        <v>1212</v>
      </c>
      <c r="P247" s="105">
        <v>60</v>
      </c>
      <c r="Q247" s="105"/>
      <c r="R247" s="118">
        <f t="shared" si="8"/>
        <v>60</v>
      </c>
      <c r="S247" s="91">
        <v>2020003630137</v>
      </c>
      <c r="T247" s="18" t="s">
        <v>1054</v>
      </c>
      <c r="U247" s="92" t="s">
        <v>871</v>
      </c>
      <c r="V247" s="30"/>
      <c r="W247" s="30"/>
      <c r="X247" s="30"/>
      <c r="Y247" s="27"/>
      <c r="Z247" s="30"/>
      <c r="AA247" s="30"/>
      <c r="AB247" s="28"/>
      <c r="AC247" s="30"/>
      <c r="AD247" s="30"/>
      <c r="AE247" s="30">
        <f>1485182577.2+0.8+417055422</f>
        <v>1902238000</v>
      </c>
      <c r="AF247" s="93">
        <f t="shared" si="9"/>
        <v>1902238000</v>
      </c>
      <c r="AG247" s="143" t="s">
        <v>1226</v>
      </c>
      <c r="AI247" s="21"/>
      <c r="AJ247" s="21"/>
    </row>
    <row r="248" spans="1:37" ht="117" hidden="1" customHeight="1" x14ac:dyDescent="0.2">
      <c r="A248" s="17">
        <v>318</v>
      </c>
      <c r="B248" s="115" t="s">
        <v>1083</v>
      </c>
      <c r="C248" s="17">
        <v>1</v>
      </c>
      <c r="D248" s="168">
        <v>1906</v>
      </c>
      <c r="E248" s="18" t="s">
        <v>1086</v>
      </c>
      <c r="F248" s="92" t="s">
        <v>863</v>
      </c>
      <c r="G248" s="17" t="s">
        <v>26</v>
      </c>
      <c r="H248" s="18" t="s">
        <v>872</v>
      </c>
      <c r="I248" s="17">
        <v>1906025</v>
      </c>
      <c r="J248" s="18" t="s">
        <v>873</v>
      </c>
      <c r="K248" s="17" t="s">
        <v>26</v>
      </c>
      <c r="L248" s="90" t="s">
        <v>874</v>
      </c>
      <c r="M248" s="17">
        <v>190602500</v>
      </c>
      <c r="N248" s="90" t="s">
        <v>875</v>
      </c>
      <c r="O248" s="94" t="s">
        <v>1212</v>
      </c>
      <c r="P248" s="105">
        <v>100</v>
      </c>
      <c r="Q248" s="105"/>
      <c r="R248" s="118">
        <f t="shared" si="8"/>
        <v>100</v>
      </c>
      <c r="S248" s="91">
        <v>2020003630137</v>
      </c>
      <c r="T248" s="104" t="s">
        <v>1054</v>
      </c>
      <c r="U248" s="92" t="s">
        <v>871</v>
      </c>
      <c r="V248" s="30"/>
      <c r="W248" s="30">
        <f>400000000+100000000</f>
        <v>500000000</v>
      </c>
      <c r="X248" s="149">
        <f>1724393294+1000000+31823996</f>
        <v>1757217290</v>
      </c>
      <c r="Y248" s="30"/>
      <c r="Z248" s="30"/>
      <c r="AA248" s="30"/>
      <c r="AB248" s="28"/>
      <c r="AC248" s="30"/>
      <c r="AD248" s="30"/>
      <c r="AE248" s="30"/>
      <c r="AF248" s="93">
        <f t="shared" si="9"/>
        <v>2257217290</v>
      </c>
      <c r="AG248" s="143" t="s">
        <v>1226</v>
      </c>
      <c r="AI248" s="21"/>
      <c r="AJ248" s="21"/>
    </row>
    <row r="249" spans="1:37" ht="117" hidden="1" customHeight="1" x14ac:dyDescent="0.2">
      <c r="A249" s="17">
        <v>318</v>
      </c>
      <c r="B249" s="115" t="s">
        <v>1083</v>
      </c>
      <c r="C249" s="17">
        <v>1</v>
      </c>
      <c r="D249" s="168">
        <v>1906</v>
      </c>
      <c r="E249" s="18" t="s">
        <v>1086</v>
      </c>
      <c r="F249" s="92" t="s">
        <v>863</v>
      </c>
      <c r="G249" s="17" t="s">
        <v>26</v>
      </c>
      <c r="H249" s="18" t="s">
        <v>876</v>
      </c>
      <c r="I249" s="17">
        <v>1906025</v>
      </c>
      <c r="J249" s="18" t="s">
        <v>873</v>
      </c>
      <c r="K249" s="17" t="s">
        <v>26</v>
      </c>
      <c r="L249" s="90" t="s">
        <v>877</v>
      </c>
      <c r="M249" s="17">
        <v>190602500</v>
      </c>
      <c r="N249" s="90" t="s">
        <v>875</v>
      </c>
      <c r="O249" s="94" t="s">
        <v>1212</v>
      </c>
      <c r="P249" s="105">
        <v>100</v>
      </c>
      <c r="Q249" s="105"/>
      <c r="R249" s="118">
        <f t="shared" si="8"/>
        <v>100</v>
      </c>
      <c r="S249" s="91">
        <v>2020003630137</v>
      </c>
      <c r="T249" s="104" t="s">
        <v>1054</v>
      </c>
      <c r="U249" s="92" t="s">
        <v>871</v>
      </c>
      <c r="V249" s="30"/>
      <c r="W249" s="30">
        <f>1964581691-1964581691+159888430.18</f>
        <v>159888430.18000001</v>
      </c>
      <c r="X249" s="149">
        <f>1889.57+144394752.27</f>
        <v>144396641.84</v>
      </c>
      <c r="Y249" s="30">
        <f>1000000+820132122+340516951+839910839+1624064740+27051355.4+1165629392.29+1104800028.08</f>
        <v>5923105427.7700005</v>
      </c>
      <c r="Z249" s="30"/>
      <c r="AA249" s="30"/>
      <c r="AB249" s="28"/>
      <c r="AC249" s="30">
        <v>12226.6</v>
      </c>
      <c r="AD249" s="30"/>
      <c r="AE249" s="30">
        <v>6443391987</v>
      </c>
      <c r="AF249" s="93">
        <f t="shared" si="9"/>
        <v>12670794713.390001</v>
      </c>
      <c r="AG249" s="143" t="s">
        <v>1226</v>
      </c>
      <c r="AI249" s="21"/>
      <c r="AJ249" s="21"/>
      <c r="AK249" s="21"/>
    </row>
    <row r="250" spans="1:37" ht="117" hidden="1" customHeight="1" x14ac:dyDescent="0.2">
      <c r="A250" s="17">
        <v>318</v>
      </c>
      <c r="B250" s="115" t="s">
        <v>1083</v>
      </c>
      <c r="C250" s="17">
        <v>1</v>
      </c>
      <c r="D250" s="168">
        <v>1906</v>
      </c>
      <c r="E250" s="18" t="s">
        <v>1086</v>
      </c>
      <c r="F250" s="92" t="s">
        <v>878</v>
      </c>
      <c r="G250" s="17">
        <v>1906029</v>
      </c>
      <c r="H250" s="18" t="s">
        <v>879</v>
      </c>
      <c r="I250" s="17">
        <v>1906029</v>
      </c>
      <c r="J250" s="18" t="s">
        <v>879</v>
      </c>
      <c r="K250" s="95">
        <v>190602900</v>
      </c>
      <c r="L250" s="90" t="s">
        <v>880</v>
      </c>
      <c r="M250" s="95">
        <v>190602900</v>
      </c>
      <c r="N250" s="90" t="s">
        <v>880</v>
      </c>
      <c r="O250" s="94" t="s">
        <v>1212</v>
      </c>
      <c r="P250" s="105">
        <v>40</v>
      </c>
      <c r="Q250" s="105"/>
      <c r="R250" s="118">
        <f t="shared" si="8"/>
        <v>40</v>
      </c>
      <c r="S250" s="91">
        <v>2020003630138</v>
      </c>
      <c r="T250" s="104" t="s">
        <v>881</v>
      </c>
      <c r="U250" s="92" t="s">
        <v>882</v>
      </c>
      <c r="V250" s="30"/>
      <c r="W250" s="30"/>
      <c r="X250" s="30"/>
      <c r="Y250" s="49"/>
      <c r="Z250" s="30"/>
      <c r="AA250" s="30"/>
      <c r="AB250" s="28">
        <f>150390000+25000000+24165000</f>
        <v>199555000</v>
      </c>
      <c r="AC250" s="30"/>
      <c r="AD250" s="30"/>
      <c r="AE250" s="30">
        <v>468599154.12</v>
      </c>
      <c r="AF250" s="93">
        <f t="shared" si="9"/>
        <v>668154154.12</v>
      </c>
      <c r="AG250" s="143" t="s">
        <v>1226</v>
      </c>
      <c r="AI250" s="21"/>
      <c r="AJ250" s="21"/>
    </row>
    <row r="251" spans="1:37" ht="117" hidden="1" customHeight="1" x14ac:dyDescent="0.2">
      <c r="A251" s="17">
        <v>318</v>
      </c>
      <c r="B251" s="115" t="s">
        <v>1083</v>
      </c>
      <c r="C251" s="17">
        <v>1</v>
      </c>
      <c r="D251" s="168">
        <v>1906</v>
      </c>
      <c r="E251" s="18" t="s">
        <v>1086</v>
      </c>
      <c r="F251" s="92" t="s">
        <v>883</v>
      </c>
      <c r="G251" s="17">
        <v>1906005</v>
      </c>
      <c r="H251" s="18" t="s">
        <v>884</v>
      </c>
      <c r="I251" s="17">
        <v>1906005</v>
      </c>
      <c r="J251" s="18" t="s">
        <v>884</v>
      </c>
      <c r="K251" s="95">
        <v>190600500</v>
      </c>
      <c r="L251" s="90" t="s">
        <v>884</v>
      </c>
      <c r="M251" s="95">
        <v>190600500</v>
      </c>
      <c r="N251" s="90" t="s">
        <v>884</v>
      </c>
      <c r="O251" s="94" t="s">
        <v>1213</v>
      </c>
      <c r="P251" s="105">
        <v>4</v>
      </c>
      <c r="Q251" s="105">
        <v>3</v>
      </c>
      <c r="R251" s="118">
        <f t="shared" si="8"/>
        <v>7</v>
      </c>
      <c r="S251" s="91">
        <v>2020003630138</v>
      </c>
      <c r="T251" s="104" t="s">
        <v>881</v>
      </c>
      <c r="U251" s="92" t="s">
        <v>882</v>
      </c>
      <c r="V251" s="30"/>
      <c r="W251" s="30"/>
      <c r="X251" s="30"/>
      <c r="Y251" s="49"/>
      <c r="Z251" s="30"/>
      <c r="AA251" s="30"/>
      <c r="AB251" s="28">
        <f>20000000+20000000</f>
        <v>40000000</v>
      </c>
      <c r="AC251" s="30"/>
      <c r="AD251" s="30"/>
      <c r="AE251" s="30"/>
      <c r="AF251" s="93">
        <f t="shared" si="9"/>
        <v>40000000</v>
      </c>
      <c r="AG251" s="143" t="s">
        <v>1226</v>
      </c>
      <c r="AI251" s="21"/>
      <c r="AJ251" s="21"/>
    </row>
    <row r="252" spans="1:37" ht="117" hidden="1" customHeight="1" x14ac:dyDescent="0.2">
      <c r="A252" s="17">
        <v>318</v>
      </c>
      <c r="B252" s="115" t="s">
        <v>1083</v>
      </c>
      <c r="C252" s="17">
        <v>1</v>
      </c>
      <c r="D252" s="168">
        <v>1906</v>
      </c>
      <c r="E252" s="18" t="s">
        <v>1086</v>
      </c>
      <c r="F252" s="92" t="s">
        <v>721</v>
      </c>
      <c r="G252" s="17">
        <v>1906022</v>
      </c>
      <c r="H252" s="18" t="s">
        <v>885</v>
      </c>
      <c r="I252" s="17">
        <v>1906022</v>
      </c>
      <c r="J252" s="18" t="s">
        <v>885</v>
      </c>
      <c r="K252" s="95">
        <v>190602200</v>
      </c>
      <c r="L252" s="90" t="s">
        <v>886</v>
      </c>
      <c r="M252" s="95">
        <v>190602200</v>
      </c>
      <c r="N252" s="90" t="s">
        <v>886</v>
      </c>
      <c r="O252" s="94" t="s">
        <v>1213</v>
      </c>
      <c r="P252" s="105">
        <v>3</v>
      </c>
      <c r="Q252" s="105"/>
      <c r="R252" s="118">
        <f t="shared" si="8"/>
        <v>3</v>
      </c>
      <c r="S252" s="91">
        <v>2020003630138</v>
      </c>
      <c r="T252" s="104" t="s">
        <v>881</v>
      </c>
      <c r="U252" s="92" t="s">
        <v>882</v>
      </c>
      <c r="V252" s="30"/>
      <c r="W252" s="30"/>
      <c r="X252" s="30"/>
      <c r="Y252" s="49"/>
      <c r="Z252" s="30"/>
      <c r="AA252" s="30"/>
      <c r="AB252" s="28">
        <v>20000000</v>
      </c>
      <c r="AC252" s="30"/>
      <c r="AD252" s="30"/>
      <c r="AE252" s="30"/>
      <c r="AF252" s="93">
        <f t="shared" si="9"/>
        <v>20000000</v>
      </c>
      <c r="AG252" s="143" t="s">
        <v>1226</v>
      </c>
      <c r="AI252" s="21"/>
      <c r="AJ252" s="21"/>
    </row>
    <row r="253" spans="1:37" ht="117" hidden="1" customHeight="1" x14ac:dyDescent="0.2">
      <c r="A253" s="17">
        <v>318</v>
      </c>
      <c r="B253" s="115" t="s">
        <v>1083</v>
      </c>
      <c r="C253" s="17">
        <v>1</v>
      </c>
      <c r="D253" s="168">
        <v>1906</v>
      </c>
      <c r="E253" s="18" t="s">
        <v>1086</v>
      </c>
      <c r="F253" s="92" t="s">
        <v>863</v>
      </c>
      <c r="G253" s="17" t="s">
        <v>26</v>
      </c>
      <c r="H253" s="18" t="s">
        <v>868</v>
      </c>
      <c r="I253" s="17">
        <v>1906023</v>
      </c>
      <c r="J253" s="18" t="s">
        <v>887</v>
      </c>
      <c r="K253" s="17" t="s">
        <v>26</v>
      </c>
      <c r="L253" s="90" t="s">
        <v>888</v>
      </c>
      <c r="M253" s="95">
        <v>190602301</v>
      </c>
      <c r="N253" s="90" t="s">
        <v>870</v>
      </c>
      <c r="O253" s="94" t="s">
        <v>1212</v>
      </c>
      <c r="P253" s="105">
        <v>40</v>
      </c>
      <c r="Q253" s="105"/>
      <c r="R253" s="118">
        <f t="shared" si="8"/>
        <v>40</v>
      </c>
      <c r="S253" s="91">
        <v>2020003630138</v>
      </c>
      <c r="T253" s="104" t="s">
        <v>881</v>
      </c>
      <c r="U253" s="92" t="s">
        <v>882</v>
      </c>
      <c r="V253" s="30"/>
      <c r="W253" s="30"/>
      <c r="X253" s="30"/>
      <c r="Y253" s="49"/>
      <c r="Z253" s="30"/>
      <c r="AA253" s="30"/>
      <c r="AB253" s="28">
        <v>20000000</v>
      </c>
      <c r="AC253" s="30"/>
      <c r="AD253" s="30"/>
      <c r="AE253" s="30"/>
      <c r="AF253" s="93">
        <f t="shared" si="9"/>
        <v>20000000</v>
      </c>
      <c r="AG253" s="143" t="s">
        <v>1226</v>
      </c>
      <c r="AI253" s="21"/>
      <c r="AJ253" s="21"/>
    </row>
    <row r="254" spans="1:37" ht="117" hidden="1" customHeight="1" x14ac:dyDescent="0.2">
      <c r="A254" s="17">
        <v>324</v>
      </c>
      <c r="B254" s="115" t="s">
        <v>1151</v>
      </c>
      <c r="C254" s="17">
        <v>1</v>
      </c>
      <c r="D254" s="168">
        <v>2301</v>
      </c>
      <c r="E254" s="18" t="s">
        <v>1090</v>
      </c>
      <c r="F254" s="92" t="s">
        <v>889</v>
      </c>
      <c r="G254" s="17">
        <v>2301024</v>
      </c>
      <c r="H254" s="18" t="s">
        <v>890</v>
      </c>
      <c r="I254" s="17">
        <v>2301024</v>
      </c>
      <c r="J254" s="18" t="s">
        <v>890</v>
      </c>
      <c r="K254" s="95">
        <v>230102401</v>
      </c>
      <c r="L254" s="90" t="s">
        <v>891</v>
      </c>
      <c r="M254" s="95">
        <v>230102401</v>
      </c>
      <c r="N254" s="90" t="s">
        <v>891</v>
      </c>
      <c r="O254" s="94" t="s">
        <v>1212</v>
      </c>
      <c r="P254" s="105">
        <v>15</v>
      </c>
      <c r="Q254" s="105"/>
      <c r="R254" s="118">
        <f t="shared" si="8"/>
        <v>15</v>
      </c>
      <c r="S254" s="91">
        <v>2020003630038</v>
      </c>
      <c r="T254" s="104" t="s">
        <v>1178</v>
      </c>
      <c r="U254" s="92" t="s">
        <v>892</v>
      </c>
      <c r="V254" s="30"/>
      <c r="W254" s="39"/>
      <c r="X254" s="39"/>
      <c r="Y254" s="39"/>
      <c r="Z254" s="39"/>
      <c r="AA254" s="39"/>
      <c r="AB254" s="39">
        <v>18000000</v>
      </c>
      <c r="AC254" s="39"/>
      <c r="AD254" s="39"/>
      <c r="AE254" s="39"/>
      <c r="AF254" s="93">
        <f t="shared" si="9"/>
        <v>18000000</v>
      </c>
      <c r="AG254" s="143" t="s">
        <v>1223</v>
      </c>
      <c r="AI254" s="21"/>
      <c r="AJ254" s="21"/>
    </row>
    <row r="255" spans="1:37" ht="117" hidden="1" customHeight="1" x14ac:dyDescent="0.2">
      <c r="A255" s="17">
        <v>324</v>
      </c>
      <c r="B255" s="115" t="s">
        <v>1151</v>
      </c>
      <c r="C255" s="17">
        <v>1</v>
      </c>
      <c r="D255" s="168">
        <v>2301</v>
      </c>
      <c r="E255" s="18" t="s">
        <v>1090</v>
      </c>
      <c r="F255" s="92" t="s">
        <v>889</v>
      </c>
      <c r="G255" s="17">
        <v>2301024</v>
      </c>
      <c r="H255" s="18" t="s">
        <v>890</v>
      </c>
      <c r="I255" s="17">
        <v>2301024</v>
      </c>
      <c r="J255" s="18" t="s">
        <v>890</v>
      </c>
      <c r="K255" s="95">
        <v>230102404</v>
      </c>
      <c r="L255" s="90" t="s">
        <v>893</v>
      </c>
      <c r="M255" s="95">
        <v>230102404</v>
      </c>
      <c r="N255" s="90" t="s">
        <v>893</v>
      </c>
      <c r="O255" s="94" t="s">
        <v>1213</v>
      </c>
      <c r="P255" s="105">
        <v>4</v>
      </c>
      <c r="Q255" s="105"/>
      <c r="R255" s="118">
        <f t="shared" si="8"/>
        <v>4</v>
      </c>
      <c r="S255" s="91">
        <v>2020003630038</v>
      </c>
      <c r="T255" s="104" t="s">
        <v>1178</v>
      </c>
      <c r="U255" s="92" t="s">
        <v>892</v>
      </c>
      <c r="V255" s="30"/>
      <c r="W255" s="39"/>
      <c r="X255" s="39"/>
      <c r="Y255" s="39"/>
      <c r="Z255" s="39"/>
      <c r="AA255" s="39"/>
      <c r="AB255" s="150">
        <f>100000000+37526000+40000000-5862500+17000000</f>
        <v>188663500</v>
      </c>
      <c r="AC255" s="39"/>
      <c r="AD255" s="39"/>
      <c r="AE255" s="39"/>
      <c r="AF255" s="93">
        <f t="shared" si="9"/>
        <v>188663500</v>
      </c>
      <c r="AG255" s="143" t="s">
        <v>1223</v>
      </c>
      <c r="AI255" s="21"/>
      <c r="AJ255" s="21"/>
    </row>
    <row r="256" spans="1:37" ht="117" hidden="1" customHeight="1" x14ac:dyDescent="0.2">
      <c r="A256" s="17">
        <v>324</v>
      </c>
      <c r="B256" s="115" t="s">
        <v>1151</v>
      </c>
      <c r="C256" s="17">
        <v>1</v>
      </c>
      <c r="D256" s="168">
        <v>2301</v>
      </c>
      <c r="E256" s="18" t="s">
        <v>1090</v>
      </c>
      <c r="F256" s="92" t="s">
        <v>889</v>
      </c>
      <c r="G256" s="95">
        <v>2301012</v>
      </c>
      <c r="H256" s="18" t="s">
        <v>894</v>
      </c>
      <c r="I256" s="17">
        <v>2301079</v>
      </c>
      <c r="J256" s="18" t="s">
        <v>895</v>
      </c>
      <c r="K256" s="95">
        <v>230101204</v>
      </c>
      <c r="L256" s="90" t="s">
        <v>896</v>
      </c>
      <c r="M256" s="95">
        <v>230107902</v>
      </c>
      <c r="N256" s="90" t="s">
        <v>897</v>
      </c>
      <c r="O256" s="94" t="s">
        <v>1213</v>
      </c>
      <c r="P256" s="105">
        <v>15</v>
      </c>
      <c r="Q256" s="105">
        <v>13</v>
      </c>
      <c r="R256" s="118">
        <f t="shared" si="8"/>
        <v>28</v>
      </c>
      <c r="S256" s="91">
        <v>2020003630038</v>
      </c>
      <c r="T256" s="104" t="s">
        <v>1178</v>
      </c>
      <c r="U256" s="92" t="s">
        <v>892</v>
      </c>
      <c r="V256" s="30"/>
      <c r="W256" s="39"/>
      <c r="X256" s="39"/>
      <c r="Y256" s="39"/>
      <c r="Z256" s="39"/>
      <c r="AA256" s="39"/>
      <c r="AB256" s="39">
        <f>80000000-49707500</f>
        <v>30292500</v>
      </c>
      <c r="AC256" s="39"/>
      <c r="AD256" s="39"/>
      <c r="AE256" s="39"/>
      <c r="AF256" s="93">
        <f t="shared" si="9"/>
        <v>30292500</v>
      </c>
      <c r="AG256" s="143" t="s">
        <v>1223</v>
      </c>
      <c r="AI256" s="21"/>
      <c r="AJ256" s="21"/>
    </row>
    <row r="257" spans="1:36" ht="117" hidden="1" customHeight="1" x14ac:dyDescent="0.2">
      <c r="A257" s="17">
        <v>324</v>
      </c>
      <c r="B257" s="115" t="s">
        <v>1151</v>
      </c>
      <c r="C257" s="17">
        <v>1</v>
      </c>
      <c r="D257" s="168">
        <v>2301</v>
      </c>
      <c r="E257" s="18" t="s">
        <v>1090</v>
      </c>
      <c r="F257" s="92" t="s">
        <v>889</v>
      </c>
      <c r="G257" s="17">
        <v>2301062</v>
      </c>
      <c r="H257" s="18" t="s">
        <v>898</v>
      </c>
      <c r="I257" s="17">
        <v>2301062</v>
      </c>
      <c r="J257" s="18" t="s">
        <v>898</v>
      </c>
      <c r="K257" s="95">
        <v>230106201</v>
      </c>
      <c r="L257" s="90" t="s">
        <v>899</v>
      </c>
      <c r="M257" s="95">
        <v>230106201</v>
      </c>
      <c r="N257" s="90" t="s">
        <v>899</v>
      </c>
      <c r="O257" s="94" t="s">
        <v>1212</v>
      </c>
      <c r="P257" s="105">
        <v>8</v>
      </c>
      <c r="Q257" s="105"/>
      <c r="R257" s="118">
        <f t="shared" si="8"/>
        <v>8</v>
      </c>
      <c r="S257" s="91">
        <v>2020003630038</v>
      </c>
      <c r="T257" s="104" t="s">
        <v>1178</v>
      </c>
      <c r="U257" s="92" t="s">
        <v>892</v>
      </c>
      <c r="V257" s="30"/>
      <c r="W257" s="39"/>
      <c r="X257" s="39"/>
      <c r="Y257" s="39"/>
      <c r="Z257" s="39"/>
      <c r="AA257" s="39"/>
      <c r="AB257" s="39">
        <f>50000000-30207500-11137500</f>
        <v>8655000</v>
      </c>
      <c r="AC257" s="39"/>
      <c r="AD257" s="39"/>
      <c r="AE257" s="39"/>
      <c r="AF257" s="93">
        <f t="shared" si="9"/>
        <v>8655000</v>
      </c>
      <c r="AG257" s="143" t="s">
        <v>1223</v>
      </c>
      <c r="AI257" s="21"/>
      <c r="AJ257" s="21"/>
    </row>
    <row r="258" spans="1:36" ht="117" hidden="1" customHeight="1" x14ac:dyDescent="0.2">
      <c r="A258" s="17">
        <v>324</v>
      </c>
      <c r="B258" s="115" t="s">
        <v>1151</v>
      </c>
      <c r="C258" s="17">
        <v>1</v>
      </c>
      <c r="D258" s="168">
        <v>2301</v>
      </c>
      <c r="E258" s="18" t="s">
        <v>1090</v>
      </c>
      <c r="F258" s="92" t="s">
        <v>900</v>
      </c>
      <c r="G258" s="17">
        <v>2301030</v>
      </c>
      <c r="H258" s="18" t="s">
        <v>901</v>
      </c>
      <c r="I258" s="17">
        <v>2301030</v>
      </c>
      <c r="J258" s="18" t="s">
        <v>901</v>
      </c>
      <c r="K258" s="95">
        <v>230103000</v>
      </c>
      <c r="L258" s="90" t="s">
        <v>902</v>
      </c>
      <c r="M258" s="95">
        <v>230103000</v>
      </c>
      <c r="N258" s="90" t="s">
        <v>902</v>
      </c>
      <c r="O258" s="94" t="s">
        <v>1213</v>
      </c>
      <c r="P258" s="105">
        <v>7000</v>
      </c>
      <c r="Q258" s="105"/>
      <c r="R258" s="118">
        <f t="shared" si="8"/>
        <v>7000</v>
      </c>
      <c r="S258" s="91">
        <v>2020003630139</v>
      </c>
      <c r="T258" s="104" t="s">
        <v>1146</v>
      </c>
      <c r="U258" s="92" t="s">
        <v>903</v>
      </c>
      <c r="V258" s="30"/>
      <c r="W258" s="39"/>
      <c r="X258" s="39"/>
      <c r="Y258" s="39"/>
      <c r="Z258" s="39"/>
      <c r="AA258" s="39"/>
      <c r="AB258" s="39">
        <f>36000000+79915000+140000000+55060000-5000000+54777780+50000000</f>
        <v>410752780</v>
      </c>
      <c r="AC258" s="39"/>
      <c r="AD258" s="39"/>
      <c r="AE258" s="39"/>
      <c r="AF258" s="93">
        <f t="shared" si="9"/>
        <v>410752780</v>
      </c>
      <c r="AG258" s="143" t="s">
        <v>1223</v>
      </c>
      <c r="AI258" s="21"/>
      <c r="AJ258" s="21"/>
    </row>
    <row r="259" spans="1:36" ht="117" hidden="1" customHeight="1" x14ac:dyDescent="0.2">
      <c r="A259" s="17">
        <v>324</v>
      </c>
      <c r="B259" s="115" t="s">
        <v>1151</v>
      </c>
      <c r="C259" s="17">
        <v>1</v>
      </c>
      <c r="D259" s="168">
        <v>2301</v>
      </c>
      <c r="E259" s="18" t="s">
        <v>1090</v>
      </c>
      <c r="F259" s="92" t="s">
        <v>900</v>
      </c>
      <c r="G259" s="17">
        <v>2301015</v>
      </c>
      <c r="H259" s="18" t="s">
        <v>904</v>
      </c>
      <c r="I259" s="17">
        <v>2301015</v>
      </c>
      <c r="J259" s="18" t="s">
        <v>904</v>
      </c>
      <c r="K259" s="95">
        <v>230101500</v>
      </c>
      <c r="L259" s="90" t="s">
        <v>905</v>
      </c>
      <c r="M259" s="95">
        <v>230101500</v>
      </c>
      <c r="N259" s="90" t="s">
        <v>905</v>
      </c>
      <c r="O259" s="94" t="s">
        <v>1212</v>
      </c>
      <c r="P259" s="105">
        <v>3</v>
      </c>
      <c r="Q259" s="105"/>
      <c r="R259" s="118">
        <f t="shared" si="8"/>
        <v>3</v>
      </c>
      <c r="S259" s="91">
        <v>2020003630139</v>
      </c>
      <c r="T259" s="104" t="s">
        <v>1146</v>
      </c>
      <c r="U259" s="92" t="s">
        <v>903</v>
      </c>
      <c r="V259" s="30"/>
      <c r="W259" s="39"/>
      <c r="X259" s="39"/>
      <c r="Y259" s="39"/>
      <c r="Z259" s="39"/>
      <c r="AA259" s="39"/>
      <c r="AB259" s="39">
        <f>18000000+13200000</f>
        <v>31200000</v>
      </c>
      <c r="AC259" s="39"/>
      <c r="AD259" s="39"/>
      <c r="AE259" s="39"/>
      <c r="AF259" s="93">
        <f t="shared" si="9"/>
        <v>31200000</v>
      </c>
      <c r="AG259" s="143" t="s">
        <v>1223</v>
      </c>
      <c r="AI259" s="21"/>
      <c r="AJ259" s="21"/>
    </row>
    <row r="260" spans="1:36" ht="117" hidden="1" customHeight="1" x14ac:dyDescent="0.2">
      <c r="A260" s="17">
        <v>324</v>
      </c>
      <c r="B260" s="115" t="s">
        <v>1151</v>
      </c>
      <c r="C260" s="17">
        <v>1</v>
      </c>
      <c r="D260" s="168">
        <v>2301</v>
      </c>
      <c r="E260" s="18" t="s">
        <v>1090</v>
      </c>
      <c r="F260" s="92" t="s">
        <v>900</v>
      </c>
      <c r="G260" s="17">
        <v>2301004</v>
      </c>
      <c r="H260" s="18" t="s">
        <v>159</v>
      </c>
      <c r="I260" s="17">
        <v>2301004</v>
      </c>
      <c r="J260" s="18" t="s">
        <v>159</v>
      </c>
      <c r="K260" s="95">
        <v>230200400</v>
      </c>
      <c r="L260" s="90" t="s">
        <v>161</v>
      </c>
      <c r="M260" s="95">
        <v>230100400</v>
      </c>
      <c r="N260" s="18" t="s">
        <v>161</v>
      </c>
      <c r="O260" s="94" t="s">
        <v>1212</v>
      </c>
      <c r="P260" s="105">
        <v>1</v>
      </c>
      <c r="Q260" s="105"/>
      <c r="R260" s="118">
        <f t="shared" si="8"/>
        <v>1</v>
      </c>
      <c r="S260" s="91">
        <v>2020003630139</v>
      </c>
      <c r="T260" s="104" t="s">
        <v>1146</v>
      </c>
      <c r="U260" s="92" t="s">
        <v>903</v>
      </c>
      <c r="V260" s="30"/>
      <c r="W260" s="39"/>
      <c r="X260" s="39"/>
      <c r="Y260" s="39"/>
      <c r="Z260" s="39"/>
      <c r="AA260" s="39"/>
      <c r="AB260" s="39">
        <v>18000000</v>
      </c>
      <c r="AC260" s="39"/>
      <c r="AD260" s="39"/>
      <c r="AE260" s="39"/>
      <c r="AF260" s="93">
        <f t="shared" si="9"/>
        <v>18000000</v>
      </c>
      <c r="AG260" s="143" t="s">
        <v>1223</v>
      </c>
      <c r="AI260" s="21"/>
      <c r="AJ260" s="21"/>
    </row>
    <row r="261" spans="1:36" ht="117" hidden="1" customHeight="1" x14ac:dyDescent="0.2">
      <c r="A261" s="17">
        <v>324</v>
      </c>
      <c r="B261" s="115" t="s">
        <v>1151</v>
      </c>
      <c r="C261" s="17">
        <v>1</v>
      </c>
      <c r="D261" s="168">
        <v>2301</v>
      </c>
      <c r="E261" s="18" t="s">
        <v>1090</v>
      </c>
      <c r="F261" s="92" t="s">
        <v>900</v>
      </c>
      <c r="G261" s="17">
        <v>2301035</v>
      </c>
      <c r="H261" s="18" t="s">
        <v>906</v>
      </c>
      <c r="I261" s="17">
        <v>2301035</v>
      </c>
      <c r="J261" s="18" t="s">
        <v>906</v>
      </c>
      <c r="K261" s="95">
        <v>230103500</v>
      </c>
      <c r="L261" s="90" t="s">
        <v>907</v>
      </c>
      <c r="M261" s="95">
        <v>230103500</v>
      </c>
      <c r="N261" s="90" t="s">
        <v>907</v>
      </c>
      <c r="O261" s="94" t="s">
        <v>1213</v>
      </c>
      <c r="P261" s="105">
        <v>40</v>
      </c>
      <c r="Q261" s="105"/>
      <c r="R261" s="118">
        <f t="shared" si="8"/>
        <v>40</v>
      </c>
      <c r="S261" s="91">
        <v>2020003630139</v>
      </c>
      <c r="T261" s="104" t="s">
        <v>1146</v>
      </c>
      <c r="U261" s="92" t="s">
        <v>903</v>
      </c>
      <c r="V261" s="30"/>
      <c r="W261" s="39"/>
      <c r="X261" s="39"/>
      <c r="Y261" s="39"/>
      <c r="Z261" s="39"/>
      <c r="AA261" s="39"/>
      <c r="AB261" s="39">
        <f>36000000+50000000+56720000-49777780</f>
        <v>92942220</v>
      </c>
      <c r="AC261" s="39"/>
      <c r="AD261" s="39"/>
      <c r="AE261" s="39"/>
      <c r="AF261" s="93">
        <f t="shared" si="9"/>
        <v>92942220</v>
      </c>
      <c r="AG261" s="143" t="s">
        <v>1223</v>
      </c>
      <c r="AI261" s="21"/>
      <c r="AJ261" s="21"/>
    </row>
    <row r="262" spans="1:36" ht="117" hidden="1" customHeight="1" x14ac:dyDescent="0.2">
      <c r="A262" s="17">
        <v>324</v>
      </c>
      <c r="B262" s="115" t="s">
        <v>1151</v>
      </c>
      <c r="C262" s="17">
        <v>1</v>
      </c>
      <c r="D262" s="168">
        <v>2301</v>
      </c>
      <c r="E262" s="18" t="s">
        <v>1090</v>
      </c>
      <c r="F262" s="92" t="s">
        <v>900</v>
      </c>
      <c r="G262" s="17">
        <v>2301042</v>
      </c>
      <c r="H262" s="18" t="s">
        <v>908</v>
      </c>
      <c r="I262" s="17">
        <v>2301042</v>
      </c>
      <c r="J262" s="18" t="s">
        <v>908</v>
      </c>
      <c r="K262" s="95">
        <v>230104201</v>
      </c>
      <c r="L262" s="90" t="s">
        <v>909</v>
      </c>
      <c r="M262" s="95">
        <v>230104201</v>
      </c>
      <c r="N262" s="90" t="s">
        <v>909</v>
      </c>
      <c r="O262" s="94" t="s">
        <v>1212</v>
      </c>
      <c r="P262" s="105">
        <v>1</v>
      </c>
      <c r="Q262" s="105"/>
      <c r="R262" s="118">
        <f t="shared" si="8"/>
        <v>1</v>
      </c>
      <c r="S262" s="91">
        <v>2020003630139</v>
      </c>
      <c r="T262" s="104" t="s">
        <v>1146</v>
      </c>
      <c r="U262" s="92" t="s">
        <v>903</v>
      </c>
      <c r="V262" s="30"/>
      <c r="W262" s="39"/>
      <c r="X262" s="39"/>
      <c r="Y262" s="39"/>
      <c r="Z262" s="39"/>
      <c r="AA262" s="39"/>
      <c r="AB262" s="39">
        <v>18000000</v>
      </c>
      <c r="AC262" s="39"/>
      <c r="AD262" s="39"/>
      <c r="AE262" s="39"/>
      <c r="AF262" s="93">
        <f t="shared" si="9"/>
        <v>18000000</v>
      </c>
      <c r="AG262" s="143" t="s">
        <v>1223</v>
      </c>
      <c r="AI262" s="21"/>
      <c r="AJ262" s="21"/>
    </row>
    <row r="263" spans="1:36" ht="117" hidden="1" customHeight="1" x14ac:dyDescent="0.2">
      <c r="A263" s="17">
        <v>324</v>
      </c>
      <c r="B263" s="115" t="s">
        <v>1151</v>
      </c>
      <c r="C263" s="17">
        <v>1</v>
      </c>
      <c r="D263" s="168">
        <v>2302</v>
      </c>
      <c r="E263" s="18" t="s">
        <v>1107</v>
      </c>
      <c r="F263" s="92" t="s">
        <v>889</v>
      </c>
      <c r="G263" s="17">
        <v>2302042</v>
      </c>
      <c r="H263" s="18" t="s">
        <v>910</v>
      </c>
      <c r="I263" s="17">
        <v>2302042</v>
      </c>
      <c r="J263" s="18" t="s">
        <v>910</v>
      </c>
      <c r="K263" s="95">
        <v>230204200</v>
      </c>
      <c r="L263" s="90" t="s">
        <v>911</v>
      </c>
      <c r="M263" s="95">
        <v>230204200</v>
      </c>
      <c r="N263" s="90" t="s">
        <v>911</v>
      </c>
      <c r="O263" s="94" t="s">
        <v>1213</v>
      </c>
      <c r="P263" s="105">
        <v>1</v>
      </c>
      <c r="Q263" s="105"/>
      <c r="R263" s="118">
        <f t="shared" si="8"/>
        <v>1</v>
      </c>
      <c r="S263" s="91">
        <v>2020003630039</v>
      </c>
      <c r="T263" s="104" t="s">
        <v>1171</v>
      </c>
      <c r="U263" s="92" t="s">
        <v>912</v>
      </c>
      <c r="V263" s="30"/>
      <c r="W263" s="39"/>
      <c r="X263" s="39"/>
      <c r="Y263" s="39"/>
      <c r="Z263" s="39"/>
      <c r="AA263" s="39"/>
      <c r="AB263" s="39">
        <f>20000000+5900000</f>
        <v>25900000</v>
      </c>
      <c r="AC263" s="39"/>
      <c r="AD263" s="39"/>
      <c r="AE263" s="39"/>
      <c r="AF263" s="93">
        <f t="shared" si="9"/>
        <v>25900000</v>
      </c>
      <c r="AG263" s="143" t="s">
        <v>1223</v>
      </c>
      <c r="AI263" s="21"/>
      <c r="AJ263" s="21"/>
    </row>
    <row r="264" spans="1:36" ht="117" hidden="1" customHeight="1" x14ac:dyDescent="0.2">
      <c r="A264" s="17">
        <v>324</v>
      </c>
      <c r="B264" s="115" t="s">
        <v>1151</v>
      </c>
      <c r="C264" s="17">
        <v>1</v>
      </c>
      <c r="D264" s="168">
        <v>2302</v>
      </c>
      <c r="E264" s="18" t="s">
        <v>1107</v>
      </c>
      <c r="F264" s="92" t="s">
        <v>889</v>
      </c>
      <c r="G264" s="17">
        <v>2302022</v>
      </c>
      <c r="H264" s="18" t="s">
        <v>913</v>
      </c>
      <c r="I264" s="17">
        <v>2302022</v>
      </c>
      <c r="J264" s="18" t="s">
        <v>913</v>
      </c>
      <c r="K264" s="95">
        <v>230202200</v>
      </c>
      <c r="L264" s="90" t="s">
        <v>914</v>
      </c>
      <c r="M264" s="95">
        <v>230202200</v>
      </c>
      <c r="N264" s="90" t="s">
        <v>914</v>
      </c>
      <c r="O264" s="94" t="s">
        <v>1213</v>
      </c>
      <c r="P264" s="105">
        <v>30</v>
      </c>
      <c r="Q264" s="105"/>
      <c r="R264" s="118">
        <f t="shared" ref="R264:R298" si="10">P264+Q264</f>
        <v>30</v>
      </c>
      <c r="S264" s="91">
        <v>2020003630039</v>
      </c>
      <c r="T264" s="104" t="s">
        <v>1171</v>
      </c>
      <c r="U264" s="92" t="s">
        <v>912</v>
      </c>
      <c r="V264" s="30"/>
      <c r="W264" s="39"/>
      <c r="X264" s="39"/>
      <c r="Y264" s="39"/>
      <c r="Z264" s="39"/>
      <c r="AA264" s="39"/>
      <c r="AB264" s="39">
        <f>36000000-5900000</f>
        <v>30100000</v>
      </c>
      <c r="AC264" s="39"/>
      <c r="AD264" s="39"/>
      <c r="AE264" s="39"/>
      <c r="AF264" s="93">
        <f t="shared" si="9"/>
        <v>30100000</v>
      </c>
      <c r="AG264" s="143" t="s">
        <v>1223</v>
      </c>
      <c r="AI264" s="21"/>
      <c r="AJ264" s="21"/>
    </row>
    <row r="265" spans="1:36" ht="117" hidden="1" customHeight="1" x14ac:dyDescent="0.2">
      <c r="A265" s="17">
        <v>324</v>
      </c>
      <c r="B265" s="115" t="s">
        <v>1151</v>
      </c>
      <c r="C265" s="17">
        <v>1</v>
      </c>
      <c r="D265" s="168">
        <v>2302</v>
      </c>
      <c r="E265" s="18" t="s">
        <v>1107</v>
      </c>
      <c r="F265" s="92" t="s">
        <v>900</v>
      </c>
      <c r="G265" s="17">
        <v>2302021</v>
      </c>
      <c r="H265" s="18" t="s">
        <v>915</v>
      </c>
      <c r="I265" s="17">
        <v>2302021</v>
      </c>
      <c r="J265" s="18" t="s">
        <v>915</v>
      </c>
      <c r="K265" s="95">
        <v>230202100</v>
      </c>
      <c r="L265" s="90" t="s">
        <v>916</v>
      </c>
      <c r="M265" s="95">
        <v>230202100</v>
      </c>
      <c r="N265" s="90" t="s">
        <v>916</v>
      </c>
      <c r="O265" s="94" t="s">
        <v>1213</v>
      </c>
      <c r="P265" s="105">
        <v>10</v>
      </c>
      <c r="Q265" s="105"/>
      <c r="R265" s="118">
        <f t="shared" si="10"/>
        <v>10</v>
      </c>
      <c r="S265" s="91">
        <v>2020003630039</v>
      </c>
      <c r="T265" s="18" t="s">
        <v>1171</v>
      </c>
      <c r="U265" s="92" t="s">
        <v>912</v>
      </c>
      <c r="V265" s="30"/>
      <c r="W265" s="39"/>
      <c r="X265" s="39"/>
      <c r="Y265" s="39"/>
      <c r="Z265" s="39"/>
      <c r="AA265" s="39"/>
      <c r="AB265" s="39">
        <f>50000000+70000000+70000000</f>
        <v>190000000</v>
      </c>
      <c r="AC265" s="39"/>
      <c r="AD265" s="39"/>
      <c r="AE265" s="39"/>
      <c r="AF265" s="93">
        <f t="shared" si="9"/>
        <v>190000000</v>
      </c>
      <c r="AG265" s="143" t="s">
        <v>1223</v>
      </c>
      <c r="AI265" s="21"/>
      <c r="AJ265" s="21"/>
    </row>
    <row r="266" spans="1:36" ht="117" hidden="1" customHeight="1" x14ac:dyDescent="0.2">
      <c r="A266" s="17">
        <v>324</v>
      </c>
      <c r="B266" s="115" t="s">
        <v>1151</v>
      </c>
      <c r="C266" s="17">
        <v>1</v>
      </c>
      <c r="D266" s="168">
        <v>2302</v>
      </c>
      <c r="E266" s="18" t="s">
        <v>1107</v>
      </c>
      <c r="F266" s="92" t="s">
        <v>917</v>
      </c>
      <c r="G266" s="17">
        <v>2302058</v>
      </c>
      <c r="H266" s="18" t="s">
        <v>918</v>
      </c>
      <c r="I266" s="17">
        <v>2302058</v>
      </c>
      <c r="J266" s="18" t="s">
        <v>918</v>
      </c>
      <c r="K266" s="95">
        <v>230205800</v>
      </c>
      <c r="L266" s="90" t="s">
        <v>919</v>
      </c>
      <c r="M266" s="95">
        <v>230205800</v>
      </c>
      <c r="N266" s="90" t="s">
        <v>919</v>
      </c>
      <c r="O266" s="94" t="s">
        <v>1213</v>
      </c>
      <c r="P266" s="105">
        <v>300</v>
      </c>
      <c r="Q266" s="105"/>
      <c r="R266" s="118">
        <f t="shared" si="10"/>
        <v>300</v>
      </c>
      <c r="S266" s="91">
        <v>2020003630039</v>
      </c>
      <c r="T266" s="104" t="s">
        <v>1171</v>
      </c>
      <c r="U266" s="92" t="s">
        <v>912</v>
      </c>
      <c r="V266" s="30"/>
      <c r="W266" s="39"/>
      <c r="X266" s="39"/>
      <c r="Y266" s="39"/>
      <c r="Z266" s="39"/>
      <c r="AA266" s="39"/>
      <c r="AB266" s="39">
        <v>20000000</v>
      </c>
      <c r="AC266" s="39"/>
      <c r="AD266" s="39"/>
      <c r="AE266" s="39"/>
      <c r="AF266" s="93">
        <f t="shared" si="9"/>
        <v>20000000</v>
      </c>
      <c r="AG266" s="143" t="s">
        <v>1223</v>
      </c>
      <c r="AI266" s="21"/>
      <c r="AJ266" s="21"/>
    </row>
    <row r="267" spans="1:36" ht="117" hidden="1" customHeight="1" x14ac:dyDescent="0.2">
      <c r="A267" s="17">
        <v>324</v>
      </c>
      <c r="B267" s="115" t="s">
        <v>1151</v>
      </c>
      <c r="C267" s="17">
        <v>1</v>
      </c>
      <c r="D267" s="17">
        <v>2302</v>
      </c>
      <c r="E267" s="18" t="s">
        <v>1107</v>
      </c>
      <c r="F267" s="92" t="s">
        <v>917</v>
      </c>
      <c r="G267" s="17">
        <v>2302068</v>
      </c>
      <c r="H267" s="18" t="s">
        <v>920</v>
      </c>
      <c r="I267" s="17">
        <v>2302068</v>
      </c>
      <c r="J267" s="18" t="s">
        <v>920</v>
      </c>
      <c r="K267" s="95">
        <v>230206800</v>
      </c>
      <c r="L267" s="90" t="s">
        <v>921</v>
      </c>
      <c r="M267" s="95">
        <v>230206800</v>
      </c>
      <c r="N267" s="90" t="s">
        <v>921</v>
      </c>
      <c r="O267" s="94" t="s">
        <v>1213</v>
      </c>
      <c r="P267" s="105">
        <v>60</v>
      </c>
      <c r="Q267" s="105"/>
      <c r="R267" s="118">
        <f t="shared" si="10"/>
        <v>60</v>
      </c>
      <c r="S267" s="91">
        <v>2020003630039</v>
      </c>
      <c r="T267" s="104" t="s">
        <v>1171</v>
      </c>
      <c r="U267" s="92" t="s">
        <v>912</v>
      </c>
      <c r="V267" s="30"/>
      <c r="W267" s="39"/>
      <c r="X267" s="39"/>
      <c r="Y267" s="39"/>
      <c r="Z267" s="39"/>
      <c r="AA267" s="39"/>
      <c r="AB267" s="39">
        <v>20000000</v>
      </c>
      <c r="AC267" s="39"/>
      <c r="AD267" s="39"/>
      <c r="AE267" s="39"/>
      <c r="AF267" s="93">
        <f t="shared" si="9"/>
        <v>20000000</v>
      </c>
      <c r="AG267" s="143" t="s">
        <v>1223</v>
      </c>
      <c r="AI267" s="21"/>
      <c r="AJ267" s="21"/>
    </row>
    <row r="268" spans="1:36" ht="117" hidden="1" customHeight="1" x14ac:dyDescent="0.2">
      <c r="A268" s="17">
        <v>324</v>
      </c>
      <c r="B268" s="115" t="s">
        <v>1151</v>
      </c>
      <c r="C268" s="17">
        <v>2</v>
      </c>
      <c r="D268" s="17" t="s">
        <v>922</v>
      </c>
      <c r="E268" s="18" t="s">
        <v>1129</v>
      </c>
      <c r="F268" s="92" t="s">
        <v>923</v>
      </c>
      <c r="G268" s="17">
        <v>3903005</v>
      </c>
      <c r="H268" s="18" t="s">
        <v>924</v>
      </c>
      <c r="I268" s="127">
        <v>3903005</v>
      </c>
      <c r="J268" s="18" t="s">
        <v>924</v>
      </c>
      <c r="K268" s="88" t="s">
        <v>925</v>
      </c>
      <c r="L268" s="90" t="s">
        <v>926</v>
      </c>
      <c r="M268" s="95">
        <v>390300501</v>
      </c>
      <c r="N268" s="90" t="s">
        <v>926</v>
      </c>
      <c r="O268" s="94" t="s">
        <v>1212</v>
      </c>
      <c r="P268" s="105">
        <v>1</v>
      </c>
      <c r="Q268" s="105"/>
      <c r="R268" s="118">
        <f t="shared" si="10"/>
        <v>1</v>
      </c>
      <c r="S268" s="91">
        <v>2020003630140</v>
      </c>
      <c r="T268" s="18" t="s">
        <v>1172</v>
      </c>
      <c r="U268" s="92" t="s">
        <v>927</v>
      </c>
      <c r="V268" s="30"/>
      <c r="W268" s="39"/>
      <c r="X268" s="39"/>
      <c r="Y268" s="39"/>
      <c r="Z268" s="39"/>
      <c r="AA268" s="39"/>
      <c r="AB268" s="39">
        <v>20000000</v>
      </c>
      <c r="AC268" s="39"/>
      <c r="AD268" s="39"/>
      <c r="AE268" s="39"/>
      <c r="AF268" s="93">
        <f t="shared" si="9"/>
        <v>20000000</v>
      </c>
      <c r="AG268" s="143" t="s">
        <v>1223</v>
      </c>
      <c r="AI268" s="21"/>
      <c r="AJ268" s="21"/>
    </row>
    <row r="269" spans="1:36" ht="117" hidden="1" customHeight="1" x14ac:dyDescent="0.2">
      <c r="A269" s="17">
        <v>324</v>
      </c>
      <c r="B269" s="115" t="s">
        <v>1151</v>
      </c>
      <c r="C269" s="17">
        <v>2</v>
      </c>
      <c r="D269" s="17" t="s">
        <v>922</v>
      </c>
      <c r="E269" s="18" t="s">
        <v>1129</v>
      </c>
      <c r="F269" s="92" t="s">
        <v>923</v>
      </c>
      <c r="G269" s="17">
        <v>3903005</v>
      </c>
      <c r="H269" s="18" t="s">
        <v>924</v>
      </c>
      <c r="I269" s="127">
        <v>3903005</v>
      </c>
      <c r="J269" s="18" t="s">
        <v>924</v>
      </c>
      <c r="K269" s="88" t="s">
        <v>928</v>
      </c>
      <c r="L269" s="90" t="s">
        <v>929</v>
      </c>
      <c r="M269" s="88">
        <v>390300507</v>
      </c>
      <c r="N269" s="90" t="s">
        <v>929</v>
      </c>
      <c r="O269" s="94" t="s">
        <v>1213</v>
      </c>
      <c r="P269" s="105">
        <v>70</v>
      </c>
      <c r="Q269" s="105"/>
      <c r="R269" s="118">
        <f t="shared" si="10"/>
        <v>70</v>
      </c>
      <c r="S269" s="91">
        <v>2020003630140</v>
      </c>
      <c r="T269" s="104" t="s">
        <v>1172</v>
      </c>
      <c r="U269" s="92" t="s">
        <v>927</v>
      </c>
      <c r="V269" s="30"/>
      <c r="W269" s="39"/>
      <c r="X269" s="39"/>
      <c r="Y269" s="39"/>
      <c r="Z269" s="39"/>
      <c r="AA269" s="39"/>
      <c r="AB269" s="39">
        <f>20000000+30000000</f>
        <v>50000000</v>
      </c>
      <c r="AC269" s="39"/>
      <c r="AD269" s="39"/>
      <c r="AE269" s="39"/>
      <c r="AF269" s="93">
        <f t="shared" si="9"/>
        <v>50000000</v>
      </c>
      <c r="AG269" s="143" t="s">
        <v>1223</v>
      </c>
      <c r="AI269" s="21"/>
      <c r="AJ269" s="21"/>
    </row>
    <row r="270" spans="1:36" ht="117" hidden="1" customHeight="1" x14ac:dyDescent="0.2">
      <c r="A270" s="17">
        <v>324</v>
      </c>
      <c r="B270" s="115" t="s">
        <v>1151</v>
      </c>
      <c r="C270" s="17">
        <v>2</v>
      </c>
      <c r="D270" s="17" t="s">
        <v>922</v>
      </c>
      <c r="E270" s="18" t="s">
        <v>1129</v>
      </c>
      <c r="F270" s="92" t="s">
        <v>923</v>
      </c>
      <c r="G270" s="17">
        <v>3903005</v>
      </c>
      <c r="H270" s="18" t="s">
        <v>924</v>
      </c>
      <c r="I270" s="127">
        <v>3903005</v>
      </c>
      <c r="J270" s="18" t="s">
        <v>924</v>
      </c>
      <c r="K270" s="88" t="s">
        <v>930</v>
      </c>
      <c r="L270" s="90" t="s">
        <v>931</v>
      </c>
      <c r="M270" s="88">
        <v>390300511</v>
      </c>
      <c r="N270" s="90" t="s">
        <v>931</v>
      </c>
      <c r="O270" s="94" t="s">
        <v>1213</v>
      </c>
      <c r="P270" s="105">
        <v>70</v>
      </c>
      <c r="Q270" s="105"/>
      <c r="R270" s="118">
        <f t="shared" si="10"/>
        <v>70</v>
      </c>
      <c r="S270" s="91">
        <v>2020003630140</v>
      </c>
      <c r="T270" s="104" t="s">
        <v>1172</v>
      </c>
      <c r="U270" s="92" t="s">
        <v>927</v>
      </c>
      <c r="V270" s="30"/>
      <c r="W270" s="39"/>
      <c r="X270" s="39"/>
      <c r="Y270" s="39"/>
      <c r="Z270" s="39"/>
      <c r="AA270" s="39"/>
      <c r="AB270" s="39">
        <v>20000000</v>
      </c>
      <c r="AC270" s="39"/>
      <c r="AD270" s="39"/>
      <c r="AE270" s="39"/>
      <c r="AF270" s="93">
        <f t="shared" si="9"/>
        <v>20000000</v>
      </c>
      <c r="AG270" s="143" t="s">
        <v>1223</v>
      </c>
      <c r="AI270" s="21"/>
      <c r="AJ270" s="21"/>
    </row>
    <row r="271" spans="1:36" ht="117" hidden="1" customHeight="1" x14ac:dyDescent="0.2">
      <c r="A271" s="17">
        <v>324</v>
      </c>
      <c r="B271" s="115" t="s">
        <v>1151</v>
      </c>
      <c r="C271" s="17">
        <v>2</v>
      </c>
      <c r="D271" s="17">
        <v>3904</v>
      </c>
      <c r="E271" s="18" t="s">
        <v>1127</v>
      </c>
      <c r="F271" s="92" t="s">
        <v>932</v>
      </c>
      <c r="G271" s="17">
        <v>3904018</v>
      </c>
      <c r="H271" s="18" t="s">
        <v>933</v>
      </c>
      <c r="I271" s="17">
        <v>3904018</v>
      </c>
      <c r="J271" s="18" t="s">
        <v>933</v>
      </c>
      <c r="K271" s="88">
        <v>390401809</v>
      </c>
      <c r="L271" s="90" t="s">
        <v>934</v>
      </c>
      <c r="M271" s="88">
        <v>390401809</v>
      </c>
      <c r="N271" s="90" t="s">
        <v>934</v>
      </c>
      <c r="O271" s="94" t="s">
        <v>1213</v>
      </c>
      <c r="P271" s="105">
        <v>6</v>
      </c>
      <c r="Q271" s="105">
        <v>7</v>
      </c>
      <c r="R271" s="118">
        <f t="shared" si="10"/>
        <v>13</v>
      </c>
      <c r="S271" s="91">
        <v>2020003630040</v>
      </c>
      <c r="T271" s="104" t="s">
        <v>1173</v>
      </c>
      <c r="U271" s="92" t="s">
        <v>935</v>
      </c>
      <c r="V271" s="30"/>
      <c r="W271" s="39"/>
      <c r="X271" s="39"/>
      <c r="Y271" s="39"/>
      <c r="Z271" s="39"/>
      <c r="AA271" s="39"/>
      <c r="AB271" s="39">
        <f>18000000+10000000</f>
        <v>28000000</v>
      </c>
      <c r="AC271" s="39"/>
      <c r="AD271" s="39"/>
      <c r="AE271" s="39"/>
      <c r="AF271" s="93">
        <f t="shared" si="9"/>
        <v>28000000</v>
      </c>
      <c r="AG271" s="143" t="s">
        <v>1223</v>
      </c>
      <c r="AI271" s="21"/>
      <c r="AJ271" s="21"/>
    </row>
    <row r="272" spans="1:36" ht="117" hidden="1" customHeight="1" x14ac:dyDescent="0.2">
      <c r="A272" s="17">
        <v>324</v>
      </c>
      <c r="B272" s="115" t="s">
        <v>1151</v>
      </c>
      <c r="C272" s="17">
        <v>4</v>
      </c>
      <c r="D272" s="17">
        <v>2302</v>
      </c>
      <c r="E272" s="18" t="s">
        <v>1107</v>
      </c>
      <c r="F272" s="92" t="s">
        <v>936</v>
      </c>
      <c r="G272" s="17">
        <v>2302003</v>
      </c>
      <c r="H272" s="18" t="s">
        <v>937</v>
      </c>
      <c r="I272" s="17">
        <v>2302003</v>
      </c>
      <c r="J272" s="18" t="s">
        <v>937</v>
      </c>
      <c r="K272" s="88">
        <v>230200300</v>
      </c>
      <c r="L272" s="90" t="s">
        <v>938</v>
      </c>
      <c r="M272" s="88">
        <v>230200300</v>
      </c>
      <c r="N272" s="90" t="s">
        <v>938</v>
      </c>
      <c r="O272" s="94" t="s">
        <v>1213</v>
      </c>
      <c r="P272" s="105">
        <v>3</v>
      </c>
      <c r="Q272" s="105"/>
      <c r="R272" s="118">
        <f t="shared" si="10"/>
        <v>3</v>
      </c>
      <c r="S272" s="91">
        <v>2020003630141</v>
      </c>
      <c r="T272" s="104" t="s">
        <v>1174</v>
      </c>
      <c r="U272" s="92" t="s">
        <v>939</v>
      </c>
      <c r="V272" s="30"/>
      <c r="W272" s="39"/>
      <c r="X272" s="39"/>
      <c r="Y272" s="39"/>
      <c r="Z272" s="39"/>
      <c r="AA272" s="39"/>
      <c r="AB272" s="39">
        <f>120000000+40000000+33125000-17000000</f>
        <v>176125000</v>
      </c>
      <c r="AC272" s="39"/>
      <c r="AD272" s="39"/>
      <c r="AE272" s="39"/>
      <c r="AF272" s="93">
        <f t="shared" si="9"/>
        <v>176125000</v>
      </c>
      <c r="AG272" s="143" t="s">
        <v>1223</v>
      </c>
      <c r="AI272" s="21"/>
      <c r="AJ272" s="21"/>
    </row>
    <row r="273" spans="1:36" ht="117" hidden="1" customHeight="1" x14ac:dyDescent="0.2">
      <c r="A273" s="17">
        <v>324</v>
      </c>
      <c r="B273" s="115" t="s">
        <v>1151</v>
      </c>
      <c r="C273" s="17">
        <v>4</v>
      </c>
      <c r="D273" s="17">
        <v>2302</v>
      </c>
      <c r="E273" s="18" t="s">
        <v>1107</v>
      </c>
      <c r="F273" s="92" t="s">
        <v>936</v>
      </c>
      <c r="G273" s="17">
        <v>2302033</v>
      </c>
      <c r="H273" s="18" t="s">
        <v>940</v>
      </c>
      <c r="I273" s="17">
        <v>2302033</v>
      </c>
      <c r="J273" s="18" t="s">
        <v>940</v>
      </c>
      <c r="K273" s="88">
        <v>230203300</v>
      </c>
      <c r="L273" s="90" t="s">
        <v>941</v>
      </c>
      <c r="M273" s="88">
        <v>230203300</v>
      </c>
      <c r="N273" s="90" t="s">
        <v>941</v>
      </c>
      <c r="O273" s="94" t="s">
        <v>1212</v>
      </c>
      <c r="P273" s="105">
        <v>100</v>
      </c>
      <c r="Q273" s="105"/>
      <c r="R273" s="118">
        <f t="shared" si="10"/>
        <v>100</v>
      </c>
      <c r="S273" s="91">
        <v>2020003630141</v>
      </c>
      <c r="T273" s="104" t="s">
        <v>1174</v>
      </c>
      <c r="U273" s="92" t="s">
        <v>939</v>
      </c>
      <c r="V273" s="30"/>
      <c r="W273" s="39"/>
      <c r="X273" s="39"/>
      <c r="Y273" s="39"/>
      <c r="Z273" s="39"/>
      <c r="AA273" s="39"/>
      <c r="AB273" s="39">
        <f>50000000+17310000</f>
        <v>67310000</v>
      </c>
      <c r="AC273" s="39"/>
      <c r="AD273" s="39"/>
      <c r="AE273" s="39"/>
      <c r="AF273" s="93">
        <f t="shared" si="9"/>
        <v>67310000</v>
      </c>
      <c r="AG273" s="143" t="s">
        <v>1223</v>
      </c>
      <c r="AI273" s="21"/>
      <c r="AJ273" s="21"/>
    </row>
    <row r="274" spans="1:36" ht="117" hidden="1" customHeight="1" x14ac:dyDescent="0.2">
      <c r="A274" s="17">
        <v>324</v>
      </c>
      <c r="B274" s="115" t="s">
        <v>1151</v>
      </c>
      <c r="C274" s="17">
        <v>4</v>
      </c>
      <c r="D274" s="17">
        <v>2302</v>
      </c>
      <c r="E274" s="18" t="s">
        <v>1107</v>
      </c>
      <c r="F274" s="92" t="s">
        <v>936</v>
      </c>
      <c r="G274" s="17">
        <v>2302066</v>
      </c>
      <c r="H274" s="18" t="s">
        <v>942</v>
      </c>
      <c r="I274" s="17">
        <v>2302066</v>
      </c>
      <c r="J274" s="18" t="s">
        <v>942</v>
      </c>
      <c r="K274" s="88">
        <v>230206600</v>
      </c>
      <c r="L274" s="90" t="s">
        <v>943</v>
      </c>
      <c r="M274" s="88">
        <v>230206600</v>
      </c>
      <c r="N274" s="90" t="s">
        <v>943</v>
      </c>
      <c r="O274" s="94" t="s">
        <v>1213</v>
      </c>
      <c r="P274" s="105">
        <v>60</v>
      </c>
      <c r="Q274" s="105"/>
      <c r="R274" s="118">
        <f t="shared" si="10"/>
        <v>60</v>
      </c>
      <c r="S274" s="91">
        <v>2020003630141</v>
      </c>
      <c r="T274" s="104" t="s">
        <v>1174</v>
      </c>
      <c r="U274" s="92" t="s">
        <v>939</v>
      </c>
      <c r="V274" s="30"/>
      <c r="W274" s="39"/>
      <c r="X274" s="39"/>
      <c r="Y274" s="39"/>
      <c r="Z274" s="39"/>
      <c r="AA274" s="39"/>
      <c r="AB274" s="39">
        <f>60000000+19790000-12135000</f>
        <v>67655000</v>
      </c>
      <c r="AC274" s="39"/>
      <c r="AD274" s="39"/>
      <c r="AE274" s="39"/>
      <c r="AF274" s="93">
        <f t="shared" si="9"/>
        <v>67655000</v>
      </c>
      <c r="AG274" s="143" t="s">
        <v>1223</v>
      </c>
      <c r="AI274" s="21"/>
      <c r="AJ274" s="21"/>
    </row>
    <row r="275" spans="1:36" ht="117" hidden="1" customHeight="1" x14ac:dyDescent="0.2">
      <c r="A275" s="17">
        <v>324</v>
      </c>
      <c r="B275" s="115" t="s">
        <v>1151</v>
      </c>
      <c r="C275" s="17">
        <v>4</v>
      </c>
      <c r="D275" s="17">
        <v>2302</v>
      </c>
      <c r="E275" s="18" t="s">
        <v>1107</v>
      </c>
      <c r="F275" s="92" t="s">
        <v>936</v>
      </c>
      <c r="G275" s="17">
        <v>2302004</v>
      </c>
      <c r="H275" s="18" t="s">
        <v>944</v>
      </c>
      <c r="I275" s="17">
        <v>2302004</v>
      </c>
      <c r="J275" s="18" t="s">
        <v>944</v>
      </c>
      <c r="K275" s="88">
        <v>230200403</v>
      </c>
      <c r="L275" s="90" t="s">
        <v>945</v>
      </c>
      <c r="M275" s="88">
        <v>230200403</v>
      </c>
      <c r="N275" s="90" t="s">
        <v>945</v>
      </c>
      <c r="O275" s="94" t="s">
        <v>1212</v>
      </c>
      <c r="P275" s="105">
        <v>1</v>
      </c>
      <c r="Q275" s="105"/>
      <c r="R275" s="118">
        <f t="shared" si="10"/>
        <v>1</v>
      </c>
      <c r="S275" s="91">
        <v>2020003630141</v>
      </c>
      <c r="T275" s="104" t="s">
        <v>1174</v>
      </c>
      <c r="U275" s="92" t="s">
        <v>939</v>
      </c>
      <c r="V275" s="30"/>
      <c r="W275" s="39"/>
      <c r="X275" s="39"/>
      <c r="Y275" s="39"/>
      <c r="Z275" s="39"/>
      <c r="AA275" s="39"/>
      <c r="AB275" s="39">
        <v>25000000</v>
      </c>
      <c r="AC275" s="39"/>
      <c r="AD275" s="39"/>
      <c r="AE275" s="39"/>
      <c r="AF275" s="93">
        <f t="shared" si="9"/>
        <v>25000000</v>
      </c>
      <c r="AG275" s="143" t="s">
        <v>1223</v>
      </c>
      <c r="AI275" s="21"/>
      <c r="AJ275" s="21"/>
    </row>
    <row r="276" spans="1:36" ht="117" hidden="1" customHeight="1" x14ac:dyDescent="0.2">
      <c r="A276" s="17">
        <v>324</v>
      </c>
      <c r="B276" s="115" t="s">
        <v>1151</v>
      </c>
      <c r="C276" s="17">
        <v>4</v>
      </c>
      <c r="D276" s="17">
        <v>2302</v>
      </c>
      <c r="E276" s="18" t="s">
        <v>1107</v>
      </c>
      <c r="F276" s="92" t="s">
        <v>936</v>
      </c>
      <c r="G276" s="88">
        <v>2302007</v>
      </c>
      <c r="H276" s="18" t="s">
        <v>946</v>
      </c>
      <c r="I276" s="17">
        <v>2302007</v>
      </c>
      <c r="J276" s="18" t="s">
        <v>946</v>
      </c>
      <c r="K276" s="88">
        <v>230200701</v>
      </c>
      <c r="L276" s="18" t="s">
        <v>947</v>
      </c>
      <c r="M276" s="88">
        <v>230200701</v>
      </c>
      <c r="N276" s="90" t="s">
        <v>947</v>
      </c>
      <c r="O276" s="94" t="s">
        <v>1212</v>
      </c>
      <c r="P276" s="105">
        <v>1</v>
      </c>
      <c r="Q276" s="105"/>
      <c r="R276" s="118">
        <f t="shared" si="10"/>
        <v>1</v>
      </c>
      <c r="S276" s="91">
        <v>2020003630141</v>
      </c>
      <c r="T276" s="104" t="s">
        <v>1174</v>
      </c>
      <c r="U276" s="92" t="s">
        <v>939</v>
      </c>
      <c r="V276" s="30"/>
      <c r="W276" s="39"/>
      <c r="X276" s="39"/>
      <c r="Y276" s="39"/>
      <c r="Z276" s="39"/>
      <c r="AA276" s="39"/>
      <c r="AB276" s="39">
        <f>25000000+35460000-3990000</f>
        <v>56470000</v>
      </c>
      <c r="AC276" s="39"/>
      <c r="AD276" s="39"/>
      <c r="AE276" s="39"/>
      <c r="AF276" s="93">
        <f t="shared" si="9"/>
        <v>56470000</v>
      </c>
      <c r="AG276" s="143" t="s">
        <v>1223</v>
      </c>
      <c r="AI276" s="21"/>
      <c r="AJ276" s="21"/>
    </row>
    <row r="277" spans="1:36" ht="117" hidden="1" customHeight="1" x14ac:dyDescent="0.2">
      <c r="A277" s="17">
        <v>324</v>
      </c>
      <c r="B277" s="115" t="s">
        <v>1151</v>
      </c>
      <c r="C277" s="17">
        <v>4</v>
      </c>
      <c r="D277" s="17">
        <v>2302</v>
      </c>
      <c r="E277" s="18" t="s">
        <v>1107</v>
      </c>
      <c r="F277" s="92" t="s">
        <v>936</v>
      </c>
      <c r="G277" s="17">
        <v>2302083</v>
      </c>
      <c r="H277" s="18" t="s">
        <v>60</v>
      </c>
      <c r="I277" s="17">
        <v>2302083</v>
      </c>
      <c r="J277" s="18" t="s">
        <v>60</v>
      </c>
      <c r="K277" s="88">
        <v>230208300</v>
      </c>
      <c r="L277" s="90" t="s">
        <v>378</v>
      </c>
      <c r="M277" s="88">
        <v>230208300</v>
      </c>
      <c r="N277" s="90" t="s">
        <v>378</v>
      </c>
      <c r="O277" s="94" t="s">
        <v>1212</v>
      </c>
      <c r="P277" s="105">
        <v>1</v>
      </c>
      <c r="Q277" s="105"/>
      <c r="R277" s="118">
        <f t="shared" si="10"/>
        <v>1</v>
      </c>
      <c r="S277" s="91">
        <v>2020003630141</v>
      </c>
      <c r="T277" s="104" t="s">
        <v>1174</v>
      </c>
      <c r="U277" s="92" t="s">
        <v>939</v>
      </c>
      <c r="V277" s="30"/>
      <c r="W277" s="39"/>
      <c r="X277" s="39"/>
      <c r="Y277" s="39"/>
      <c r="Z277" s="39"/>
      <c r="AA277" s="39"/>
      <c r="AB277" s="39">
        <v>18000000</v>
      </c>
      <c r="AC277" s="39"/>
      <c r="AD277" s="39"/>
      <c r="AE277" s="39"/>
      <c r="AF277" s="93">
        <f t="shared" si="9"/>
        <v>18000000</v>
      </c>
      <c r="AG277" s="143" t="s">
        <v>1223</v>
      </c>
      <c r="AI277" s="21"/>
      <c r="AJ277" s="21"/>
    </row>
    <row r="278" spans="1:36" ht="117" hidden="1" customHeight="1" x14ac:dyDescent="0.2">
      <c r="A278" s="17">
        <v>319</v>
      </c>
      <c r="B278" s="115" t="s">
        <v>1150</v>
      </c>
      <c r="C278" s="17">
        <v>1</v>
      </c>
      <c r="D278" s="17">
        <v>4301</v>
      </c>
      <c r="E278" s="18" t="s">
        <v>1126</v>
      </c>
      <c r="F278" s="96" t="s">
        <v>948</v>
      </c>
      <c r="G278" s="17">
        <v>4301007</v>
      </c>
      <c r="H278" s="18" t="s">
        <v>949</v>
      </c>
      <c r="I278" s="17">
        <v>4301007</v>
      </c>
      <c r="J278" s="18" t="s">
        <v>949</v>
      </c>
      <c r="K278" s="17">
        <v>430100701</v>
      </c>
      <c r="L278" s="90" t="s">
        <v>950</v>
      </c>
      <c r="M278" s="17">
        <v>430100701</v>
      </c>
      <c r="N278" s="90" t="s">
        <v>950</v>
      </c>
      <c r="O278" s="94" t="s">
        <v>1212</v>
      </c>
      <c r="P278" s="105">
        <v>12</v>
      </c>
      <c r="Q278" s="105"/>
      <c r="R278" s="118">
        <f t="shared" si="10"/>
        <v>12</v>
      </c>
      <c r="S278" s="91">
        <v>2020003630009</v>
      </c>
      <c r="T278" s="104" t="s">
        <v>951</v>
      </c>
      <c r="U278" s="92" t="s">
        <v>952</v>
      </c>
      <c r="V278" s="139">
        <f>150000000+220000000+70000000+150000000+100000000+56574833.33-540000000</f>
        <v>206574833.33000004</v>
      </c>
      <c r="W278" s="140">
        <f>71305500+18694500+109540000+25702623</f>
        <v>225242623</v>
      </c>
      <c r="X278" s="30"/>
      <c r="Y278" s="139"/>
      <c r="Z278" s="30"/>
      <c r="AA278" s="30"/>
      <c r="AB278" s="27"/>
      <c r="AC278" s="30">
        <f>620558755+2252398.63+55112575</f>
        <v>677923728.63</v>
      </c>
      <c r="AD278" s="27"/>
      <c r="AE278" s="30">
        <f>430000000-430000000</f>
        <v>0</v>
      </c>
      <c r="AF278" s="39">
        <f t="shared" si="9"/>
        <v>1109741184.96</v>
      </c>
      <c r="AG278" s="143" t="s">
        <v>1228</v>
      </c>
      <c r="AI278" s="21"/>
      <c r="AJ278" s="21"/>
    </row>
    <row r="279" spans="1:36" ht="117" hidden="1" customHeight="1" x14ac:dyDescent="0.2">
      <c r="A279" s="17">
        <v>319</v>
      </c>
      <c r="B279" s="115" t="s">
        <v>1150</v>
      </c>
      <c r="C279" s="17">
        <v>1</v>
      </c>
      <c r="D279" s="17">
        <v>4301</v>
      </c>
      <c r="E279" s="18" t="s">
        <v>1126</v>
      </c>
      <c r="F279" s="96" t="s">
        <v>948</v>
      </c>
      <c r="G279" s="17">
        <v>4301037</v>
      </c>
      <c r="H279" s="18" t="s">
        <v>953</v>
      </c>
      <c r="I279" s="17">
        <v>4301037</v>
      </c>
      <c r="J279" s="18" t="s">
        <v>953</v>
      </c>
      <c r="K279" s="17">
        <v>430103701</v>
      </c>
      <c r="L279" s="90" t="s">
        <v>954</v>
      </c>
      <c r="M279" s="17">
        <v>430103701</v>
      </c>
      <c r="N279" s="90" t="s">
        <v>954</v>
      </c>
      <c r="O279" s="94" t="s">
        <v>1212</v>
      </c>
      <c r="P279" s="105">
        <v>12</v>
      </c>
      <c r="Q279" s="105"/>
      <c r="R279" s="118">
        <f t="shared" si="10"/>
        <v>12</v>
      </c>
      <c r="S279" s="91">
        <v>2020003630009</v>
      </c>
      <c r="T279" s="104" t="s">
        <v>951</v>
      </c>
      <c r="U279" s="92" t="s">
        <v>952</v>
      </c>
      <c r="V279" s="26"/>
      <c r="W279" s="140">
        <f>50000000+12000000+5000000+7000000+12000000+33000000</f>
        <v>119000000</v>
      </c>
      <c r="X279" s="30"/>
      <c r="Y279" s="30"/>
      <c r="Z279" s="30"/>
      <c r="AA279" s="30"/>
      <c r="AB279" s="27"/>
      <c r="AC279" s="27">
        <v>10000000</v>
      </c>
      <c r="AD279" s="27"/>
      <c r="AE279" s="27">
        <f>90000000-90000000</f>
        <v>0</v>
      </c>
      <c r="AF279" s="39">
        <f t="shared" si="9"/>
        <v>129000000</v>
      </c>
      <c r="AG279" s="143" t="s">
        <v>1228</v>
      </c>
      <c r="AI279" s="21"/>
      <c r="AJ279" s="21"/>
    </row>
    <row r="280" spans="1:36" ht="117" hidden="1" customHeight="1" x14ac:dyDescent="0.2">
      <c r="A280" s="17">
        <v>319</v>
      </c>
      <c r="B280" s="115" t="s">
        <v>1150</v>
      </c>
      <c r="C280" s="17">
        <v>1</v>
      </c>
      <c r="D280" s="17">
        <v>4301</v>
      </c>
      <c r="E280" s="18" t="s">
        <v>1126</v>
      </c>
      <c r="F280" s="96" t="s">
        <v>948</v>
      </c>
      <c r="G280" s="17">
        <v>4301037</v>
      </c>
      <c r="H280" s="18" t="s">
        <v>953</v>
      </c>
      <c r="I280" s="17">
        <v>4301037</v>
      </c>
      <c r="J280" s="18" t="s">
        <v>953</v>
      </c>
      <c r="K280" s="17" t="s">
        <v>955</v>
      </c>
      <c r="L280" s="90" t="s">
        <v>956</v>
      </c>
      <c r="M280" s="17" t="s">
        <v>955</v>
      </c>
      <c r="N280" s="90" t="s">
        <v>956</v>
      </c>
      <c r="O280" s="94" t="s">
        <v>1212</v>
      </c>
      <c r="P280" s="105">
        <v>12</v>
      </c>
      <c r="Q280" s="105"/>
      <c r="R280" s="118">
        <f t="shared" si="10"/>
        <v>12</v>
      </c>
      <c r="S280" s="91">
        <v>2020003630009</v>
      </c>
      <c r="T280" s="104" t="s">
        <v>951</v>
      </c>
      <c r="U280" s="92" t="s">
        <v>952</v>
      </c>
      <c r="V280" s="139">
        <f>340000000+15000000-165402500</f>
        <v>189597500</v>
      </c>
      <c r="W280" s="140">
        <f>145000000+50000000+137750583</f>
        <v>332750583</v>
      </c>
      <c r="X280" s="30"/>
      <c r="Y280" s="139">
        <v>106355890</v>
      </c>
      <c r="Z280" s="30"/>
      <c r="AA280" s="30"/>
      <c r="AB280" s="27">
        <v>90000000</v>
      </c>
      <c r="AC280" s="27">
        <v>267859589.11000001</v>
      </c>
      <c r="AD280" s="27"/>
      <c r="AE280" s="30">
        <f>460000000+150000000+20000000-630000000</f>
        <v>0</v>
      </c>
      <c r="AF280" s="39">
        <f t="shared" si="9"/>
        <v>986563562.11000001</v>
      </c>
      <c r="AG280" s="143" t="s">
        <v>1228</v>
      </c>
      <c r="AI280" s="21"/>
      <c r="AJ280" s="21"/>
    </row>
    <row r="281" spans="1:36" ht="117" hidden="1" customHeight="1" x14ac:dyDescent="0.2">
      <c r="A281" s="17">
        <v>319</v>
      </c>
      <c r="B281" s="115" t="s">
        <v>1150</v>
      </c>
      <c r="C281" s="17">
        <v>1</v>
      </c>
      <c r="D281" s="17">
        <v>4301</v>
      </c>
      <c r="E281" s="18" t="s">
        <v>1126</v>
      </c>
      <c r="F281" s="96" t="s">
        <v>948</v>
      </c>
      <c r="G281" s="95" t="s">
        <v>26</v>
      </c>
      <c r="H281" s="18" t="s">
        <v>957</v>
      </c>
      <c r="I281" s="17">
        <v>4301006</v>
      </c>
      <c r="J281" s="18" t="s">
        <v>958</v>
      </c>
      <c r="K281" s="95" t="s">
        <v>26</v>
      </c>
      <c r="L281" s="90" t="s">
        <v>959</v>
      </c>
      <c r="M281" s="17">
        <v>430100600</v>
      </c>
      <c r="N281" s="90" t="s">
        <v>960</v>
      </c>
      <c r="O281" s="94" t="s">
        <v>1212</v>
      </c>
      <c r="P281" s="105">
        <v>1</v>
      </c>
      <c r="Q281" s="105"/>
      <c r="R281" s="118">
        <f t="shared" si="10"/>
        <v>1</v>
      </c>
      <c r="S281" s="91">
        <v>2020003630009</v>
      </c>
      <c r="T281" s="104" t="s">
        <v>951</v>
      </c>
      <c r="U281" s="92" t="s">
        <v>952</v>
      </c>
      <c r="V281" s="30"/>
      <c r="W281" s="50">
        <v>50000000</v>
      </c>
      <c r="X281" s="30"/>
      <c r="Y281" s="139">
        <v>26000000</v>
      </c>
      <c r="Z281" s="30"/>
      <c r="AA281" s="30"/>
      <c r="AB281" s="49"/>
      <c r="AC281" s="30"/>
      <c r="AD281" s="50"/>
      <c r="AE281" s="49"/>
      <c r="AF281" s="39">
        <f t="shared" si="9"/>
        <v>76000000</v>
      </c>
      <c r="AG281" s="143" t="s">
        <v>1228</v>
      </c>
      <c r="AI281" s="21"/>
      <c r="AJ281" s="21"/>
    </row>
    <row r="282" spans="1:36" ht="117" hidden="1" customHeight="1" x14ac:dyDescent="0.2">
      <c r="A282" s="17">
        <v>319</v>
      </c>
      <c r="B282" s="115" t="s">
        <v>1150</v>
      </c>
      <c r="C282" s="17">
        <v>1</v>
      </c>
      <c r="D282" s="17">
        <v>4302</v>
      </c>
      <c r="E282" s="18" t="s">
        <v>1130</v>
      </c>
      <c r="F282" s="92" t="s">
        <v>1046</v>
      </c>
      <c r="G282" s="40">
        <v>4302075</v>
      </c>
      <c r="H282" s="18" t="s">
        <v>961</v>
      </c>
      <c r="I282" s="40">
        <v>4302075</v>
      </c>
      <c r="J282" s="18" t="s">
        <v>961</v>
      </c>
      <c r="K282" s="95">
        <v>430207500</v>
      </c>
      <c r="L282" s="90" t="s">
        <v>962</v>
      </c>
      <c r="M282" s="95">
        <v>430207500</v>
      </c>
      <c r="N282" s="90" t="s">
        <v>962</v>
      </c>
      <c r="O282" s="94" t="s">
        <v>1212</v>
      </c>
      <c r="P282" s="105">
        <v>25</v>
      </c>
      <c r="Q282" s="105"/>
      <c r="R282" s="118">
        <f t="shared" si="10"/>
        <v>25</v>
      </c>
      <c r="S282" s="91">
        <v>2020003630010</v>
      </c>
      <c r="T282" s="104" t="s">
        <v>963</v>
      </c>
      <c r="U282" s="92" t="s">
        <v>964</v>
      </c>
      <c r="V282" s="139">
        <f>830323292+450000000+80000000+800000000+418804864+610000000+240000000+243227407+250000000+100000000+25000000+60000000+15000000+500000000+25000000+60000000+45000000+272742469+120000000+15000000+80000000-2229659800</f>
        <v>3010438232</v>
      </c>
      <c r="W282" s="29">
        <f>2000000+80997430+50000000+50164200</f>
        <v>183161630</v>
      </c>
      <c r="X282" s="30"/>
      <c r="Y282" s="141">
        <f>128603995+133632907</f>
        <v>262236902</v>
      </c>
      <c r="Z282" s="30"/>
      <c r="AA282" s="30"/>
      <c r="AB282" s="29">
        <v>922366655.18000007</v>
      </c>
      <c r="AC282" s="29">
        <v>12000000</v>
      </c>
      <c r="AD282" s="29"/>
      <c r="AE282" s="49"/>
      <c r="AF282" s="39">
        <f t="shared" si="9"/>
        <v>4390203419.1800003</v>
      </c>
      <c r="AG282" s="143" t="s">
        <v>1228</v>
      </c>
      <c r="AI282" s="21"/>
      <c r="AJ282" s="21"/>
    </row>
    <row r="283" spans="1:36" ht="117" hidden="1" customHeight="1" x14ac:dyDescent="0.2">
      <c r="A283" s="17">
        <v>319</v>
      </c>
      <c r="B283" s="115" t="s">
        <v>1150</v>
      </c>
      <c r="C283" s="17">
        <v>1</v>
      </c>
      <c r="D283" s="17">
        <v>4302</v>
      </c>
      <c r="E283" s="18" t="s">
        <v>1130</v>
      </c>
      <c r="F283" s="92" t="s">
        <v>1046</v>
      </c>
      <c r="G283" s="40">
        <v>4302075</v>
      </c>
      <c r="H283" s="18" t="s">
        <v>961</v>
      </c>
      <c r="I283" s="40">
        <v>4302004</v>
      </c>
      <c r="J283" s="18" t="s">
        <v>965</v>
      </c>
      <c r="K283" s="95" t="s">
        <v>26</v>
      </c>
      <c r="L283" s="90" t="s">
        <v>966</v>
      </c>
      <c r="M283" s="35">
        <v>430200401</v>
      </c>
      <c r="N283" s="90" t="s">
        <v>967</v>
      </c>
      <c r="O283" s="94" t="s">
        <v>1212</v>
      </c>
      <c r="P283" s="105">
        <v>1</v>
      </c>
      <c r="Q283" s="105"/>
      <c r="R283" s="118">
        <f t="shared" si="10"/>
        <v>1</v>
      </c>
      <c r="S283" s="91">
        <v>2020003630013</v>
      </c>
      <c r="T283" s="104" t="s">
        <v>968</v>
      </c>
      <c r="U283" s="92" t="s">
        <v>969</v>
      </c>
      <c r="V283" s="30"/>
      <c r="W283" s="39"/>
      <c r="X283" s="30"/>
      <c r="Y283" s="30"/>
      <c r="Z283" s="30"/>
      <c r="AA283" s="30"/>
      <c r="AB283" s="39">
        <v>35000000</v>
      </c>
      <c r="AC283" s="39">
        <v>18350311.879999999</v>
      </c>
      <c r="AD283" s="39"/>
      <c r="AE283" s="30"/>
      <c r="AF283" s="39">
        <f t="shared" si="9"/>
        <v>53350311.879999995</v>
      </c>
      <c r="AG283" s="143" t="s">
        <v>1228</v>
      </c>
      <c r="AI283" s="21"/>
      <c r="AJ283" s="21"/>
    </row>
    <row r="284" spans="1:36" ht="117" hidden="1" customHeight="1" x14ac:dyDescent="0.2">
      <c r="A284" s="17">
        <v>320</v>
      </c>
      <c r="B284" s="115" t="s">
        <v>1149</v>
      </c>
      <c r="C284" s="17">
        <v>1</v>
      </c>
      <c r="D284" s="17">
        <v>4301</v>
      </c>
      <c r="E284" s="18" t="s">
        <v>1126</v>
      </c>
      <c r="F284" s="92" t="s">
        <v>119</v>
      </c>
      <c r="G284" s="95" t="s">
        <v>26</v>
      </c>
      <c r="H284" s="16" t="s">
        <v>970</v>
      </c>
      <c r="I284" s="17">
        <v>4301004</v>
      </c>
      <c r="J284" s="16" t="s">
        <v>121</v>
      </c>
      <c r="K284" s="95" t="s">
        <v>26</v>
      </c>
      <c r="L284" s="90" t="s">
        <v>971</v>
      </c>
      <c r="M284" s="77">
        <v>430100401</v>
      </c>
      <c r="N284" s="16" t="s">
        <v>123</v>
      </c>
      <c r="O284" s="94" t="s">
        <v>1213</v>
      </c>
      <c r="P284" s="105">
        <v>3</v>
      </c>
      <c r="Q284" s="105"/>
      <c r="R284" s="118">
        <f t="shared" si="10"/>
        <v>3</v>
      </c>
      <c r="S284" s="91">
        <v>2020003630142</v>
      </c>
      <c r="T284" s="104" t="s">
        <v>972</v>
      </c>
      <c r="U284" s="87" t="s">
        <v>973</v>
      </c>
      <c r="V284" s="39">
        <v>798809971</v>
      </c>
      <c r="W284" s="30"/>
      <c r="X284" s="30"/>
      <c r="Y284" s="30"/>
      <c r="Z284" s="30"/>
      <c r="AA284" s="30"/>
      <c r="AB284" s="49"/>
      <c r="AC284" s="27"/>
      <c r="AD284" s="27"/>
      <c r="AE284" s="30"/>
      <c r="AF284" s="93">
        <f t="shared" si="9"/>
        <v>798809971</v>
      </c>
      <c r="AG284" s="143" t="s">
        <v>1229</v>
      </c>
      <c r="AI284" s="21"/>
      <c r="AJ284" s="21"/>
    </row>
    <row r="285" spans="1:36" ht="117" hidden="1" customHeight="1" x14ac:dyDescent="0.2">
      <c r="A285" s="17">
        <v>320</v>
      </c>
      <c r="B285" s="115" t="s">
        <v>1149</v>
      </c>
      <c r="C285" s="17">
        <v>1</v>
      </c>
      <c r="D285" s="17">
        <v>2201</v>
      </c>
      <c r="E285" s="18" t="s">
        <v>1106</v>
      </c>
      <c r="F285" s="92" t="s">
        <v>107</v>
      </c>
      <c r="G285" s="95" t="s">
        <v>26</v>
      </c>
      <c r="H285" s="18" t="s">
        <v>490</v>
      </c>
      <c r="I285" s="77">
        <v>2201062</v>
      </c>
      <c r="J285" s="18" t="s">
        <v>109</v>
      </c>
      <c r="K285" s="95" t="s">
        <v>26</v>
      </c>
      <c r="L285" s="90" t="s">
        <v>110</v>
      </c>
      <c r="M285" s="17">
        <v>220106200</v>
      </c>
      <c r="N285" s="18" t="s">
        <v>111</v>
      </c>
      <c r="O285" s="94" t="s">
        <v>1213</v>
      </c>
      <c r="P285" s="91">
        <v>15</v>
      </c>
      <c r="Q285" s="91">
        <v>6</v>
      </c>
      <c r="R285" s="118">
        <f t="shared" si="10"/>
        <v>21</v>
      </c>
      <c r="S285" s="91">
        <v>2020003630143</v>
      </c>
      <c r="T285" s="104" t="s">
        <v>974</v>
      </c>
      <c r="U285" s="87" t="s">
        <v>975</v>
      </c>
      <c r="V285" s="39">
        <v>798200000</v>
      </c>
      <c r="W285" s="30"/>
      <c r="X285" s="30"/>
      <c r="Y285" s="30"/>
      <c r="Z285" s="30"/>
      <c r="AA285" s="30"/>
      <c r="AB285" s="49"/>
      <c r="AC285" s="30"/>
      <c r="AD285" s="30"/>
      <c r="AE285" s="26"/>
      <c r="AF285" s="93">
        <f t="shared" si="9"/>
        <v>798200000</v>
      </c>
      <c r="AG285" s="143" t="s">
        <v>1229</v>
      </c>
      <c r="AI285" s="21"/>
      <c r="AJ285" s="21"/>
    </row>
    <row r="286" spans="1:36" ht="117" hidden="1" customHeight="1" x14ac:dyDescent="0.2">
      <c r="A286" s="17">
        <v>320</v>
      </c>
      <c r="B286" s="115" t="s">
        <v>1149</v>
      </c>
      <c r="C286" s="17">
        <v>3</v>
      </c>
      <c r="D286" s="17">
        <v>2402</v>
      </c>
      <c r="E286" s="18" t="s">
        <v>1108</v>
      </c>
      <c r="F286" s="87" t="s">
        <v>976</v>
      </c>
      <c r="G286" s="95" t="s">
        <v>26</v>
      </c>
      <c r="H286" s="18" t="s">
        <v>133</v>
      </c>
      <c r="I286" s="77">
        <v>2402041</v>
      </c>
      <c r="J286" s="18" t="s">
        <v>134</v>
      </c>
      <c r="K286" s="95" t="s">
        <v>26</v>
      </c>
      <c r="L286" s="90" t="s">
        <v>135</v>
      </c>
      <c r="M286" s="77">
        <v>240204100</v>
      </c>
      <c r="N286" s="16" t="s">
        <v>136</v>
      </c>
      <c r="O286" s="94" t="s">
        <v>1212</v>
      </c>
      <c r="P286" s="122">
        <v>70.379000000000005</v>
      </c>
      <c r="Q286" s="122"/>
      <c r="R286" s="132">
        <f t="shared" si="10"/>
        <v>70.379000000000005</v>
      </c>
      <c r="S286" s="91">
        <v>2020003630144</v>
      </c>
      <c r="T286" s="104" t="s">
        <v>977</v>
      </c>
      <c r="U286" s="92" t="s">
        <v>978</v>
      </c>
      <c r="V286" s="30"/>
      <c r="W286" s="30"/>
      <c r="X286" s="30"/>
      <c r="Y286" s="30"/>
      <c r="Z286" s="30"/>
      <c r="AA286" s="30"/>
      <c r="AB286" s="49"/>
      <c r="AC286" s="27">
        <f>325000000</f>
        <v>325000000</v>
      </c>
      <c r="AD286" s="27"/>
      <c r="AE286" s="30"/>
      <c r="AF286" s="93">
        <f t="shared" si="9"/>
        <v>325000000</v>
      </c>
      <c r="AG286" s="143" t="s">
        <v>1229</v>
      </c>
      <c r="AI286" s="21"/>
      <c r="AJ286" s="21"/>
    </row>
    <row r="287" spans="1:36" ht="117" hidden="1" customHeight="1" x14ac:dyDescent="0.2">
      <c r="A287" s="17">
        <v>320</v>
      </c>
      <c r="B287" s="115" t="s">
        <v>1149</v>
      </c>
      <c r="C287" s="17">
        <v>3</v>
      </c>
      <c r="D287" s="17">
        <v>4001</v>
      </c>
      <c r="E287" s="18" t="s">
        <v>1120</v>
      </c>
      <c r="F287" s="92" t="s">
        <v>151</v>
      </c>
      <c r="G287" s="98">
        <v>4001001</v>
      </c>
      <c r="H287" s="18" t="s">
        <v>979</v>
      </c>
      <c r="I287" s="128">
        <v>4001001</v>
      </c>
      <c r="J287" s="18" t="s">
        <v>979</v>
      </c>
      <c r="K287" s="95" t="s">
        <v>980</v>
      </c>
      <c r="L287" s="90" t="s">
        <v>981</v>
      </c>
      <c r="M287" s="95">
        <v>400100100</v>
      </c>
      <c r="N287" s="90" t="s">
        <v>981</v>
      </c>
      <c r="O287" s="94" t="s">
        <v>1213</v>
      </c>
      <c r="P287" s="105">
        <v>3</v>
      </c>
      <c r="Q287" s="105">
        <v>3</v>
      </c>
      <c r="R287" s="118">
        <f t="shared" si="10"/>
        <v>6</v>
      </c>
      <c r="S287" s="91">
        <v>2020003630145</v>
      </c>
      <c r="T287" s="104" t="s">
        <v>982</v>
      </c>
      <c r="U287" s="92" t="s">
        <v>983</v>
      </c>
      <c r="V287" s="39"/>
      <c r="W287" s="30"/>
      <c r="X287" s="30"/>
      <c r="Y287" s="30"/>
      <c r="Z287" s="30"/>
      <c r="AA287" s="30"/>
      <c r="AB287" s="49"/>
      <c r="AC287" s="30">
        <v>33000000</v>
      </c>
      <c r="AD287" s="30"/>
      <c r="AE287" s="26"/>
      <c r="AF287" s="93">
        <f t="shared" si="9"/>
        <v>33000000</v>
      </c>
      <c r="AG287" s="143" t="s">
        <v>1229</v>
      </c>
      <c r="AI287" s="21"/>
      <c r="AJ287" s="21"/>
    </row>
    <row r="288" spans="1:36" ht="117" hidden="1" customHeight="1" x14ac:dyDescent="0.2">
      <c r="A288" s="17">
        <v>320</v>
      </c>
      <c r="B288" s="115" t="s">
        <v>1149</v>
      </c>
      <c r="C288" s="17">
        <v>3</v>
      </c>
      <c r="D288" s="17">
        <v>4001</v>
      </c>
      <c r="E288" s="18" t="s">
        <v>1120</v>
      </c>
      <c r="F288" s="92" t="s">
        <v>984</v>
      </c>
      <c r="G288" s="98">
        <v>4001017</v>
      </c>
      <c r="H288" s="18" t="s">
        <v>985</v>
      </c>
      <c r="I288" s="128">
        <v>4001017</v>
      </c>
      <c r="J288" s="18" t="s">
        <v>985</v>
      </c>
      <c r="K288" s="95" t="s">
        <v>986</v>
      </c>
      <c r="L288" s="90" t="s">
        <v>987</v>
      </c>
      <c r="M288" s="95">
        <v>400101700</v>
      </c>
      <c r="N288" s="90" t="s">
        <v>987</v>
      </c>
      <c r="O288" s="94" t="s">
        <v>1213</v>
      </c>
      <c r="P288" s="105">
        <v>25</v>
      </c>
      <c r="Q288" s="105"/>
      <c r="R288" s="118">
        <f t="shared" si="10"/>
        <v>25</v>
      </c>
      <c r="S288" s="91">
        <v>2020003630145</v>
      </c>
      <c r="T288" s="104" t="s">
        <v>982</v>
      </c>
      <c r="U288" s="92" t="s">
        <v>983</v>
      </c>
      <c r="V288" s="39">
        <v>195000000</v>
      </c>
      <c r="W288" s="30"/>
      <c r="X288" s="30"/>
      <c r="Y288" s="30"/>
      <c r="Z288" s="30"/>
      <c r="AA288" s="30"/>
      <c r="AB288" s="49"/>
      <c r="AC288" s="39">
        <v>26000000</v>
      </c>
      <c r="AD288" s="39"/>
      <c r="AE288" s="26"/>
      <c r="AF288" s="93">
        <f t="shared" ref="AF288:AF298" si="11">V288+W288+X288+Y288+Z288+AA288+AB288+AC288+AE288</f>
        <v>221000000</v>
      </c>
      <c r="AG288" s="143" t="s">
        <v>1229</v>
      </c>
      <c r="AI288" s="21"/>
      <c r="AJ288" s="21"/>
    </row>
    <row r="289" spans="1:36" ht="117" hidden="1" customHeight="1" x14ac:dyDescent="0.2">
      <c r="A289" s="17">
        <v>320</v>
      </c>
      <c r="B289" s="115" t="s">
        <v>1149</v>
      </c>
      <c r="C289" s="17">
        <v>3</v>
      </c>
      <c r="D289" s="17">
        <v>4001</v>
      </c>
      <c r="E289" s="18" t="s">
        <v>1120</v>
      </c>
      <c r="F289" s="92" t="s">
        <v>151</v>
      </c>
      <c r="G289" s="98">
        <v>4001018</v>
      </c>
      <c r="H289" s="18" t="s">
        <v>988</v>
      </c>
      <c r="I289" s="128">
        <v>4001018</v>
      </c>
      <c r="J289" s="18" t="s">
        <v>988</v>
      </c>
      <c r="K289" s="95" t="s">
        <v>989</v>
      </c>
      <c r="L289" s="90" t="s">
        <v>990</v>
      </c>
      <c r="M289" s="95">
        <v>400101800</v>
      </c>
      <c r="N289" s="90" t="s">
        <v>990</v>
      </c>
      <c r="O289" s="94" t="s">
        <v>1213</v>
      </c>
      <c r="P289" s="105">
        <v>75</v>
      </c>
      <c r="Q289" s="105"/>
      <c r="R289" s="118">
        <f t="shared" si="10"/>
        <v>75</v>
      </c>
      <c r="S289" s="91">
        <v>2020003630145</v>
      </c>
      <c r="T289" s="104" t="s">
        <v>982</v>
      </c>
      <c r="U289" s="92" t="s">
        <v>983</v>
      </c>
      <c r="V289" s="39">
        <v>325000000</v>
      </c>
      <c r="W289" s="30"/>
      <c r="X289" s="30"/>
      <c r="Y289" s="30"/>
      <c r="Z289" s="30"/>
      <c r="AA289" s="30"/>
      <c r="AB289" s="49"/>
      <c r="AC289" s="30">
        <v>39000000</v>
      </c>
      <c r="AD289" s="30"/>
      <c r="AE289" s="26"/>
      <c r="AF289" s="93">
        <f t="shared" si="11"/>
        <v>364000000</v>
      </c>
      <c r="AG289" s="143" t="s">
        <v>1229</v>
      </c>
      <c r="AI289" s="21"/>
      <c r="AJ289" s="21"/>
    </row>
    <row r="290" spans="1:36" ht="117" hidden="1" customHeight="1" x14ac:dyDescent="0.2">
      <c r="A290" s="17">
        <v>320</v>
      </c>
      <c r="B290" s="115" t="s">
        <v>1149</v>
      </c>
      <c r="C290" s="17">
        <v>3</v>
      </c>
      <c r="D290" s="17">
        <v>4001</v>
      </c>
      <c r="E290" s="18" t="s">
        <v>1120</v>
      </c>
      <c r="F290" s="92" t="s">
        <v>151</v>
      </c>
      <c r="G290" s="98">
        <v>4001030</v>
      </c>
      <c r="H290" s="18" t="s">
        <v>991</v>
      </c>
      <c r="I290" s="128">
        <v>4001030</v>
      </c>
      <c r="J290" s="18" t="s">
        <v>991</v>
      </c>
      <c r="K290" s="95" t="s">
        <v>992</v>
      </c>
      <c r="L290" s="90" t="s">
        <v>171</v>
      </c>
      <c r="M290" s="95">
        <v>400103000</v>
      </c>
      <c r="N290" s="90" t="s">
        <v>171</v>
      </c>
      <c r="O290" s="94" t="s">
        <v>1213</v>
      </c>
      <c r="P290" s="105">
        <v>3</v>
      </c>
      <c r="Q290" s="105">
        <v>6</v>
      </c>
      <c r="R290" s="118">
        <f t="shared" si="10"/>
        <v>9</v>
      </c>
      <c r="S290" s="91">
        <v>2020003630145</v>
      </c>
      <c r="T290" s="104" t="s">
        <v>982</v>
      </c>
      <c r="U290" s="92" t="s">
        <v>983</v>
      </c>
      <c r="V290" s="39"/>
      <c r="W290" s="30"/>
      <c r="X290" s="30"/>
      <c r="Y290" s="30"/>
      <c r="Z290" s="30"/>
      <c r="AA290" s="30"/>
      <c r="AB290" s="27"/>
      <c r="AC290" s="30">
        <f>10000000+70000000</f>
        <v>80000000</v>
      </c>
      <c r="AD290" s="30"/>
      <c r="AE290" s="26"/>
      <c r="AF290" s="93">
        <f t="shared" si="11"/>
        <v>80000000</v>
      </c>
      <c r="AG290" s="143" t="s">
        <v>1229</v>
      </c>
      <c r="AI290" s="21"/>
      <c r="AJ290" s="21"/>
    </row>
    <row r="291" spans="1:36" ht="117" hidden="1" customHeight="1" x14ac:dyDescent="0.2">
      <c r="A291" s="17">
        <v>320</v>
      </c>
      <c r="B291" s="115" t="s">
        <v>1149</v>
      </c>
      <c r="C291" s="17">
        <v>3</v>
      </c>
      <c r="D291" s="17">
        <v>4001</v>
      </c>
      <c r="E291" s="18" t="s">
        <v>1120</v>
      </c>
      <c r="F291" s="92" t="s">
        <v>151</v>
      </c>
      <c r="G291" s="98">
        <v>4001031</v>
      </c>
      <c r="H291" s="18" t="s">
        <v>993</v>
      </c>
      <c r="I291" s="128">
        <v>4001031</v>
      </c>
      <c r="J291" s="18" t="s">
        <v>993</v>
      </c>
      <c r="K291" s="95">
        <v>400103103</v>
      </c>
      <c r="L291" s="90" t="s">
        <v>994</v>
      </c>
      <c r="M291" s="95">
        <v>400103103</v>
      </c>
      <c r="N291" s="90" t="s">
        <v>994</v>
      </c>
      <c r="O291" s="94" t="s">
        <v>1213</v>
      </c>
      <c r="P291" s="105">
        <v>8</v>
      </c>
      <c r="Q291" s="105"/>
      <c r="R291" s="118">
        <f t="shared" si="10"/>
        <v>8</v>
      </c>
      <c r="S291" s="91">
        <v>2020003630145</v>
      </c>
      <c r="T291" s="104" t="s">
        <v>982</v>
      </c>
      <c r="U291" s="92" t="s">
        <v>983</v>
      </c>
      <c r="V291" s="39"/>
      <c r="W291" s="30"/>
      <c r="X291" s="30"/>
      <c r="Y291" s="30"/>
      <c r="Z291" s="30"/>
      <c r="AA291" s="30"/>
      <c r="AB291" s="27"/>
      <c r="AC291" s="30">
        <f>525044541-86032469.08</f>
        <v>439012071.92000002</v>
      </c>
      <c r="AD291" s="30"/>
      <c r="AE291" s="26"/>
      <c r="AF291" s="93">
        <f t="shared" si="11"/>
        <v>439012071.92000002</v>
      </c>
      <c r="AG291" s="143" t="s">
        <v>1229</v>
      </c>
      <c r="AI291" s="21"/>
      <c r="AJ291" s="21"/>
    </row>
    <row r="292" spans="1:36" ht="117" hidden="1" customHeight="1" x14ac:dyDescent="0.2">
      <c r="A292" s="17">
        <v>320</v>
      </c>
      <c r="B292" s="115" t="s">
        <v>1149</v>
      </c>
      <c r="C292" s="17">
        <v>3</v>
      </c>
      <c r="D292" s="17">
        <v>4001</v>
      </c>
      <c r="E292" s="18" t="s">
        <v>1120</v>
      </c>
      <c r="F292" s="92" t="s">
        <v>984</v>
      </c>
      <c r="G292" s="98" t="s">
        <v>995</v>
      </c>
      <c r="H292" s="18" t="s">
        <v>996</v>
      </c>
      <c r="I292" s="128" t="s">
        <v>995</v>
      </c>
      <c r="J292" s="18" t="s">
        <v>996</v>
      </c>
      <c r="K292" s="95" t="s">
        <v>997</v>
      </c>
      <c r="L292" s="90" t="s">
        <v>996</v>
      </c>
      <c r="M292" s="95">
        <v>400101400</v>
      </c>
      <c r="N292" s="90" t="s">
        <v>996</v>
      </c>
      <c r="O292" s="94" t="s">
        <v>1213</v>
      </c>
      <c r="P292" s="105">
        <v>35</v>
      </c>
      <c r="Q292" s="105"/>
      <c r="R292" s="118">
        <f t="shared" si="10"/>
        <v>35</v>
      </c>
      <c r="S292" s="109">
        <v>2020003630145</v>
      </c>
      <c r="T292" s="110" t="s">
        <v>982</v>
      </c>
      <c r="U292" s="111" t="s">
        <v>983</v>
      </c>
      <c r="V292" s="107"/>
      <c r="W292" s="108"/>
      <c r="X292" s="108"/>
      <c r="Y292" s="108"/>
      <c r="Z292" s="108"/>
      <c r="AA292" s="108"/>
      <c r="AB292" s="27"/>
      <c r="AC292" s="30">
        <f>50000000-35000000</f>
        <v>15000000</v>
      </c>
      <c r="AD292" s="30"/>
      <c r="AE292" s="26"/>
      <c r="AF292" s="112">
        <f t="shared" si="11"/>
        <v>15000000</v>
      </c>
      <c r="AG292" s="143" t="s">
        <v>1229</v>
      </c>
      <c r="AI292" s="21"/>
      <c r="AJ292" s="21"/>
    </row>
    <row r="293" spans="1:36" ht="117" hidden="1" customHeight="1" x14ac:dyDescent="0.2">
      <c r="A293" s="17">
        <v>320</v>
      </c>
      <c r="B293" s="115" t="s">
        <v>1149</v>
      </c>
      <c r="C293" s="17">
        <v>3</v>
      </c>
      <c r="D293" s="17">
        <v>4001</v>
      </c>
      <c r="E293" s="18" t="s">
        <v>1120</v>
      </c>
      <c r="F293" s="92" t="s">
        <v>151</v>
      </c>
      <c r="G293" s="98" t="s">
        <v>998</v>
      </c>
      <c r="H293" s="18" t="s">
        <v>154</v>
      </c>
      <c r="I293" s="128" t="s">
        <v>998</v>
      </c>
      <c r="J293" s="18" t="s">
        <v>154</v>
      </c>
      <c r="K293" s="95">
        <v>400101500</v>
      </c>
      <c r="L293" s="90" t="s">
        <v>154</v>
      </c>
      <c r="M293" s="95">
        <v>400101500</v>
      </c>
      <c r="N293" s="90" t="s">
        <v>154</v>
      </c>
      <c r="O293" s="94" t="s">
        <v>1213</v>
      </c>
      <c r="P293" s="91">
        <v>120</v>
      </c>
      <c r="Q293" s="91">
        <v>46</v>
      </c>
      <c r="R293" s="118">
        <f t="shared" si="10"/>
        <v>166</v>
      </c>
      <c r="S293" s="91">
        <v>2020003630145</v>
      </c>
      <c r="T293" s="104" t="s">
        <v>982</v>
      </c>
      <c r="U293" s="92" t="s">
        <v>983</v>
      </c>
      <c r="V293" s="39"/>
      <c r="W293" s="30"/>
      <c r="X293" s="30"/>
      <c r="Y293" s="30"/>
      <c r="Z293" s="30"/>
      <c r="AA293" s="30"/>
      <c r="AB293" s="27"/>
      <c r="AC293" s="30">
        <f>50000000-35000000+36032469.08</f>
        <v>51032469.079999998</v>
      </c>
      <c r="AD293" s="30"/>
      <c r="AE293" s="26"/>
      <c r="AF293" s="93">
        <f t="shared" si="11"/>
        <v>51032469.079999998</v>
      </c>
      <c r="AG293" s="143" t="s">
        <v>1229</v>
      </c>
      <c r="AI293" s="21"/>
      <c r="AJ293" s="21"/>
    </row>
    <row r="294" spans="1:36" ht="117" hidden="1" customHeight="1" x14ac:dyDescent="0.2">
      <c r="A294" s="17">
        <v>320</v>
      </c>
      <c r="B294" s="115" t="s">
        <v>1149</v>
      </c>
      <c r="C294" s="17">
        <v>4</v>
      </c>
      <c r="D294" s="17">
        <v>4599</v>
      </c>
      <c r="E294" s="18" t="s">
        <v>1093</v>
      </c>
      <c r="F294" s="92" t="s">
        <v>25</v>
      </c>
      <c r="G294" s="98" t="s">
        <v>26</v>
      </c>
      <c r="H294" s="18" t="s">
        <v>175</v>
      </c>
      <c r="I294" s="128" t="s">
        <v>176</v>
      </c>
      <c r="J294" s="18" t="s">
        <v>111</v>
      </c>
      <c r="K294" s="95" t="s">
        <v>26</v>
      </c>
      <c r="L294" s="90" t="s">
        <v>177</v>
      </c>
      <c r="M294" s="95">
        <v>459901600</v>
      </c>
      <c r="N294" s="90" t="s">
        <v>111</v>
      </c>
      <c r="O294" s="94" t="s">
        <v>1212</v>
      </c>
      <c r="P294" s="91">
        <v>4</v>
      </c>
      <c r="Q294" s="91"/>
      <c r="R294" s="118">
        <v>4</v>
      </c>
      <c r="S294" s="91">
        <v>2022003630006</v>
      </c>
      <c r="T294" s="104" t="s">
        <v>1232</v>
      </c>
      <c r="U294" s="92" t="s">
        <v>1233</v>
      </c>
      <c r="V294" s="39"/>
      <c r="W294" s="30"/>
      <c r="X294" s="30"/>
      <c r="Y294" s="30"/>
      <c r="Z294" s="30"/>
      <c r="AA294" s="30"/>
      <c r="AB294" s="27"/>
      <c r="AC294" s="30">
        <v>50000000</v>
      </c>
      <c r="AD294" s="30"/>
      <c r="AE294" s="26"/>
      <c r="AF294" s="93">
        <f t="shared" si="11"/>
        <v>50000000</v>
      </c>
      <c r="AG294" s="143" t="s">
        <v>1229</v>
      </c>
      <c r="AI294" s="21"/>
      <c r="AJ294" s="21"/>
    </row>
    <row r="295" spans="1:36" ht="117" customHeight="1" x14ac:dyDescent="0.2">
      <c r="A295" s="17">
        <v>321</v>
      </c>
      <c r="B295" s="115" t="s">
        <v>1085</v>
      </c>
      <c r="C295" s="17">
        <v>3</v>
      </c>
      <c r="D295" s="17">
        <v>2409</v>
      </c>
      <c r="E295" s="18" t="s">
        <v>1109</v>
      </c>
      <c r="F295" s="96" t="s">
        <v>999</v>
      </c>
      <c r="G295" s="95" t="s">
        <v>26</v>
      </c>
      <c r="H295" s="18" t="s">
        <v>1000</v>
      </c>
      <c r="I295" s="17">
        <v>2409009</v>
      </c>
      <c r="J295" s="18" t="s">
        <v>1001</v>
      </c>
      <c r="K295" s="95" t="s">
        <v>26</v>
      </c>
      <c r="L295" s="90" t="s">
        <v>1002</v>
      </c>
      <c r="M295" s="17">
        <v>240900900</v>
      </c>
      <c r="N295" s="90" t="s">
        <v>1003</v>
      </c>
      <c r="O295" s="94" t="s">
        <v>1212</v>
      </c>
      <c r="P295" s="105">
        <v>1</v>
      </c>
      <c r="Q295" s="105"/>
      <c r="R295" s="118">
        <f t="shared" si="10"/>
        <v>1</v>
      </c>
      <c r="S295" s="91">
        <v>2020003630149</v>
      </c>
      <c r="T295" s="104" t="s">
        <v>1004</v>
      </c>
      <c r="U295" s="92" t="s">
        <v>1005</v>
      </c>
      <c r="V295" s="30"/>
      <c r="W295" s="30"/>
      <c r="X295" s="30"/>
      <c r="Y295" s="30"/>
      <c r="Z295" s="30"/>
      <c r="AA295" s="30"/>
      <c r="AB295" s="49"/>
      <c r="AC295" s="49">
        <f>28007760-18007760</f>
        <v>10000000</v>
      </c>
      <c r="AD295" s="49"/>
      <c r="AE295" s="30"/>
      <c r="AF295" s="93">
        <f t="shared" si="11"/>
        <v>10000000</v>
      </c>
      <c r="AG295" s="143" t="s">
        <v>1230</v>
      </c>
      <c r="AI295" s="21"/>
      <c r="AJ295" s="21"/>
    </row>
    <row r="296" spans="1:36" ht="117" customHeight="1" x14ac:dyDescent="0.2">
      <c r="A296" s="17">
        <v>321</v>
      </c>
      <c r="B296" s="115" t="s">
        <v>1085</v>
      </c>
      <c r="C296" s="17">
        <v>3</v>
      </c>
      <c r="D296" s="17">
        <v>2409</v>
      </c>
      <c r="E296" s="18" t="s">
        <v>1109</v>
      </c>
      <c r="F296" s="96" t="s">
        <v>999</v>
      </c>
      <c r="G296" s="95" t="s">
        <v>26</v>
      </c>
      <c r="H296" s="18" t="s">
        <v>1006</v>
      </c>
      <c r="I296" s="17">
        <v>2409022</v>
      </c>
      <c r="J296" s="18" t="s">
        <v>1007</v>
      </c>
      <c r="K296" s="95" t="s">
        <v>26</v>
      </c>
      <c r="L296" s="90" t="s">
        <v>1008</v>
      </c>
      <c r="M296" s="17">
        <v>240902202</v>
      </c>
      <c r="N296" s="90" t="s">
        <v>1024</v>
      </c>
      <c r="O296" s="94" t="s">
        <v>1212</v>
      </c>
      <c r="P296" s="105">
        <v>1</v>
      </c>
      <c r="Q296" s="105"/>
      <c r="R296" s="118">
        <f t="shared" si="10"/>
        <v>1</v>
      </c>
      <c r="S296" s="91">
        <v>2020003630149</v>
      </c>
      <c r="T296" s="104" t="s">
        <v>1004</v>
      </c>
      <c r="U296" s="92" t="s">
        <v>1005</v>
      </c>
      <c r="V296" s="30"/>
      <c r="W296" s="30"/>
      <c r="X296" s="30"/>
      <c r="Y296" s="30"/>
      <c r="Z296" s="30"/>
      <c r="AA296" s="30"/>
      <c r="AB296" s="49"/>
      <c r="AC296" s="49">
        <f>26734680-21934680</f>
        <v>4800000</v>
      </c>
      <c r="AD296" s="49"/>
      <c r="AE296" s="30"/>
      <c r="AF296" s="93">
        <f t="shared" si="11"/>
        <v>4800000</v>
      </c>
      <c r="AG296" s="143" t="s">
        <v>1230</v>
      </c>
      <c r="AI296" s="21"/>
      <c r="AJ296" s="21"/>
    </row>
    <row r="297" spans="1:36" ht="117" customHeight="1" x14ac:dyDescent="0.2">
      <c r="A297" s="17">
        <v>321</v>
      </c>
      <c r="B297" s="115" t="s">
        <v>1085</v>
      </c>
      <c r="C297" s="17">
        <v>3</v>
      </c>
      <c r="D297" s="17">
        <v>2409</v>
      </c>
      <c r="E297" s="18" t="s">
        <v>1109</v>
      </c>
      <c r="F297" s="96" t="s">
        <v>999</v>
      </c>
      <c r="G297" s="95" t="s">
        <v>26</v>
      </c>
      <c r="H297" s="18" t="s">
        <v>1025</v>
      </c>
      <c r="I297" s="17">
        <v>2409014</v>
      </c>
      <c r="J297" s="18" t="s">
        <v>159</v>
      </c>
      <c r="K297" s="95" t="s">
        <v>26</v>
      </c>
      <c r="L297" s="90" t="s">
        <v>1009</v>
      </c>
      <c r="M297" s="17">
        <v>240901400</v>
      </c>
      <c r="N297" s="90" t="s">
        <v>714</v>
      </c>
      <c r="O297" s="94" t="s">
        <v>1212</v>
      </c>
      <c r="P297" s="105">
        <v>1</v>
      </c>
      <c r="Q297" s="105"/>
      <c r="R297" s="118">
        <f t="shared" si="10"/>
        <v>1</v>
      </c>
      <c r="S297" s="91">
        <v>2020003630149</v>
      </c>
      <c r="T297" s="104" t="s">
        <v>1004</v>
      </c>
      <c r="U297" s="92" t="s">
        <v>1005</v>
      </c>
      <c r="V297" s="30"/>
      <c r="W297" s="30"/>
      <c r="X297" s="30"/>
      <c r="Y297" s="30"/>
      <c r="Z297" s="30"/>
      <c r="AA297" s="30"/>
      <c r="AB297" s="49"/>
      <c r="AC297" s="49">
        <f>8911560+39418440</f>
        <v>48330000</v>
      </c>
      <c r="AD297" s="49"/>
      <c r="AE297" s="30"/>
      <c r="AF297" s="93">
        <f t="shared" si="11"/>
        <v>48330000</v>
      </c>
      <c r="AG297" s="143" t="s">
        <v>1230</v>
      </c>
      <c r="AI297" s="21"/>
      <c r="AJ297" s="21"/>
    </row>
    <row r="298" spans="1:36" s="66" customFormat="1" ht="117" customHeight="1" x14ac:dyDescent="0.25">
      <c r="A298" s="17">
        <v>321</v>
      </c>
      <c r="B298" s="115" t="s">
        <v>1085</v>
      </c>
      <c r="C298" s="17">
        <v>3</v>
      </c>
      <c r="D298" s="17">
        <v>2409</v>
      </c>
      <c r="E298" s="18" t="s">
        <v>1109</v>
      </c>
      <c r="F298" s="96" t="s">
        <v>999</v>
      </c>
      <c r="G298" s="95" t="s">
        <v>26</v>
      </c>
      <c r="H298" s="18" t="s">
        <v>1010</v>
      </c>
      <c r="I298" s="17">
        <v>2409039</v>
      </c>
      <c r="J298" s="18" t="s">
        <v>1011</v>
      </c>
      <c r="K298" s="95" t="s">
        <v>26</v>
      </c>
      <c r="L298" s="90" t="s">
        <v>1012</v>
      </c>
      <c r="M298" s="17">
        <v>240903905</v>
      </c>
      <c r="N298" s="90" t="s">
        <v>1013</v>
      </c>
      <c r="O298" s="94" t="s">
        <v>1212</v>
      </c>
      <c r="P298" s="105">
        <v>1</v>
      </c>
      <c r="Q298" s="105"/>
      <c r="R298" s="118">
        <f t="shared" si="10"/>
        <v>1</v>
      </c>
      <c r="S298" s="91">
        <v>2020003630149</v>
      </c>
      <c r="T298" s="104" t="s">
        <v>1004</v>
      </c>
      <c r="U298" s="92" t="s">
        <v>1005</v>
      </c>
      <c r="V298" s="30"/>
      <c r="W298" s="30"/>
      <c r="X298" s="30"/>
      <c r="Y298" s="30"/>
      <c r="Z298" s="30"/>
      <c r="AA298" s="30"/>
      <c r="AB298" s="49"/>
      <c r="AC298" s="49">
        <f>49862300+524000</f>
        <v>50386300</v>
      </c>
      <c r="AD298" s="49"/>
      <c r="AE298" s="30"/>
      <c r="AF298" s="93">
        <f t="shared" si="11"/>
        <v>50386300</v>
      </c>
      <c r="AG298" s="143" t="s">
        <v>1230</v>
      </c>
      <c r="AJ298" s="21"/>
    </row>
    <row r="299" spans="1:36" s="67" customFormat="1" ht="27" hidden="1" customHeight="1" x14ac:dyDescent="0.25">
      <c r="A299" s="63" t="s">
        <v>1137</v>
      </c>
      <c r="B299" s="64"/>
      <c r="C299" s="59"/>
      <c r="D299" s="58"/>
      <c r="E299" s="58"/>
      <c r="F299" s="58"/>
      <c r="G299" s="60"/>
      <c r="H299" s="58"/>
      <c r="I299" s="61"/>
      <c r="J299" s="58"/>
      <c r="K299" s="58"/>
      <c r="L299" s="58"/>
      <c r="M299" s="60"/>
      <c r="N299" s="58"/>
      <c r="O299" s="61"/>
      <c r="P299" s="60"/>
      <c r="Q299" s="60"/>
      <c r="R299" s="60"/>
      <c r="S299" s="82"/>
      <c r="T299" s="58"/>
      <c r="U299" s="62"/>
      <c r="V299" s="65">
        <f t="shared" ref="V299:AC299" si="12">SUBTOTAL(9,V7:V277)</f>
        <v>0</v>
      </c>
      <c r="W299" s="65">
        <f t="shared" si="12"/>
        <v>0</v>
      </c>
      <c r="X299" s="65">
        <f t="shared" si="12"/>
        <v>0</v>
      </c>
      <c r="Y299" s="65">
        <f t="shared" si="12"/>
        <v>0</v>
      </c>
      <c r="Z299" s="65">
        <f t="shared" si="12"/>
        <v>0</v>
      </c>
      <c r="AA299" s="65">
        <f t="shared" si="12"/>
        <v>0</v>
      </c>
      <c r="AB299" s="65">
        <f t="shared" si="12"/>
        <v>0</v>
      </c>
      <c r="AC299" s="65">
        <f t="shared" si="12"/>
        <v>0</v>
      </c>
      <c r="AD299" s="65"/>
      <c r="AE299" s="65">
        <f>SUBTOTAL(9,AE7:AE277)</f>
        <v>0</v>
      </c>
      <c r="AF299" s="65">
        <f>SUM(AF7:AF277)</f>
        <v>348347514675.73999</v>
      </c>
      <c r="AG299" s="65"/>
      <c r="AJ299" s="21"/>
    </row>
    <row r="300" spans="1:36" s="21" customFormat="1" ht="27" hidden="1" customHeight="1" x14ac:dyDescent="0.25">
      <c r="A300" s="190" t="s">
        <v>1138</v>
      </c>
      <c r="B300" s="191"/>
      <c r="C300" s="191"/>
      <c r="D300" s="56"/>
      <c r="E300" s="56"/>
      <c r="F300" s="56"/>
      <c r="G300" s="56"/>
      <c r="H300" s="56"/>
      <c r="I300" s="56"/>
      <c r="J300" s="56"/>
      <c r="K300" s="56"/>
      <c r="L300" s="56"/>
      <c r="M300" s="56"/>
      <c r="N300" s="56"/>
      <c r="O300" s="56"/>
      <c r="P300" s="56"/>
      <c r="Q300" s="56"/>
      <c r="R300" s="56"/>
      <c r="S300" s="83"/>
      <c r="T300" s="57"/>
      <c r="U300" s="55"/>
      <c r="V300" s="55">
        <f t="shared" ref="V300:AC300" si="13">SUM(V278:V298)</f>
        <v>5523620536.3299999</v>
      </c>
      <c r="W300" s="55">
        <f t="shared" si="13"/>
        <v>910154836</v>
      </c>
      <c r="X300" s="55">
        <f t="shared" si="13"/>
        <v>0</v>
      </c>
      <c r="Y300" s="55">
        <f t="shared" si="13"/>
        <v>394592792</v>
      </c>
      <c r="Z300" s="55">
        <f t="shared" si="13"/>
        <v>0</v>
      </c>
      <c r="AA300" s="55">
        <f t="shared" si="13"/>
        <v>0</v>
      </c>
      <c r="AB300" s="55">
        <f t="shared" si="13"/>
        <v>1047366655.1800001</v>
      </c>
      <c r="AC300" s="55">
        <f t="shared" si="13"/>
        <v>2157694470.6199999</v>
      </c>
      <c r="AD300" s="55"/>
      <c r="AE300" s="55">
        <f t="shared" ref="AE300:AF300" si="14">SUM(AE278:AE298)</f>
        <v>0</v>
      </c>
      <c r="AF300" s="55">
        <f t="shared" si="14"/>
        <v>10033429290.130001</v>
      </c>
      <c r="AG300" s="84"/>
    </row>
    <row r="301" spans="1:36" ht="27" hidden="1" customHeight="1" x14ac:dyDescent="0.2">
      <c r="A301" s="68" t="s">
        <v>1139</v>
      </c>
      <c r="B301" s="69"/>
      <c r="C301" s="70"/>
      <c r="D301" s="69"/>
      <c r="E301" s="69"/>
      <c r="F301" s="69"/>
      <c r="G301" s="71"/>
      <c r="H301" s="69"/>
      <c r="I301" s="72"/>
      <c r="J301" s="69"/>
      <c r="K301" s="69"/>
      <c r="L301" s="69"/>
      <c r="M301" s="71"/>
      <c r="N301" s="69"/>
      <c r="O301" s="72"/>
      <c r="P301" s="71"/>
      <c r="Q301" s="71"/>
      <c r="R301" s="71"/>
      <c r="S301" s="85"/>
      <c r="T301" s="73"/>
      <c r="U301" s="74"/>
      <c r="V301" s="75">
        <f t="shared" ref="V301:AC301" si="15">V299+V300</f>
        <v>5523620536.3299999</v>
      </c>
      <c r="W301" s="75">
        <f t="shared" si="15"/>
        <v>910154836</v>
      </c>
      <c r="X301" s="75">
        <f t="shared" si="15"/>
        <v>0</v>
      </c>
      <c r="Y301" s="75">
        <f t="shared" si="15"/>
        <v>394592792</v>
      </c>
      <c r="Z301" s="75">
        <f t="shared" si="15"/>
        <v>0</v>
      </c>
      <c r="AA301" s="75">
        <f t="shared" si="15"/>
        <v>0</v>
      </c>
      <c r="AB301" s="75">
        <f t="shared" si="15"/>
        <v>1047366655.1800001</v>
      </c>
      <c r="AC301" s="75">
        <f t="shared" si="15"/>
        <v>2157694470.6199999</v>
      </c>
      <c r="AD301" s="75"/>
      <c r="AE301" s="75">
        <f>AE299+AE300</f>
        <v>0</v>
      </c>
      <c r="AF301" s="75">
        <f>+AF299+AF300</f>
        <v>358380943965.87</v>
      </c>
      <c r="AG301" s="76"/>
      <c r="AI301" s="21"/>
      <c r="AJ301" s="21"/>
    </row>
    <row r="302" spans="1:36" x14ac:dyDescent="0.2">
      <c r="C302" s="158"/>
      <c r="F302" s="9"/>
      <c r="G302" s="159"/>
      <c r="H302" s="9"/>
      <c r="I302" s="19"/>
      <c r="J302" s="9"/>
      <c r="K302" s="9"/>
      <c r="M302" s="159"/>
      <c r="P302" s="160"/>
      <c r="Q302" s="160"/>
      <c r="R302" s="160"/>
      <c r="S302" s="86"/>
      <c r="V302" s="101"/>
      <c r="W302" s="101"/>
      <c r="X302" s="101"/>
      <c r="Y302" s="101"/>
      <c r="Z302" s="101"/>
      <c r="AA302" s="101"/>
      <c r="AB302" s="101"/>
      <c r="AC302" s="101"/>
      <c r="AD302" s="101"/>
      <c r="AE302" s="101"/>
      <c r="AF302" s="101"/>
      <c r="AG302" s="6"/>
    </row>
    <row r="303" spans="1:36" x14ac:dyDescent="0.2">
      <c r="C303" s="158"/>
      <c r="F303" s="9"/>
      <c r="G303" s="159"/>
      <c r="H303" s="9"/>
      <c r="I303" s="19"/>
      <c r="J303" s="9"/>
      <c r="K303" s="9"/>
      <c r="M303" s="159"/>
      <c r="P303" s="160"/>
      <c r="Q303" s="160"/>
      <c r="R303" s="160"/>
      <c r="S303" s="86"/>
      <c r="AG303" s="6"/>
    </row>
    <row r="304" spans="1:36" x14ac:dyDescent="0.2">
      <c r="C304" s="158"/>
      <c r="F304" s="9"/>
      <c r="G304" s="159"/>
      <c r="H304" s="9"/>
      <c r="I304" s="19"/>
      <c r="J304" s="9"/>
      <c r="K304" s="9"/>
      <c r="M304" s="159"/>
      <c r="P304" s="160"/>
      <c r="Q304" s="160"/>
      <c r="R304" s="160"/>
      <c r="S304" s="86"/>
      <c r="AB304" s="1"/>
      <c r="AG304" s="6"/>
    </row>
    <row r="305" spans="3:33" x14ac:dyDescent="0.2">
      <c r="C305" s="158"/>
      <c r="F305" s="9"/>
      <c r="G305" s="159"/>
      <c r="H305" s="9"/>
      <c r="I305" s="19"/>
      <c r="J305" s="9"/>
      <c r="K305" s="9"/>
      <c r="M305" s="159"/>
      <c r="P305" s="160"/>
      <c r="Q305" s="160"/>
      <c r="R305" s="160"/>
      <c r="S305" s="86"/>
      <c r="V305" s="103"/>
      <c r="W305" s="103"/>
      <c r="X305" s="103"/>
      <c r="Y305" s="103"/>
      <c r="Z305" s="103"/>
      <c r="AA305" s="103"/>
      <c r="AB305" s="103"/>
      <c r="AC305" s="103"/>
      <c r="AD305" s="103"/>
      <c r="AE305" s="103"/>
      <c r="AF305" s="103"/>
      <c r="AG305" s="6"/>
    </row>
    <row r="306" spans="3:33" x14ac:dyDescent="0.2">
      <c r="AG306" s="6"/>
    </row>
    <row r="307" spans="3:33" x14ac:dyDescent="0.2">
      <c r="AF307" s="161"/>
      <c r="AG307" s="6"/>
    </row>
    <row r="308" spans="3:33" x14ac:dyDescent="0.2">
      <c r="AG308" s="6"/>
    </row>
    <row r="309" spans="3:33" x14ac:dyDescent="0.2">
      <c r="AG309" s="6"/>
    </row>
    <row r="310" spans="3:33" x14ac:dyDescent="0.2">
      <c r="AG310" s="6"/>
    </row>
    <row r="316" spans="3:33" x14ac:dyDescent="0.2">
      <c r="AB316" s="147"/>
      <c r="AC316" s="147" t="s">
        <v>1231</v>
      </c>
    </row>
  </sheetData>
  <autoFilter ref="A6:AM301" xr:uid="{00000000-0001-0000-0000-000000000000}">
    <filterColumn colId="1">
      <filters>
        <filter val="Instituto Departamental de Tránsito del Quindío"/>
      </filters>
    </filterColumn>
  </autoFilter>
  <mergeCells count="12">
    <mergeCell ref="AG5:AG6"/>
    <mergeCell ref="C1:AE1"/>
    <mergeCell ref="C2:AE2"/>
    <mergeCell ref="C3:AE3"/>
    <mergeCell ref="A300:C300"/>
    <mergeCell ref="A5:B5"/>
    <mergeCell ref="S5:U5"/>
    <mergeCell ref="K5:N5"/>
    <mergeCell ref="D5:F5"/>
    <mergeCell ref="G5:J5"/>
    <mergeCell ref="O5:R5"/>
    <mergeCell ref="V5:AF5"/>
  </mergeCells>
  <conditionalFormatting sqref="M195">
    <cfRule type="duplicateValues" dxfId="71" priority="77"/>
  </conditionalFormatting>
  <conditionalFormatting sqref="M210">
    <cfRule type="duplicateValues" dxfId="70" priority="73"/>
  </conditionalFormatting>
  <conditionalFormatting sqref="M210">
    <cfRule type="duplicateValues" dxfId="69" priority="74"/>
  </conditionalFormatting>
  <conditionalFormatting sqref="M74">
    <cfRule type="duplicateValues" dxfId="68" priority="72"/>
  </conditionalFormatting>
  <conditionalFormatting sqref="M89">
    <cfRule type="duplicateValues" dxfId="67" priority="71"/>
  </conditionalFormatting>
  <conditionalFormatting sqref="M90">
    <cfRule type="duplicateValues" dxfId="66" priority="70"/>
  </conditionalFormatting>
  <conditionalFormatting sqref="M188">
    <cfRule type="duplicateValues" dxfId="65" priority="68"/>
  </conditionalFormatting>
  <conditionalFormatting sqref="M188">
    <cfRule type="duplicateValues" dxfId="64" priority="69"/>
  </conditionalFormatting>
  <conditionalFormatting sqref="M92">
    <cfRule type="duplicateValues" dxfId="63" priority="67"/>
  </conditionalFormatting>
  <conditionalFormatting sqref="M93">
    <cfRule type="duplicateValues" dxfId="62" priority="64"/>
  </conditionalFormatting>
  <conditionalFormatting sqref="M93">
    <cfRule type="duplicateValues" dxfId="61" priority="65"/>
  </conditionalFormatting>
  <conditionalFormatting sqref="M93">
    <cfRule type="duplicateValues" dxfId="60" priority="66"/>
  </conditionalFormatting>
  <conditionalFormatting sqref="M97">
    <cfRule type="duplicateValues" dxfId="59" priority="62"/>
  </conditionalFormatting>
  <conditionalFormatting sqref="M97">
    <cfRule type="duplicateValues" dxfId="58" priority="63"/>
  </conditionalFormatting>
  <conditionalFormatting sqref="M98">
    <cfRule type="duplicateValues" dxfId="57" priority="60"/>
  </conditionalFormatting>
  <conditionalFormatting sqref="M98">
    <cfRule type="duplicateValues" dxfId="56" priority="61"/>
  </conditionalFormatting>
  <conditionalFormatting sqref="M99">
    <cfRule type="duplicateValues" dxfId="55" priority="58"/>
  </conditionalFormatting>
  <conditionalFormatting sqref="M99">
    <cfRule type="duplicateValues" dxfId="54" priority="59"/>
  </conditionalFormatting>
  <conditionalFormatting sqref="M104">
    <cfRule type="duplicateValues" dxfId="53" priority="56"/>
  </conditionalFormatting>
  <conditionalFormatting sqref="M104">
    <cfRule type="duplicateValues" dxfId="52" priority="57"/>
  </conditionalFormatting>
  <conditionalFormatting sqref="M105">
    <cfRule type="duplicateValues" dxfId="51" priority="54"/>
  </conditionalFormatting>
  <conditionalFormatting sqref="M105">
    <cfRule type="duplicateValues" dxfId="50" priority="55"/>
  </conditionalFormatting>
  <conditionalFormatting sqref="M106">
    <cfRule type="duplicateValues" dxfId="49" priority="52"/>
  </conditionalFormatting>
  <conditionalFormatting sqref="M106">
    <cfRule type="duplicateValues" dxfId="48" priority="53"/>
  </conditionalFormatting>
  <conditionalFormatting sqref="M107">
    <cfRule type="duplicateValues" dxfId="47" priority="50"/>
  </conditionalFormatting>
  <conditionalFormatting sqref="M107">
    <cfRule type="duplicateValues" dxfId="46" priority="51"/>
  </conditionalFormatting>
  <conditionalFormatting sqref="M211">
    <cfRule type="duplicateValues" dxfId="45" priority="48"/>
  </conditionalFormatting>
  <conditionalFormatting sqref="M211">
    <cfRule type="duplicateValues" dxfId="44" priority="49"/>
  </conditionalFormatting>
  <conditionalFormatting sqref="M91">
    <cfRule type="duplicateValues" dxfId="43" priority="78"/>
  </conditionalFormatting>
  <conditionalFormatting sqref="K74">
    <cfRule type="duplicateValues" dxfId="42" priority="47"/>
  </conditionalFormatting>
  <conditionalFormatting sqref="K89">
    <cfRule type="duplicateValues" dxfId="41" priority="46"/>
  </conditionalFormatting>
  <conditionalFormatting sqref="K90">
    <cfRule type="duplicateValues" dxfId="40" priority="45"/>
  </conditionalFormatting>
  <conditionalFormatting sqref="K91">
    <cfRule type="duplicateValues" dxfId="39" priority="44"/>
  </conditionalFormatting>
  <conditionalFormatting sqref="K92">
    <cfRule type="duplicateValues" dxfId="38" priority="43"/>
  </conditionalFormatting>
  <conditionalFormatting sqref="K93">
    <cfRule type="duplicateValues" dxfId="37" priority="40"/>
  </conditionalFormatting>
  <conditionalFormatting sqref="K93">
    <cfRule type="duplicateValues" dxfId="36" priority="41"/>
  </conditionalFormatting>
  <conditionalFormatting sqref="K93">
    <cfRule type="duplicateValues" dxfId="35" priority="42"/>
  </conditionalFormatting>
  <conditionalFormatting sqref="K97">
    <cfRule type="duplicateValues" dxfId="34" priority="38"/>
  </conditionalFormatting>
  <conditionalFormatting sqref="K97">
    <cfRule type="duplicateValues" dxfId="33" priority="39"/>
  </conditionalFormatting>
  <conditionalFormatting sqref="K98">
    <cfRule type="duplicateValues" dxfId="32" priority="36"/>
  </conditionalFormatting>
  <conditionalFormatting sqref="K98">
    <cfRule type="duplicateValues" dxfId="31" priority="37"/>
  </conditionalFormatting>
  <conditionalFormatting sqref="K99">
    <cfRule type="duplicateValues" dxfId="30" priority="34"/>
  </conditionalFormatting>
  <conditionalFormatting sqref="K99">
    <cfRule type="duplicateValues" dxfId="29" priority="35"/>
  </conditionalFormatting>
  <conditionalFormatting sqref="K104">
    <cfRule type="duplicateValues" dxfId="28" priority="32"/>
  </conditionalFormatting>
  <conditionalFormatting sqref="K104">
    <cfRule type="duplicateValues" dxfId="27" priority="33"/>
  </conditionalFormatting>
  <conditionalFormatting sqref="K105">
    <cfRule type="duplicateValues" dxfId="26" priority="30"/>
  </conditionalFormatting>
  <conditionalFormatting sqref="K105">
    <cfRule type="duplicateValues" dxfId="25" priority="31"/>
  </conditionalFormatting>
  <conditionalFormatting sqref="K106">
    <cfRule type="duplicateValues" dxfId="24" priority="28"/>
  </conditionalFormatting>
  <conditionalFormatting sqref="K106">
    <cfRule type="duplicateValues" dxfId="23" priority="29"/>
  </conditionalFormatting>
  <conditionalFormatting sqref="K107">
    <cfRule type="duplicateValues" dxfId="22" priority="26"/>
  </conditionalFormatting>
  <conditionalFormatting sqref="K107">
    <cfRule type="duplicateValues" dxfId="21" priority="27"/>
  </conditionalFormatting>
  <conditionalFormatting sqref="K188">
    <cfRule type="duplicateValues" dxfId="20" priority="24"/>
  </conditionalFormatting>
  <conditionalFormatting sqref="K188">
    <cfRule type="duplicateValues" dxfId="19" priority="25"/>
  </conditionalFormatting>
  <conditionalFormatting sqref="K195">
    <cfRule type="duplicateValues" dxfId="18" priority="23"/>
  </conditionalFormatting>
  <conditionalFormatting sqref="K210">
    <cfRule type="duplicateValues" dxfId="17" priority="19"/>
  </conditionalFormatting>
  <conditionalFormatting sqref="K210">
    <cfRule type="duplicateValues" dxfId="16" priority="20"/>
  </conditionalFormatting>
  <conditionalFormatting sqref="K211">
    <cfRule type="duplicateValues" dxfId="15" priority="17"/>
  </conditionalFormatting>
  <conditionalFormatting sqref="K211">
    <cfRule type="duplicateValues" dxfId="14" priority="18"/>
  </conditionalFormatting>
  <conditionalFormatting sqref="K31">
    <cfRule type="duplicateValues" dxfId="13" priority="15"/>
  </conditionalFormatting>
  <conditionalFormatting sqref="K31">
    <cfRule type="duplicateValues" dxfId="12" priority="16"/>
  </conditionalFormatting>
  <conditionalFormatting sqref="K32">
    <cfRule type="duplicateValues" dxfId="11" priority="13"/>
  </conditionalFormatting>
  <conditionalFormatting sqref="K32">
    <cfRule type="duplicateValues" dxfId="10" priority="14"/>
  </conditionalFormatting>
  <conditionalFormatting sqref="M31">
    <cfRule type="duplicateValues" dxfId="9" priority="11"/>
  </conditionalFormatting>
  <conditionalFormatting sqref="M31">
    <cfRule type="duplicateValues" dxfId="8" priority="12"/>
  </conditionalFormatting>
  <conditionalFormatting sqref="M32">
    <cfRule type="duplicateValues" dxfId="7" priority="9"/>
  </conditionalFormatting>
  <conditionalFormatting sqref="M32">
    <cfRule type="duplicateValues" dxfId="6" priority="10"/>
  </conditionalFormatting>
  <conditionalFormatting sqref="M203 J203">
    <cfRule type="duplicateValues" dxfId="5" priority="7"/>
  </conditionalFormatting>
  <conditionalFormatting sqref="M203">
    <cfRule type="duplicateValues" dxfId="4" priority="8"/>
  </conditionalFormatting>
  <conditionalFormatting sqref="G203">
    <cfRule type="duplicateValues" dxfId="3" priority="5"/>
  </conditionalFormatting>
  <conditionalFormatting sqref="G203">
    <cfRule type="duplicateValues" dxfId="2" priority="6"/>
  </conditionalFormatting>
  <conditionalFormatting sqref="G210">
    <cfRule type="duplicateValues" dxfId="1" priority="1"/>
  </conditionalFormatting>
  <conditionalFormatting sqref="G210">
    <cfRule type="duplicateValues" dxfId="0" priority="2"/>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C6"/>
  <sheetViews>
    <sheetView showGridLines="0" tabSelected="1" zoomScale="70" zoomScaleNormal="70" workbookViewId="0">
      <selection activeCell="C7" sqref="C7"/>
    </sheetView>
  </sheetViews>
  <sheetFormatPr baseColWidth="10" defaultRowHeight="15" x14ac:dyDescent="0.25"/>
  <cols>
    <col min="1" max="1" width="17.85546875" customWidth="1"/>
    <col min="2" max="2" width="75" customWidth="1"/>
    <col min="3" max="3" width="30.85546875" customWidth="1"/>
  </cols>
  <sheetData>
    <row r="1" spans="1:3" ht="71.25" customHeight="1" thickBot="1" x14ac:dyDescent="0.3">
      <c r="A1" s="204" t="s">
        <v>1237</v>
      </c>
      <c r="B1" s="205"/>
      <c r="C1" s="205"/>
    </row>
    <row r="2" spans="1:3" s="174" customFormat="1" ht="49.5" customHeight="1" thickBot="1" x14ac:dyDescent="0.25">
      <c r="A2" s="171" t="s">
        <v>19</v>
      </c>
      <c r="B2" s="172" t="s">
        <v>20</v>
      </c>
      <c r="C2" s="173" t="s">
        <v>1238</v>
      </c>
    </row>
    <row r="3" spans="1:3" ht="23.25" customHeight="1" thickBot="1" x14ac:dyDescent="0.3">
      <c r="A3" s="202" t="s">
        <v>1240</v>
      </c>
      <c r="B3" s="203"/>
      <c r="C3" s="177">
        <f>C4</f>
        <v>113516300</v>
      </c>
    </row>
    <row r="4" spans="1:3" ht="39" customHeight="1" x14ac:dyDescent="0.25">
      <c r="A4" s="178">
        <v>3</v>
      </c>
      <c r="B4" s="175" t="s">
        <v>1239</v>
      </c>
      <c r="C4" s="176">
        <f>C5</f>
        <v>113516300</v>
      </c>
    </row>
    <row r="5" spans="1:3" ht="42" customHeight="1" thickBot="1" x14ac:dyDescent="0.3">
      <c r="A5" s="179">
        <v>2020003630149</v>
      </c>
      <c r="B5" s="180" t="s">
        <v>1004</v>
      </c>
      <c r="C5" s="181">
        <f>SUM('SGTO POAI 2022'!AF295:AF298)</f>
        <v>113516300</v>
      </c>
    </row>
    <row r="6" spans="1:3" ht="33.75" customHeight="1" thickBot="1" x14ac:dyDescent="0.3">
      <c r="A6" s="200" t="s">
        <v>1241</v>
      </c>
      <c r="B6" s="201"/>
      <c r="C6" s="182">
        <f>C3</f>
        <v>113516300</v>
      </c>
    </row>
  </sheetData>
  <mergeCells count="3">
    <mergeCell ref="A1:C1"/>
    <mergeCell ref="A6:B6"/>
    <mergeCell ref="A3:B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2022</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Bryan</cp:lastModifiedBy>
  <cp:revision/>
  <dcterms:created xsi:type="dcterms:W3CDTF">2020-08-12T15:20:51Z</dcterms:created>
  <dcterms:modified xsi:type="dcterms:W3CDTF">2023-06-02T21:17:16Z</dcterms:modified>
</cp:coreProperties>
</file>