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66"/>
  <workbookPr/>
  <mc:AlternateContent xmlns:mc="http://schemas.openxmlformats.org/markup-compatibility/2006">
    <mc:Choice Requires="x15">
      <x15ac:absPath xmlns:x15ac="http://schemas.microsoft.com/office/spreadsheetml/2010/11/ac" url="C:\Users\dirplaneacion04\Desktop\trabajo en casa X-05-2020\POAI 2021\S. HACIENDA  POAI 2021\POAI VIGENCIA 2021\"/>
    </mc:Choice>
  </mc:AlternateContent>
  <xr:revisionPtr revIDLastSave="0" documentId="13_ncr:1_{13BED9C4-72DA-4ED7-A473-E3915E40FA54}" xr6:coauthVersionLast="36" xr6:coauthVersionMax="36" xr10:uidLastSave="{00000000-0000-0000-0000-000000000000}"/>
  <bookViews>
    <workbookView xWindow="0" yWindow="0" windowWidth="20730" windowHeight="11385" activeTab="6" xr2:uid="{00000000-000D-0000-FFFF-FFFF00000000}"/>
  </bookViews>
  <sheets>
    <sheet name="POAI" sheetId="1" r:id="rId1"/>
    <sheet name="RESUMEN POR UNIDAD" sheetId="5" r:id="rId2"/>
    <sheet name="UNIDADES + FUENTE" sheetId="6" r:id="rId3"/>
    <sheet name="Hoja1" sheetId="7" r:id="rId4"/>
    <sheet name="RESPUESTA DNP" sheetId="11" r:id="rId5"/>
    <sheet name="PRODUCTOS PENDIENTES" sheetId="8" r:id="rId6"/>
    <sheet name="CLASIFICADOR" sheetId="9" r:id="rId7"/>
    <sheet name="CONTROL" sheetId="10" r:id="rId8"/>
  </sheets>
  <definedNames>
    <definedName name="_xlnm._FilterDatabase" localSheetId="6" hidden="1">CLASIFICADOR!$A$3:$DJ$490</definedName>
    <definedName name="_xlnm._FilterDatabase" localSheetId="0" hidden="1">POAI!$A$5:$AJ$5</definedName>
  </definedNames>
  <calcPr calcId="191029"/>
</workbook>
</file>

<file path=xl/calcChain.xml><?xml version="1.0" encoding="utf-8"?>
<calcChain xmlns="http://schemas.openxmlformats.org/spreadsheetml/2006/main">
  <c r="I488" i="9" l="1"/>
  <c r="AH400" i="9"/>
  <c r="AH399" i="9"/>
  <c r="AH398" i="9"/>
  <c r="AH474" i="9"/>
  <c r="I485" i="9" l="1"/>
  <c r="I4" i="10"/>
  <c r="I5" i="10"/>
  <c r="I6" i="10"/>
  <c r="I7" i="10"/>
  <c r="I8" i="10"/>
  <c r="I9" i="10"/>
  <c r="I10" i="10"/>
  <c r="I11" i="10"/>
  <c r="I12" i="10"/>
  <c r="I13" i="10"/>
  <c r="I14" i="10"/>
  <c r="I15" i="10"/>
  <c r="I3" i="10"/>
  <c r="H16" i="10"/>
  <c r="G16" i="10"/>
  <c r="I16" i="10" s="1"/>
  <c r="H18" i="10" l="1"/>
  <c r="AH105" i="9"/>
  <c r="I493" i="9" l="1"/>
  <c r="I492" i="9"/>
  <c r="I489" i="9"/>
  <c r="M489" i="9" s="1"/>
  <c r="I487" i="9"/>
  <c r="I486" i="9"/>
  <c r="AH391" i="9"/>
  <c r="AH392" i="9"/>
  <c r="I497" i="9" l="1"/>
  <c r="I500" i="9" s="1"/>
  <c r="M492" i="9"/>
  <c r="AH82" i="9"/>
  <c r="AH83" i="9"/>
  <c r="AH84" i="9"/>
  <c r="AE276" i="1"/>
  <c r="AF276" i="1"/>
  <c r="AB322" i="1"/>
  <c r="AC322" i="1"/>
  <c r="AE322" i="1"/>
  <c r="AF322" i="1"/>
  <c r="AA322" i="1"/>
  <c r="AD325" i="1"/>
  <c r="AD324" i="1"/>
  <c r="AB122" i="1"/>
  <c r="AC122" i="1"/>
  <c r="AE122" i="1"/>
  <c r="AF122" i="1"/>
  <c r="AA122" i="1"/>
  <c r="AD123" i="1"/>
  <c r="AD235" i="1" l="1"/>
  <c r="W236" i="1"/>
  <c r="AD236" i="1" s="1"/>
  <c r="I191" i="9"/>
  <c r="AD237" i="1"/>
  <c r="AD246" i="1"/>
  <c r="AD247" i="1"/>
  <c r="I193" i="9"/>
  <c r="AH383" i="9" l="1"/>
  <c r="AH382" i="9"/>
  <c r="AH381" i="9"/>
  <c r="AH385" i="9"/>
  <c r="AH384" i="9"/>
  <c r="AH380" i="9"/>
  <c r="AH379" i="9"/>
  <c r="AH378" i="9"/>
  <c r="AH377" i="9"/>
  <c r="AH376" i="9"/>
  <c r="AH375" i="9"/>
  <c r="AH374" i="9"/>
  <c r="AH373" i="9"/>
  <c r="AH372" i="9"/>
  <c r="AH371" i="9"/>
  <c r="AH370" i="9"/>
  <c r="AH369" i="9"/>
  <c r="AH368" i="9"/>
  <c r="AH367" i="9"/>
  <c r="AH366" i="9"/>
  <c r="AH365" i="9"/>
  <c r="AH364" i="9"/>
  <c r="AH363" i="9"/>
  <c r="AH362" i="9"/>
  <c r="AH361" i="9"/>
  <c r="AH360" i="9"/>
  <c r="AH359" i="9"/>
  <c r="AH358" i="9"/>
  <c r="AH357" i="9"/>
  <c r="AH356" i="9"/>
  <c r="AH355" i="9"/>
  <c r="AH354" i="9"/>
  <c r="AH353" i="9"/>
  <c r="AH352" i="9"/>
  <c r="AH351" i="9"/>
  <c r="AH350" i="9"/>
  <c r="AH349" i="9"/>
  <c r="AH348" i="9"/>
  <c r="AH347" i="9"/>
  <c r="AH346" i="9"/>
  <c r="AH345" i="9"/>
  <c r="AH344" i="9"/>
  <c r="AH343" i="9"/>
  <c r="AH342" i="9"/>
  <c r="AH341" i="9"/>
  <c r="AH340" i="9"/>
  <c r="AH339" i="9"/>
  <c r="AH338" i="9"/>
  <c r="AH337" i="9"/>
  <c r="AH336" i="9"/>
  <c r="AH335" i="9"/>
  <c r="AH334" i="9"/>
  <c r="AH192" i="9" l="1"/>
  <c r="AA151" i="1" l="1"/>
  <c r="AH94" i="9"/>
  <c r="AH129" i="9"/>
  <c r="AH128" i="9"/>
  <c r="AH127" i="9"/>
  <c r="AH126" i="9"/>
  <c r="AH125" i="9"/>
  <c r="AH124" i="9"/>
  <c r="AH123" i="9"/>
  <c r="AH122" i="9"/>
  <c r="AH121" i="9"/>
  <c r="AH120" i="9"/>
  <c r="AH119" i="9"/>
  <c r="AH118" i="9"/>
  <c r="AH117" i="9"/>
  <c r="AH116" i="9"/>
  <c r="AH115" i="9"/>
  <c r="AH114" i="9"/>
  <c r="AH113" i="9"/>
  <c r="AH112" i="9"/>
  <c r="AH111" i="9"/>
  <c r="AH96" i="9"/>
  <c r="AH131" i="9" l="1"/>
  <c r="AH132" i="9"/>
  <c r="AH133" i="9"/>
  <c r="AH134" i="9"/>
  <c r="AH135" i="9"/>
  <c r="AH136" i="9"/>
  <c r="AH137" i="9"/>
  <c r="AH138" i="9"/>
  <c r="AH139" i="9"/>
  <c r="AH140" i="9"/>
  <c r="AH141" i="9"/>
  <c r="AH142" i="9"/>
  <c r="AH143" i="9"/>
  <c r="AH144" i="9"/>
  <c r="AH145" i="9"/>
  <c r="AH146" i="9"/>
  <c r="AH147" i="9"/>
  <c r="AH148" i="9"/>
  <c r="AH149" i="9"/>
  <c r="AH150" i="9"/>
  <c r="AH151" i="9"/>
  <c r="AH152" i="9"/>
  <c r="AH153" i="9"/>
  <c r="AH154" i="9"/>
  <c r="AH155" i="9"/>
  <c r="AH156" i="9"/>
  <c r="AH157" i="9"/>
  <c r="AH158" i="9"/>
  <c r="AH159" i="9"/>
  <c r="AH160" i="9"/>
  <c r="AH161" i="9"/>
  <c r="AH162" i="9"/>
  <c r="AH163" i="9"/>
  <c r="AH164" i="9"/>
  <c r="AH165" i="9"/>
  <c r="AH166" i="9"/>
  <c r="AH167" i="9"/>
  <c r="AH168" i="9"/>
  <c r="AH169" i="9"/>
  <c r="AH170" i="9"/>
  <c r="AH171" i="9"/>
  <c r="AH172" i="9"/>
  <c r="AH173" i="9"/>
  <c r="AH174" i="9"/>
  <c r="AH175" i="9"/>
  <c r="AH333" i="9" l="1"/>
  <c r="AH332" i="9"/>
  <c r="AH331" i="9"/>
  <c r="AH330" i="9"/>
  <c r="AH329" i="9"/>
  <c r="AH328" i="9"/>
  <c r="AH327" i="9"/>
  <c r="AH326" i="9"/>
  <c r="AH325" i="9"/>
  <c r="AH324" i="9"/>
  <c r="AH323" i="9"/>
  <c r="AH322" i="9"/>
  <c r="AH321" i="9"/>
  <c r="AH320" i="9"/>
  <c r="AH319" i="9"/>
  <c r="AH318" i="9"/>
  <c r="AH317" i="9"/>
  <c r="AH316" i="9"/>
  <c r="AH315" i="9"/>
  <c r="AH314" i="9"/>
  <c r="AH313" i="9"/>
  <c r="AH312" i="9"/>
  <c r="AH311" i="9"/>
  <c r="AH310" i="9"/>
  <c r="AH309" i="9"/>
  <c r="AH308" i="9"/>
  <c r="AH307" i="9"/>
  <c r="AH306" i="9"/>
  <c r="AH305" i="9"/>
  <c r="AH304" i="9"/>
  <c r="AH303" i="9"/>
  <c r="AH302" i="9"/>
  <c r="AH301" i="9"/>
  <c r="AH300" i="9"/>
  <c r="AH299" i="9"/>
  <c r="AH298" i="9"/>
  <c r="AH297" i="9"/>
  <c r="I297" i="9"/>
  <c r="AH296" i="9"/>
  <c r="I296" i="9"/>
  <c r="AH295" i="9"/>
  <c r="AH294" i="9"/>
  <c r="I294" i="9"/>
  <c r="AH293" i="9"/>
  <c r="I293" i="9"/>
  <c r="AH292" i="9"/>
  <c r="AH291" i="9"/>
  <c r="AH290" i="9"/>
  <c r="AH289" i="9"/>
  <c r="AH288" i="9"/>
  <c r="AH287" i="9"/>
  <c r="AH286" i="9"/>
  <c r="AH285" i="9"/>
  <c r="AH284" i="9"/>
  <c r="AH283" i="9"/>
  <c r="I283" i="9"/>
  <c r="AH282" i="9"/>
  <c r="AH281" i="9"/>
  <c r="I281" i="9"/>
  <c r="AH280" i="9"/>
  <c r="AH279" i="9"/>
  <c r="I279" i="9"/>
  <c r="AH278" i="9"/>
  <c r="AH277" i="9"/>
  <c r="AH276" i="9"/>
  <c r="AH275" i="9"/>
  <c r="AH274" i="9"/>
  <c r="AH273" i="9"/>
  <c r="AH272" i="9"/>
  <c r="AH271" i="9"/>
  <c r="AH270" i="9"/>
  <c r="I270" i="9"/>
  <c r="AH269" i="9"/>
  <c r="AH268" i="9"/>
  <c r="AH267" i="9"/>
  <c r="AH266" i="9"/>
  <c r="AH265" i="9"/>
  <c r="AH264" i="9"/>
  <c r="AH263" i="9"/>
  <c r="AH262" i="9"/>
  <c r="AH261" i="9"/>
  <c r="AH260" i="9"/>
  <c r="AH259" i="9"/>
  <c r="AH258" i="9"/>
  <c r="AH257" i="9"/>
  <c r="AH256" i="9"/>
  <c r="AH255" i="9"/>
  <c r="AH254" i="9"/>
  <c r="AH253" i="9"/>
  <c r="AH252" i="9"/>
  <c r="AH251" i="9"/>
  <c r="AH250" i="9"/>
  <c r="AH203" i="9"/>
  <c r="AH202" i="9"/>
  <c r="AH201" i="9"/>
  <c r="AH200" i="9"/>
  <c r="AH249" i="9"/>
  <c r="AH248" i="9"/>
  <c r="AH247" i="9"/>
  <c r="AH246" i="9"/>
  <c r="AH245" i="9"/>
  <c r="AH244" i="9"/>
  <c r="AH243" i="9"/>
  <c r="AH242" i="9"/>
  <c r="AH241" i="9"/>
  <c r="AH240" i="9"/>
  <c r="AH239" i="9"/>
  <c r="AH186" i="9"/>
  <c r="AH185" i="9"/>
  <c r="AH184" i="9"/>
  <c r="AH183" i="9"/>
  <c r="AH238" i="9"/>
  <c r="AH237" i="9"/>
  <c r="AH236" i="9"/>
  <c r="AH235" i="9"/>
  <c r="AH199" i="9"/>
  <c r="AH198" i="9"/>
  <c r="AH197" i="9"/>
  <c r="AH196" i="9"/>
  <c r="AH234" i="9"/>
  <c r="AH233" i="9"/>
  <c r="AH232" i="9"/>
  <c r="AH231" i="9"/>
  <c r="AH230" i="9"/>
  <c r="AH229" i="9"/>
  <c r="AH228" i="9"/>
  <c r="AH227" i="9"/>
  <c r="AH226" i="9"/>
  <c r="AH213" i="9"/>
  <c r="AH212" i="9"/>
  <c r="AH211" i="9"/>
  <c r="AH210" i="9"/>
  <c r="AH209" i="9"/>
  <c r="AH208" i="9"/>
  <c r="AH207" i="9"/>
  <c r="AH206" i="9"/>
  <c r="AH205" i="9"/>
  <c r="AH204" i="9"/>
  <c r="AH217" i="9"/>
  <c r="AH216" i="9"/>
  <c r="AH215" i="9"/>
  <c r="AH214" i="9"/>
  <c r="AH195" i="9"/>
  <c r="AH194" i="9"/>
  <c r="AH193" i="9"/>
  <c r="AH191" i="9"/>
  <c r="AH190" i="9"/>
  <c r="AH189" i="9"/>
  <c r="AH188" i="9"/>
  <c r="AH187" i="9"/>
  <c r="AH225" i="9"/>
  <c r="AH224" i="9"/>
  <c r="AH223" i="9"/>
  <c r="AH222" i="9"/>
  <c r="AH221" i="9"/>
  <c r="AH220" i="9"/>
  <c r="AH219" i="9"/>
  <c r="AH218" i="9"/>
  <c r="AH182" i="9"/>
  <c r="AH181" i="9"/>
  <c r="AH180" i="9"/>
  <c r="AH179" i="9"/>
  <c r="AH446" i="9" l="1"/>
  <c r="AH447" i="9"/>
  <c r="AH448" i="9"/>
  <c r="AH454" i="9" l="1"/>
  <c r="AH455" i="9"/>
  <c r="AH456" i="9"/>
  <c r="AH457" i="9"/>
  <c r="AH458" i="9"/>
  <c r="AH459" i="9"/>
  <c r="AH460" i="9"/>
  <c r="AH461" i="9"/>
  <c r="AH462" i="9"/>
  <c r="AH463" i="9"/>
  <c r="AH464" i="9"/>
  <c r="AH465" i="9"/>
  <c r="AH466" i="9"/>
  <c r="AH467" i="9"/>
  <c r="AH468" i="9"/>
  <c r="AH469" i="9"/>
  <c r="AH470" i="9"/>
  <c r="AH471" i="9"/>
  <c r="AH472" i="9"/>
  <c r="AH473" i="9"/>
  <c r="AH475" i="9"/>
  <c r="AH476" i="9"/>
  <c r="AH477" i="9"/>
  <c r="AH478" i="9"/>
  <c r="AH479" i="9"/>
  <c r="AH480" i="9"/>
  <c r="AH481" i="9"/>
  <c r="AH482" i="9"/>
  <c r="AH130" i="9" l="1"/>
  <c r="AH176" i="9"/>
  <c r="AH177" i="9"/>
  <c r="AH178" i="9"/>
  <c r="AH386" i="9"/>
  <c r="AH387" i="9"/>
  <c r="AH388" i="9"/>
  <c r="AH389" i="9"/>
  <c r="AH390" i="9"/>
  <c r="AH393" i="9"/>
  <c r="AH394" i="9"/>
  <c r="AH395" i="9"/>
  <c r="AH396" i="9"/>
  <c r="AH397" i="9"/>
  <c r="AH401" i="9"/>
  <c r="AH402" i="9"/>
  <c r="AH403" i="9"/>
  <c r="AH404" i="9"/>
  <c r="AH405" i="9"/>
  <c r="AH406" i="9"/>
  <c r="AH407" i="9"/>
  <c r="AH408" i="9"/>
  <c r="AH409" i="9"/>
  <c r="AH410" i="9"/>
  <c r="AH411" i="9"/>
  <c r="AH412" i="9"/>
  <c r="AH413" i="9"/>
  <c r="AH414" i="9"/>
  <c r="AH415" i="9"/>
  <c r="AH416" i="9"/>
  <c r="AH417" i="9"/>
  <c r="AH418" i="9"/>
  <c r="AH419" i="9"/>
  <c r="AH420" i="9"/>
  <c r="AH421" i="9"/>
  <c r="AH422" i="9"/>
  <c r="AH423" i="9"/>
  <c r="AH424" i="9"/>
  <c r="AH425" i="9"/>
  <c r="AH426" i="9"/>
  <c r="AH427" i="9"/>
  <c r="AH428" i="9"/>
  <c r="AH429" i="9"/>
  <c r="AH430" i="9"/>
  <c r="AH431" i="9"/>
  <c r="AH432" i="9"/>
  <c r="AH435" i="9"/>
  <c r="AH436" i="9"/>
  <c r="AH437" i="9"/>
  <c r="AH438" i="9"/>
  <c r="AH439" i="9"/>
  <c r="AH440" i="9"/>
  <c r="AH441" i="9"/>
  <c r="AH442" i="9"/>
  <c r="AH443" i="9"/>
  <c r="AH445" i="9"/>
  <c r="AH449" i="9"/>
  <c r="AH450" i="9"/>
  <c r="AH451" i="9"/>
  <c r="AH452" i="9"/>
  <c r="AH453" i="9"/>
  <c r="AH110" i="9"/>
  <c r="AH109" i="9"/>
  <c r="AH107" i="9"/>
  <c r="AH103" i="9"/>
  <c r="AH99" i="9"/>
  <c r="AH23" i="9" l="1"/>
  <c r="AH24" i="9"/>
  <c r="AH88" i="9" l="1"/>
  <c r="AH89" i="9"/>
  <c r="AH90" i="9"/>
  <c r="AH91" i="9"/>
  <c r="AH92" i="9"/>
  <c r="AH81" i="9"/>
  <c r="AH85" i="9"/>
  <c r="AH86" i="9"/>
  <c r="AH87" i="9"/>
  <c r="AH77" i="9"/>
  <c r="AH78" i="9"/>
  <c r="AH79" i="9"/>
  <c r="AH74" i="9"/>
  <c r="AH72" i="9"/>
  <c r="AH67" i="9"/>
  <c r="AH68" i="9"/>
  <c r="AH69" i="9"/>
  <c r="AH70" i="9"/>
  <c r="AH60" i="9"/>
  <c r="AH61" i="9"/>
  <c r="AH62" i="9"/>
  <c r="AH63" i="9"/>
  <c r="AH64" i="9"/>
  <c r="AH65" i="9"/>
  <c r="AH50" i="9"/>
  <c r="AH49" i="9"/>
  <c r="AH58" i="9"/>
  <c r="AH59" i="9"/>
  <c r="AH54" i="9"/>
  <c r="AH55" i="9"/>
  <c r="AH51" i="9"/>
  <c r="AH52" i="9"/>
  <c r="AH53" i="9"/>
  <c r="AH56" i="9"/>
  <c r="AH46" i="9" l="1"/>
  <c r="AH47" i="9"/>
  <c r="AH48" i="9"/>
  <c r="AH57" i="9"/>
  <c r="AH66" i="9"/>
  <c r="AH71" i="9"/>
  <c r="AH73" i="9"/>
  <c r="AH75" i="9"/>
  <c r="AH76" i="9"/>
  <c r="AH80" i="9"/>
  <c r="AH93" i="9"/>
  <c r="AH95" i="9"/>
  <c r="AH97" i="9"/>
  <c r="AH98" i="9"/>
  <c r="AH100" i="9"/>
  <c r="AH101" i="9"/>
  <c r="AH102" i="9"/>
  <c r="AH104" i="9"/>
  <c r="AH106" i="9"/>
  <c r="AH108" i="9"/>
  <c r="AH40" i="9" l="1"/>
  <c r="AH36" i="9"/>
  <c r="AH31" i="9"/>
  <c r="AH26" i="9"/>
  <c r="AH27" i="9"/>
  <c r="AH28" i="9"/>
  <c r="AH29" i="9"/>
  <c r="AH30" i="9"/>
  <c r="AH32" i="9"/>
  <c r="AH33" i="9"/>
  <c r="AH34" i="9"/>
  <c r="AH35" i="9"/>
  <c r="AH37" i="9"/>
  <c r="AH38" i="9"/>
  <c r="AH39" i="9"/>
  <c r="AH41" i="9"/>
  <c r="AH42" i="9"/>
  <c r="AH43" i="9"/>
  <c r="AH44" i="9"/>
  <c r="AH45" i="9"/>
  <c r="AH25" i="9"/>
  <c r="AH17" i="9" l="1"/>
  <c r="AH18" i="9"/>
  <c r="AH19" i="9"/>
  <c r="AH20" i="9"/>
  <c r="AH21" i="9"/>
  <c r="AH22" i="9"/>
  <c r="AH16" i="9"/>
  <c r="AH12" i="9"/>
  <c r="AH13" i="9"/>
  <c r="AH14" i="9"/>
  <c r="AH15" i="9"/>
  <c r="AH11" i="9"/>
  <c r="AH10" i="9" l="1"/>
  <c r="AH9" i="9"/>
  <c r="AH8" i="9"/>
  <c r="AH6" i="9"/>
  <c r="AH7" i="9"/>
  <c r="AH5" i="9"/>
  <c r="D17" i="7" l="1"/>
  <c r="D16" i="7"/>
  <c r="D15" i="7"/>
  <c r="D14" i="7"/>
  <c r="D13" i="7"/>
  <c r="D12" i="7"/>
  <c r="D10" i="7"/>
  <c r="D11" i="7"/>
  <c r="D9" i="7"/>
  <c r="D8" i="7"/>
  <c r="D7" i="7"/>
  <c r="D6" i="7"/>
  <c r="D5" i="7"/>
  <c r="D18" i="7" l="1"/>
  <c r="E8" i="7" s="1"/>
  <c r="D22" i="7"/>
  <c r="E22" i="7" s="1"/>
  <c r="E15" i="7"/>
  <c r="E11" i="7"/>
  <c r="E7" i="7"/>
  <c r="E5" i="7"/>
  <c r="E14" i="7"/>
  <c r="E10" i="7"/>
  <c r="E6" i="7"/>
  <c r="E17" i="7"/>
  <c r="E13" i="7"/>
  <c r="E9" i="7"/>
  <c r="E16" i="7"/>
  <c r="E12" i="7"/>
  <c r="AA30" i="1"/>
  <c r="E18" i="7" l="1"/>
  <c r="AC474" i="1"/>
  <c r="AC473" i="1" s="1"/>
  <c r="AC472" i="1" s="1"/>
  <c r="AC471" i="1" s="1"/>
  <c r="AB474" i="1"/>
  <c r="AA474" i="1"/>
  <c r="AA473" i="1" s="1"/>
  <c r="AA472" i="1" s="1"/>
  <c r="AA471" i="1" s="1"/>
  <c r="Z474" i="1"/>
  <c r="Z473" i="1" s="1"/>
  <c r="Z472" i="1" s="1"/>
  <c r="Z471" i="1" s="1"/>
  <c r="Y474" i="1"/>
  <c r="Y473" i="1" s="1"/>
  <c r="Y472" i="1" s="1"/>
  <c r="Y471" i="1" s="1"/>
  <c r="X474" i="1"/>
  <c r="X473" i="1" s="1"/>
  <c r="X472" i="1" s="1"/>
  <c r="X471" i="1" s="1"/>
  <c r="W474" i="1"/>
  <c r="W473" i="1" s="1"/>
  <c r="W472" i="1" s="1"/>
  <c r="W471" i="1" s="1"/>
  <c r="V474" i="1"/>
  <c r="V473" i="1" s="1"/>
  <c r="V472" i="1" s="1"/>
  <c r="V471" i="1" s="1"/>
  <c r="U474" i="1"/>
  <c r="U473" i="1" s="1"/>
  <c r="U472" i="1" s="1"/>
  <c r="U471" i="1" s="1"/>
  <c r="T474" i="1"/>
  <c r="T473" i="1" s="1"/>
  <c r="T472" i="1" s="1"/>
  <c r="T471" i="1" s="1"/>
  <c r="S474" i="1"/>
  <c r="S473" i="1" s="1"/>
  <c r="S472" i="1" s="1"/>
  <c r="S471" i="1" s="1"/>
  <c r="R474" i="1"/>
  <c r="R473" i="1" s="1"/>
  <c r="R472" i="1" s="1"/>
  <c r="R471" i="1" s="1"/>
  <c r="Q474" i="1"/>
  <c r="Q473" i="1" s="1"/>
  <c r="Q472" i="1" s="1"/>
  <c r="Q471" i="1" s="1"/>
  <c r="AB473" i="1"/>
  <c r="AB472" i="1" s="1"/>
  <c r="AB471" i="1" s="1"/>
  <c r="R462" i="1"/>
  <c r="R461" i="1" s="1"/>
  <c r="S462" i="1"/>
  <c r="S461" i="1" s="1"/>
  <c r="T462" i="1"/>
  <c r="T461" i="1" s="1"/>
  <c r="U462" i="1"/>
  <c r="U461" i="1" s="1"/>
  <c r="V462" i="1"/>
  <c r="V461" i="1" s="1"/>
  <c r="W462" i="1"/>
  <c r="W461" i="1" s="1"/>
  <c r="X462" i="1"/>
  <c r="X461" i="1" s="1"/>
  <c r="Y462" i="1"/>
  <c r="Y461" i="1" s="1"/>
  <c r="Z462" i="1"/>
  <c r="Z461" i="1" s="1"/>
  <c r="AA462" i="1"/>
  <c r="AA461" i="1" s="1"/>
  <c r="AB462" i="1"/>
  <c r="AB461" i="1" s="1"/>
  <c r="AC462" i="1"/>
  <c r="AC461" i="1" s="1"/>
  <c r="R459" i="1"/>
  <c r="R458" i="1" s="1"/>
  <c r="S459" i="1"/>
  <c r="S458" i="1" s="1"/>
  <c r="T459" i="1"/>
  <c r="T458" i="1" s="1"/>
  <c r="U459" i="1"/>
  <c r="U458" i="1" s="1"/>
  <c r="V459" i="1"/>
  <c r="V458" i="1" s="1"/>
  <c r="W459" i="1"/>
  <c r="W458" i="1" s="1"/>
  <c r="X459" i="1"/>
  <c r="X458" i="1" s="1"/>
  <c r="Y459" i="1"/>
  <c r="Y458" i="1" s="1"/>
  <c r="Z459" i="1"/>
  <c r="Z458" i="1" s="1"/>
  <c r="AA459" i="1"/>
  <c r="AA458" i="1" s="1"/>
  <c r="AB459" i="1"/>
  <c r="AB458" i="1" s="1"/>
  <c r="AC459" i="1"/>
  <c r="AC458" i="1" s="1"/>
  <c r="Q462" i="1"/>
  <c r="Q461" i="1" s="1"/>
  <c r="R455" i="1"/>
  <c r="R454" i="1" s="1"/>
  <c r="S455" i="1"/>
  <c r="S454" i="1" s="1"/>
  <c r="T455" i="1"/>
  <c r="T454" i="1" s="1"/>
  <c r="U455" i="1"/>
  <c r="U454" i="1" s="1"/>
  <c r="V455" i="1"/>
  <c r="V454" i="1" s="1"/>
  <c r="W455" i="1"/>
  <c r="W454" i="1" s="1"/>
  <c r="X455" i="1"/>
  <c r="X454" i="1" s="1"/>
  <c r="Y455" i="1"/>
  <c r="Y454" i="1" s="1"/>
  <c r="Z455" i="1"/>
  <c r="Z454" i="1" s="1"/>
  <c r="AA455" i="1"/>
  <c r="AA454" i="1" s="1"/>
  <c r="AB455" i="1"/>
  <c r="AB454" i="1" s="1"/>
  <c r="AC455" i="1"/>
  <c r="AC454" i="1" s="1"/>
  <c r="R452" i="1"/>
  <c r="R451" i="1" s="1"/>
  <c r="S452" i="1"/>
  <c r="S451" i="1" s="1"/>
  <c r="T452" i="1"/>
  <c r="T451" i="1" s="1"/>
  <c r="U452" i="1"/>
  <c r="U451" i="1" s="1"/>
  <c r="V452" i="1"/>
  <c r="V451" i="1" s="1"/>
  <c r="W452" i="1"/>
  <c r="W451" i="1" s="1"/>
  <c r="X452" i="1"/>
  <c r="X451" i="1" s="1"/>
  <c r="Y452" i="1"/>
  <c r="Y451" i="1" s="1"/>
  <c r="Z452" i="1"/>
  <c r="Z451" i="1" s="1"/>
  <c r="AA452" i="1"/>
  <c r="AA451" i="1" s="1"/>
  <c r="AB452" i="1"/>
  <c r="AB451" i="1" s="1"/>
  <c r="AC452" i="1"/>
  <c r="AC451" i="1" s="1"/>
  <c r="Q455" i="1"/>
  <c r="Q454" i="1" s="1"/>
  <c r="Q452" i="1"/>
  <c r="Q451" i="1" s="1"/>
  <c r="R445" i="1"/>
  <c r="S445" i="1"/>
  <c r="T445" i="1"/>
  <c r="U445" i="1"/>
  <c r="V445" i="1"/>
  <c r="W445" i="1"/>
  <c r="X445" i="1"/>
  <c r="Y445" i="1"/>
  <c r="Z445" i="1"/>
  <c r="AA445" i="1"/>
  <c r="AB445" i="1"/>
  <c r="AC445" i="1"/>
  <c r="Q445" i="1"/>
  <c r="R440" i="1"/>
  <c r="S440" i="1"/>
  <c r="T440" i="1"/>
  <c r="U440" i="1"/>
  <c r="V440" i="1"/>
  <c r="W440" i="1"/>
  <c r="X440" i="1"/>
  <c r="Y440" i="1"/>
  <c r="Z440" i="1"/>
  <c r="AC440" i="1"/>
  <c r="Q440" i="1"/>
  <c r="AC399" i="1"/>
  <c r="AB399" i="1"/>
  <c r="AA399" i="1"/>
  <c r="Z399" i="1"/>
  <c r="Y399" i="1"/>
  <c r="X399" i="1"/>
  <c r="W399" i="1"/>
  <c r="V399" i="1"/>
  <c r="U399" i="1"/>
  <c r="T399" i="1"/>
  <c r="S399" i="1"/>
  <c r="R399" i="1"/>
  <c r="Q399" i="1"/>
  <c r="R113" i="1"/>
  <c r="R112" i="1" s="1"/>
  <c r="S113" i="1"/>
  <c r="S112" i="1" s="1"/>
  <c r="T113" i="1"/>
  <c r="T112" i="1" s="1"/>
  <c r="U113" i="1"/>
  <c r="U112" i="1" s="1"/>
  <c r="V113" i="1"/>
  <c r="V112" i="1" s="1"/>
  <c r="W113" i="1"/>
  <c r="W112" i="1" s="1"/>
  <c r="X113" i="1"/>
  <c r="X112" i="1" s="1"/>
  <c r="Y113" i="1"/>
  <c r="Y112" i="1" s="1"/>
  <c r="Z113" i="1"/>
  <c r="Z112" i="1" s="1"/>
  <c r="AA113" i="1"/>
  <c r="AA112" i="1" s="1"/>
  <c r="AB113" i="1"/>
  <c r="AB112" i="1" s="1"/>
  <c r="AC113" i="1"/>
  <c r="AC112" i="1" s="1"/>
  <c r="AA45" i="1"/>
  <c r="AA44" i="1" s="1"/>
  <c r="AC425" i="1"/>
  <c r="AB425" i="1"/>
  <c r="AB424" i="1" s="1"/>
  <c r="AB423" i="1" s="1"/>
  <c r="AA425" i="1"/>
  <c r="AA424" i="1" s="1"/>
  <c r="AA423" i="1" s="1"/>
  <c r="Z425" i="1"/>
  <c r="Z424" i="1" s="1"/>
  <c r="Z423" i="1" s="1"/>
  <c r="Y425" i="1"/>
  <c r="Y424" i="1" s="1"/>
  <c r="Y423" i="1" s="1"/>
  <c r="X425" i="1"/>
  <c r="X424" i="1" s="1"/>
  <c r="X423" i="1" s="1"/>
  <c r="W425" i="1"/>
  <c r="W424" i="1" s="1"/>
  <c r="W423" i="1" s="1"/>
  <c r="V425" i="1"/>
  <c r="V424" i="1" s="1"/>
  <c r="V423" i="1" s="1"/>
  <c r="U425" i="1"/>
  <c r="U424" i="1" s="1"/>
  <c r="U423" i="1" s="1"/>
  <c r="T425" i="1"/>
  <c r="T424" i="1" s="1"/>
  <c r="T423" i="1" s="1"/>
  <c r="S425" i="1"/>
  <c r="S424" i="1" s="1"/>
  <c r="S423" i="1" s="1"/>
  <c r="R425" i="1"/>
  <c r="R424" i="1" s="1"/>
  <c r="R423" i="1" s="1"/>
  <c r="AC424" i="1"/>
  <c r="AC423" i="1" s="1"/>
  <c r="Q425" i="1"/>
  <c r="Q424" i="1" s="1"/>
  <c r="Q423" i="1" s="1"/>
  <c r="R421" i="1"/>
  <c r="S421" i="1"/>
  <c r="T421" i="1"/>
  <c r="U421" i="1"/>
  <c r="V421" i="1"/>
  <c r="W421" i="1"/>
  <c r="X421" i="1"/>
  <c r="Y421" i="1"/>
  <c r="Z421" i="1"/>
  <c r="AA421" i="1"/>
  <c r="AB421" i="1"/>
  <c r="AC421" i="1"/>
  <c r="Q421" i="1"/>
  <c r="R409" i="1"/>
  <c r="S409" i="1"/>
  <c r="T409" i="1"/>
  <c r="U409" i="1"/>
  <c r="V409" i="1"/>
  <c r="W409" i="1"/>
  <c r="X409" i="1"/>
  <c r="Y409" i="1"/>
  <c r="Z409" i="1"/>
  <c r="AA409" i="1"/>
  <c r="AB409" i="1"/>
  <c r="AC409" i="1"/>
  <c r="Q409" i="1"/>
  <c r="R417" i="1"/>
  <c r="S417" i="1"/>
  <c r="T417" i="1"/>
  <c r="U417" i="1"/>
  <c r="V417" i="1"/>
  <c r="W417" i="1"/>
  <c r="X417" i="1"/>
  <c r="Y417" i="1"/>
  <c r="Z417" i="1"/>
  <c r="AA417" i="1"/>
  <c r="AB417" i="1"/>
  <c r="AC417" i="1"/>
  <c r="Q417" i="1"/>
  <c r="R331" i="1"/>
  <c r="S331" i="1"/>
  <c r="T331" i="1"/>
  <c r="V331" i="1"/>
  <c r="W331" i="1"/>
  <c r="X331" i="1"/>
  <c r="Y331" i="1"/>
  <c r="Z331" i="1"/>
  <c r="AB331" i="1"/>
  <c r="R285" i="1"/>
  <c r="S285" i="1"/>
  <c r="T285" i="1"/>
  <c r="U285" i="1"/>
  <c r="V285" i="1"/>
  <c r="W285" i="1"/>
  <c r="X285" i="1"/>
  <c r="Y285" i="1"/>
  <c r="Z285" i="1"/>
  <c r="AA285" i="1"/>
  <c r="AB285" i="1"/>
  <c r="AC285" i="1"/>
  <c r="AD294" i="1"/>
  <c r="AD293" i="1"/>
  <c r="AD292" i="1"/>
  <c r="AD291" i="1"/>
  <c r="AD290" i="1"/>
  <c r="AD289" i="1"/>
  <c r="AD288" i="1"/>
  <c r="AD287" i="1"/>
  <c r="AD286" i="1"/>
  <c r="AD280" i="1"/>
  <c r="AD279" i="1"/>
  <c r="AD283" i="1"/>
  <c r="AD282" i="1" s="1"/>
  <c r="AD281" i="1" s="1"/>
  <c r="AC278" i="1"/>
  <c r="AB278" i="1"/>
  <c r="AB277" i="1" s="1"/>
  <c r="AA278" i="1"/>
  <c r="AA277" i="1" s="1"/>
  <c r="Z278" i="1"/>
  <c r="Z277" i="1" s="1"/>
  <c r="Y278" i="1"/>
  <c r="Y277" i="1" s="1"/>
  <c r="X278" i="1"/>
  <c r="X277" i="1" s="1"/>
  <c r="W278" i="1"/>
  <c r="W277" i="1" s="1"/>
  <c r="V278" i="1"/>
  <c r="V277" i="1" s="1"/>
  <c r="U278" i="1"/>
  <c r="U277" i="1" s="1"/>
  <c r="T278" i="1"/>
  <c r="T277" i="1" s="1"/>
  <c r="S278" i="1"/>
  <c r="S277" i="1" s="1"/>
  <c r="R278" i="1"/>
  <c r="R277" i="1" s="1"/>
  <c r="AC277" i="1"/>
  <c r="Q295" i="1"/>
  <c r="Q285" i="1"/>
  <c r="Q278" i="1"/>
  <c r="Q277" i="1" s="1"/>
  <c r="AA282" i="1"/>
  <c r="AA281" i="1" s="1"/>
  <c r="R315" i="1"/>
  <c r="R314" i="1" s="1"/>
  <c r="S315" i="1"/>
  <c r="S314" i="1" s="1"/>
  <c r="T315" i="1"/>
  <c r="T314" i="1" s="1"/>
  <c r="U315" i="1"/>
  <c r="U314" i="1" s="1"/>
  <c r="V315" i="1"/>
  <c r="V314" i="1" s="1"/>
  <c r="W315" i="1"/>
  <c r="W314" i="1" s="1"/>
  <c r="X315" i="1"/>
  <c r="X314" i="1" s="1"/>
  <c r="Y315" i="1"/>
  <c r="Y314" i="1" s="1"/>
  <c r="Z315" i="1"/>
  <c r="Z314" i="1" s="1"/>
  <c r="AA315" i="1"/>
  <c r="AA314" i="1" s="1"/>
  <c r="AB315" i="1"/>
  <c r="AB314" i="1" s="1"/>
  <c r="AC315" i="1"/>
  <c r="AC314" i="1" s="1"/>
  <c r="R318" i="1"/>
  <c r="R317" i="1" s="1"/>
  <c r="S318" i="1"/>
  <c r="S317" i="1" s="1"/>
  <c r="T318" i="1"/>
  <c r="T317" i="1" s="1"/>
  <c r="U318" i="1"/>
  <c r="U317" i="1" s="1"/>
  <c r="V318" i="1"/>
  <c r="V317" i="1" s="1"/>
  <c r="W318" i="1"/>
  <c r="W317" i="1" s="1"/>
  <c r="X318" i="1"/>
  <c r="X317" i="1" s="1"/>
  <c r="Y318" i="1"/>
  <c r="Y317" i="1" s="1"/>
  <c r="Z318" i="1"/>
  <c r="Z317" i="1" s="1"/>
  <c r="AA318" i="1"/>
  <c r="AA317" i="1" s="1"/>
  <c r="AB318" i="1"/>
  <c r="AB317" i="1" s="1"/>
  <c r="AC318" i="1"/>
  <c r="AC317" i="1" s="1"/>
  <c r="R322" i="1"/>
  <c r="R321" i="1" s="1"/>
  <c r="R320" i="1" s="1"/>
  <c r="S322" i="1"/>
  <c r="S321" i="1" s="1"/>
  <c r="S320" i="1" s="1"/>
  <c r="T322" i="1"/>
  <c r="T321" i="1" s="1"/>
  <c r="T320" i="1" s="1"/>
  <c r="U322" i="1"/>
  <c r="U321" i="1" s="1"/>
  <c r="U320" i="1" s="1"/>
  <c r="V322" i="1"/>
  <c r="V321" i="1" s="1"/>
  <c r="V320" i="1" s="1"/>
  <c r="W322" i="1"/>
  <c r="W321" i="1" s="1"/>
  <c r="W320" i="1" s="1"/>
  <c r="X322" i="1"/>
  <c r="X321" i="1" s="1"/>
  <c r="X320" i="1" s="1"/>
  <c r="Y322" i="1"/>
  <c r="Y321" i="1" s="1"/>
  <c r="Y320" i="1" s="1"/>
  <c r="Z322" i="1"/>
  <c r="Z321" i="1" s="1"/>
  <c r="Z320" i="1" s="1"/>
  <c r="AA321" i="1"/>
  <c r="AA320" i="1" s="1"/>
  <c r="AB321" i="1"/>
  <c r="AB320" i="1" s="1"/>
  <c r="AC321" i="1"/>
  <c r="AC320" i="1" s="1"/>
  <c r="R282" i="1"/>
  <c r="R281" i="1" s="1"/>
  <c r="S282" i="1"/>
  <c r="S281" i="1" s="1"/>
  <c r="T282" i="1"/>
  <c r="T281" i="1" s="1"/>
  <c r="U282" i="1"/>
  <c r="U281" i="1" s="1"/>
  <c r="V282" i="1"/>
  <c r="V281" i="1" s="1"/>
  <c r="W282" i="1"/>
  <c r="W281" i="1" s="1"/>
  <c r="X282" i="1"/>
  <c r="X281" i="1" s="1"/>
  <c r="Y282" i="1"/>
  <c r="Y281" i="1" s="1"/>
  <c r="Z282" i="1"/>
  <c r="Z281" i="1" s="1"/>
  <c r="AB282" i="1"/>
  <c r="AB281" i="1" s="1"/>
  <c r="AC282" i="1"/>
  <c r="AC281" i="1" s="1"/>
  <c r="Q282" i="1"/>
  <c r="Q281" i="1" s="1"/>
  <c r="R233" i="1"/>
  <c r="S233" i="1"/>
  <c r="T233" i="1"/>
  <c r="U233" i="1"/>
  <c r="V233" i="1"/>
  <c r="X233" i="1"/>
  <c r="Y233" i="1"/>
  <c r="Z233" i="1"/>
  <c r="AB233" i="1"/>
  <c r="AC233" i="1"/>
  <c r="R268" i="1"/>
  <c r="S268" i="1"/>
  <c r="T268" i="1"/>
  <c r="U268" i="1"/>
  <c r="V268" i="1"/>
  <c r="W268" i="1"/>
  <c r="X268" i="1"/>
  <c r="Y268" i="1"/>
  <c r="Z268" i="1"/>
  <c r="AB268" i="1"/>
  <c r="AC268" i="1"/>
  <c r="R272" i="1"/>
  <c r="R271" i="1" s="1"/>
  <c r="R270" i="1" s="1"/>
  <c r="S272" i="1"/>
  <c r="S271" i="1" s="1"/>
  <c r="S270" i="1" s="1"/>
  <c r="T272" i="1"/>
  <c r="T271" i="1" s="1"/>
  <c r="T270" i="1" s="1"/>
  <c r="U272" i="1"/>
  <c r="U271" i="1" s="1"/>
  <c r="U270" i="1" s="1"/>
  <c r="V272" i="1"/>
  <c r="V271" i="1" s="1"/>
  <c r="V270" i="1" s="1"/>
  <c r="W272" i="1"/>
  <c r="W271" i="1" s="1"/>
  <c r="W270" i="1" s="1"/>
  <c r="X272" i="1"/>
  <c r="X271" i="1" s="1"/>
  <c r="X270" i="1" s="1"/>
  <c r="Y272" i="1"/>
  <c r="Y271" i="1" s="1"/>
  <c r="Y270" i="1" s="1"/>
  <c r="Z272" i="1"/>
  <c r="Z271" i="1" s="1"/>
  <c r="Z270" i="1" s="1"/>
  <c r="AA272" i="1"/>
  <c r="AA271" i="1" s="1"/>
  <c r="AA270" i="1" s="1"/>
  <c r="AB272" i="1"/>
  <c r="AB271" i="1" s="1"/>
  <c r="AB270" i="1" s="1"/>
  <c r="AC272" i="1"/>
  <c r="AC271" i="1" s="1"/>
  <c r="AC270" i="1" s="1"/>
  <c r="Q272" i="1"/>
  <c r="Q271" i="1" s="1"/>
  <c r="Q270" i="1" s="1"/>
  <c r="Q268" i="1"/>
  <c r="Q233" i="1"/>
  <c r="R227" i="1"/>
  <c r="S227" i="1"/>
  <c r="T227" i="1"/>
  <c r="U227" i="1"/>
  <c r="V227" i="1"/>
  <c r="W227" i="1"/>
  <c r="X227" i="1"/>
  <c r="Y227" i="1"/>
  <c r="Z227" i="1"/>
  <c r="AA227" i="1"/>
  <c r="AB227" i="1"/>
  <c r="AC227" i="1"/>
  <c r="R224" i="1"/>
  <c r="S224" i="1"/>
  <c r="S223" i="1" s="1"/>
  <c r="S222" i="1" s="1"/>
  <c r="S221" i="1" s="1"/>
  <c r="T224" i="1"/>
  <c r="U224" i="1"/>
  <c r="V224" i="1"/>
  <c r="V223" i="1" s="1"/>
  <c r="V222" i="1" s="1"/>
  <c r="V221" i="1" s="1"/>
  <c r="W224" i="1"/>
  <c r="W223" i="1" s="1"/>
  <c r="W222" i="1" s="1"/>
  <c r="W221" i="1" s="1"/>
  <c r="X224" i="1"/>
  <c r="Y224" i="1"/>
  <c r="Y223" i="1" s="1"/>
  <c r="Y222" i="1" s="1"/>
  <c r="Y221" i="1" s="1"/>
  <c r="Z224" i="1"/>
  <c r="AA224" i="1"/>
  <c r="AA223" i="1" s="1"/>
  <c r="AA222" i="1" s="1"/>
  <c r="AA221" i="1" s="1"/>
  <c r="AB224" i="1"/>
  <c r="AC224" i="1"/>
  <c r="AC223" i="1" s="1"/>
  <c r="AC222" i="1" s="1"/>
  <c r="AC221" i="1" s="1"/>
  <c r="Q227" i="1"/>
  <c r="Q224" i="1"/>
  <c r="R200" i="1"/>
  <c r="S200" i="1"/>
  <c r="T200" i="1"/>
  <c r="U200" i="1"/>
  <c r="V200" i="1"/>
  <c r="W200" i="1"/>
  <c r="X200" i="1"/>
  <c r="Y200" i="1"/>
  <c r="Z200" i="1"/>
  <c r="AA200" i="1"/>
  <c r="AB200" i="1"/>
  <c r="AC200" i="1"/>
  <c r="Q200" i="1"/>
  <c r="R195" i="1"/>
  <c r="R194" i="1" s="1"/>
  <c r="S195" i="1"/>
  <c r="S194" i="1" s="1"/>
  <c r="T195" i="1"/>
  <c r="T194" i="1" s="1"/>
  <c r="U195" i="1"/>
  <c r="U194" i="1" s="1"/>
  <c r="V195" i="1"/>
  <c r="V194" i="1" s="1"/>
  <c r="W195" i="1"/>
  <c r="W194" i="1" s="1"/>
  <c r="X195" i="1"/>
  <c r="X194" i="1" s="1"/>
  <c r="Y195" i="1"/>
  <c r="Y194" i="1" s="1"/>
  <c r="Z195" i="1"/>
  <c r="Z194" i="1" s="1"/>
  <c r="AA195" i="1"/>
  <c r="AA194" i="1" s="1"/>
  <c r="AB195" i="1"/>
  <c r="AB194" i="1" s="1"/>
  <c r="AC195" i="1"/>
  <c r="AC194" i="1" s="1"/>
  <c r="Q195" i="1"/>
  <c r="Q194" i="1" s="1"/>
  <c r="Q190" i="1"/>
  <c r="R166" i="1"/>
  <c r="S166" i="1"/>
  <c r="T166" i="1"/>
  <c r="U166" i="1"/>
  <c r="V166" i="1"/>
  <c r="W166" i="1"/>
  <c r="X166" i="1"/>
  <c r="Y166" i="1"/>
  <c r="Z166" i="1"/>
  <c r="AA166" i="1"/>
  <c r="AB166" i="1"/>
  <c r="AC166" i="1"/>
  <c r="Q166" i="1"/>
  <c r="R216" i="1"/>
  <c r="S216" i="1"/>
  <c r="T216" i="1"/>
  <c r="U216" i="1"/>
  <c r="V216" i="1"/>
  <c r="W216" i="1"/>
  <c r="X216" i="1"/>
  <c r="Y216" i="1"/>
  <c r="Z216" i="1"/>
  <c r="AA216" i="1"/>
  <c r="AB216" i="1"/>
  <c r="AC216" i="1"/>
  <c r="Q216" i="1"/>
  <c r="Q212" i="1"/>
  <c r="R203" i="1"/>
  <c r="S203" i="1"/>
  <c r="T203" i="1"/>
  <c r="U203" i="1"/>
  <c r="V203" i="1"/>
  <c r="W203" i="1"/>
  <c r="X203" i="1"/>
  <c r="Y203" i="1"/>
  <c r="Z203" i="1"/>
  <c r="AB203" i="1"/>
  <c r="AC203" i="1"/>
  <c r="Q203" i="1"/>
  <c r="Q183" i="1"/>
  <c r="Q180" i="1"/>
  <c r="Q178" i="1"/>
  <c r="Q185" i="1"/>
  <c r="Q187" i="1"/>
  <c r="AE166" i="1"/>
  <c r="AE163" i="1" s="1"/>
  <c r="AF166" i="1"/>
  <c r="AF164" i="1" s="1"/>
  <c r="AF163" i="1" s="1"/>
  <c r="R147" i="1"/>
  <c r="R146" i="1" s="1"/>
  <c r="S147" i="1"/>
  <c r="T147" i="1"/>
  <c r="T146" i="1" s="1"/>
  <c r="U147" i="1"/>
  <c r="U146" i="1" s="1"/>
  <c r="V147" i="1"/>
  <c r="V146" i="1" s="1"/>
  <c r="W147" i="1"/>
  <c r="W146" i="1" s="1"/>
  <c r="X147" i="1"/>
  <c r="X146" i="1" s="1"/>
  <c r="Y147" i="1"/>
  <c r="Z147" i="1"/>
  <c r="Z146" i="1" s="1"/>
  <c r="AA147" i="1"/>
  <c r="AA146" i="1" s="1"/>
  <c r="AC147" i="1"/>
  <c r="AC146" i="1" s="1"/>
  <c r="Q147" i="1"/>
  <c r="Q146" i="1" s="1"/>
  <c r="R157" i="1"/>
  <c r="R156" i="1" s="1"/>
  <c r="S157" i="1"/>
  <c r="S156" i="1" s="1"/>
  <c r="T157" i="1"/>
  <c r="T156" i="1" s="1"/>
  <c r="U157" i="1"/>
  <c r="U156" i="1" s="1"/>
  <c r="V157" i="1"/>
  <c r="V156" i="1" s="1"/>
  <c r="W157" i="1"/>
  <c r="W156" i="1" s="1"/>
  <c r="X157" i="1"/>
  <c r="X156" i="1" s="1"/>
  <c r="Y157" i="1"/>
  <c r="Y156" i="1" s="1"/>
  <c r="Z157" i="1"/>
  <c r="Z156" i="1" s="1"/>
  <c r="AA157" i="1"/>
  <c r="AA156" i="1" s="1"/>
  <c r="AB157" i="1"/>
  <c r="AB156" i="1" s="1"/>
  <c r="AC157" i="1"/>
  <c r="AC156" i="1" s="1"/>
  <c r="Q157" i="1"/>
  <c r="Q156" i="1" s="1"/>
  <c r="S146" i="1"/>
  <c r="Y146" i="1"/>
  <c r="R132" i="1"/>
  <c r="S132" i="1"/>
  <c r="T132" i="1"/>
  <c r="U132" i="1"/>
  <c r="V132" i="1"/>
  <c r="W132" i="1"/>
  <c r="X132" i="1"/>
  <c r="Y132" i="1"/>
  <c r="Z132" i="1"/>
  <c r="AA132" i="1"/>
  <c r="AB132" i="1"/>
  <c r="AC132" i="1"/>
  <c r="R99" i="1"/>
  <c r="S99" i="1"/>
  <c r="T99" i="1"/>
  <c r="U99" i="1"/>
  <c r="V99" i="1"/>
  <c r="W99" i="1"/>
  <c r="X99" i="1"/>
  <c r="Y99" i="1"/>
  <c r="Z99" i="1"/>
  <c r="AA99" i="1"/>
  <c r="AB99" i="1"/>
  <c r="AC99" i="1"/>
  <c r="AE99" i="1"/>
  <c r="AE98" i="1" s="1"/>
  <c r="AF99" i="1"/>
  <c r="AF98" i="1" s="1"/>
  <c r="R122" i="1"/>
  <c r="R121" i="1" s="1"/>
  <c r="R120" i="1" s="1"/>
  <c r="S122" i="1"/>
  <c r="S121" i="1" s="1"/>
  <c r="S120" i="1" s="1"/>
  <c r="T122" i="1"/>
  <c r="T121" i="1" s="1"/>
  <c r="T120" i="1" s="1"/>
  <c r="U122" i="1"/>
  <c r="U121" i="1" s="1"/>
  <c r="U120" i="1" s="1"/>
  <c r="V122" i="1"/>
  <c r="V121" i="1" s="1"/>
  <c r="V120" i="1" s="1"/>
  <c r="W122" i="1"/>
  <c r="W121" i="1" s="1"/>
  <c r="W120" i="1" s="1"/>
  <c r="X122" i="1"/>
  <c r="X121" i="1" s="1"/>
  <c r="X120" i="1" s="1"/>
  <c r="Y122" i="1"/>
  <c r="Y121" i="1" s="1"/>
  <c r="Y120" i="1" s="1"/>
  <c r="Z122" i="1"/>
  <c r="Z121" i="1" s="1"/>
  <c r="Z120" i="1" s="1"/>
  <c r="AA121" i="1"/>
  <c r="AA120" i="1" s="1"/>
  <c r="AB121" i="1"/>
  <c r="AB120" i="1" s="1"/>
  <c r="AC121" i="1"/>
  <c r="AC120" i="1" s="1"/>
  <c r="Q122" i="1"/>
  <c r="Q121" i="1" s="1"/>
  <c r="Q120" i="1" s="1"/>
  <c r="Q116" i="1"/>
  <c r="Q115" i="1" s="1"/>
  <c r="S116" i="1"/>
  <c r="S115" i="1" s="1"/>
  <c r="T116" i="1"/>
  <c r="T115" i="1" s="1"/>
  <c r="U116" i="1"/>
  <c r="U115" i="1" s="1"/>
  <c r="V116" i="1"/>
  <c r="V115" i="1" s="1"/>
  <c r="W116" i="1"/>
  <c r="W115" i="1" s="1"/>
  <c r="X116" i="1"/>
  <c r="X115" i="1" s="1"/>
  <c r="Y116" i="1"/>
  <c r="Y115" i="1" s="1"/>
  <c r="Z116" i="1"/>
  <c r="Z115" i="1" s="1"/>
  <c r="AA116" i="1"/>
  <c r="AA115" i="1" s="1"/>
  <c r="AB116" i="1"/>
  <c r="AB115" i="1" s="1"/>
  <c r="AC116" i="1"/>
  <c r="AC115" i="1" s="1"/>
  <c r="R116" i="1"/>
  <c r="R115" i="1" s="1"/>
  <c r="S89" i="1"/>
  <c r="T89" i="1"/>
  <c r="U89" i="1"/>
  <c r="V89" i="1"/>
  <c r="W89" i="1"/>
  <c r="X89" i="1"/>
  <c r="Y89" i="1"/>
  <c r="Z89" i="1"/>
  <c r="AA89" i="1"/>
  <c r="AB89" i="1"/>
  <c r="AC89" i="1"/>
  <c r="S108" i="1"/>
  <c r="S107" i="1" s="1"/>
  <c r="T108" i="1"/>
  <c r="T107" i="1" s="1"/>
  <c r="U108" i="1"/>
  <c r="U107" i="1" s="1"/>
  <c r="V108" i="1"/>
  <c r="V107" i="1" s="1"/>
  <c r="W108" i="1"/>
  <c r="W107" i="1" s="1"/>
  <c r="X108" i="1"/>
  <c r="X107" i="1" s="1"/>
  <c r="Y108" i="1"/>
  <c r="Y107" i="1" s="1"/>
  <c r="Z108" i="1"/>
  <c r="Z107" i="1" s="1"/>
  <c r="AA108" i="1"/>
  <c r="AA107" i="1" s="1"/>
  <c r="AB108" i="1"/>
  <c r="AB107" i="1" s="1"/>
  <c r="AC108" i="1"/>
  <c r="AC107" i="1" s="1"/>
  <c r="Q108" i="1"/>
  <c r="Q107" i="1" s="1"/>
  <c r="R105" i="1"/>
  <c r="S105" i="1"/>
  <c r="T105" i="1"/>
  <c r="U105" i="1"/>
  <c r="V105" i="1"/>
  <c r="W105" i="1"/>
  <c r="X105" i="1"/>
  <c r="Y105" i="1"/>
  <c r="Z105" i="1"/>
  <c r="AA105" i="1"/>
  <c r="AB105" i="1"/>
  <c r="AC105" i="1"/>
  <c r="Q105" i="1"/>
  <c r="Q99" i="1"/>
  <c r="R96" i="1"/>
  <c r="R95" i="1" s="1"/>
  <c r="S96" i="1"/>
  <c r="S95" i="1" s="1"/>
  <c r="T96" i="1"/>
  <c r="T95" i="1" s="1"/>
  <c r="U96" i="1"/>
  <c r="U95" i="1" s="1"/>
  <c r="V96" i="1"/>
  <c r="V95" i="1" s="1"/>
  <c r="W96" i="1"/>
  <c r="W95" i="1" s="1"/>
  <c r="X96" i="1"/>
  <c r="X95" i="1" s="1"/>
  <c r="Y96" i="1"/>
  <c r="Y95" i="1" s="1"/>
  <c r="Z96" i="1"/>
  <c r="Z95" i="1" s="1"/>
  <c r="AA96" i="1"/>
  <c r="AA95" i="1" s="1"/>
  <c r="AB96" i="1"/>
  <c r="AB95" i="1" s="1"/>
  <c r="AC96" i="1"/>
  <c r="AC95" i="1" s="1"/>
  <c r="Q96" i="1"/>
  <c r="Q95" i="1" s="1"/>
  <c r="R93" i="1"/>
  <c r="S93" i="1"/>
  <c r="T93" i="1"/>
  <c r="U93" i="1"/>
  <c r="V93" i="1"/>
  <c r="W93" i="1"/>
  <c r="X93" i="1"/>
  <c r="Y93" i="1"/>
  <c r="Z93" i="1"/>
  <c r="AA93" i="1"/>
  <c r="AB93" i="1"/>
  <c r="AC93" i="1"/>
  <c r="Q93" i="1"/>
  <c r="R91" i="1"/>
  <c r="S91" i="1"/>
  <c r="T91" i="1"/>
  <c r="U91" i="1"/>
  <c r="V91" i="1"/>
  <c r="W91" i="1"/>
  <c r="X91" i="1"/>
  <c r="Y91" i="1"/>
  <c r="Z91" i="1"/>
  <c r="AA91" i="1"/>
  <c r="AB91" i="1"/>
  <c r="AC91" i="1"/>
  <c r="Q91" i="1"/>
  <c r="R89" i="1"/>
  <c r="Q89" i="1"/>
  <c r="R81" i="1"/>
  <c r="S81" i="1"/>
  <c r="T81" i="1"/>
  <c r="U81" i="1"/>
  <c r="V81" i="1"/>
  <c r="W81" i="1"/>
  <c r="X81" i="1"/>
  <c r="Y81" i="1"/>
  <c r="Z81" i="1"/>
  <c r="AA81" i="1"/>
  <c r="AB81" i="1"/>
  <c r="AC81" i="1"/>
  <c r="R61" i="1"/>
  <c r="R60" i="1" s="1"/>
  <c r="S61" i="1"/>
  <c r="S60" i="1" s="1"/>
  <c r="T61" i="1"/>
  <c r="T60" i="1" s="1"/>
  <c r="U61" i="1"/>
  <c r="U60" i="1" s="1"/>
  <c r="V61" i="1"/>
  <c r="V60" i="1" s="1"/>
  <c r="W61" i="1"/>
  <c r="W60" i="1" s="1"/>
  <c r="X61" i="1"/>
  <c r="X60" i="1" s="1"/>
  <c r="Y61" i="1"/>
  <c r="Y60" i="1" s="1"/>
  <c r="Z61" i="1"/>
  <c r="Z60" i="1" s="1"/>
  <c r="AA61" i="1"/>
  <c r="AA60" i="1" s="1"/>
  <c r="AB61" i="1"/>
  <c r="AB60" i="1" s="1"/>
  <c r="AC61" i="1"/>
  <c r="AC60" i="1" s="1"/>
  <c r="R66" i="1"/>
  <c r="R65" i="1" s="1"/>
  <c r="S66" i="1"/>
  <c r="S65" i="1" s="1"/>
  <c r="T66" i="1"/>
  <c r="T65" i="1" s="1"/>
  <c r="U66" i="1"/>
  <c r="U65" i="1" s="1"/>
  <c r="V66" i="1"/>
  <c r="V65" i="1" s="1"/>
  <c r="W66" i="1"/>
  <c r="W65" i="1" s="1"/>
  <c r="X66" i="1"/>
  <c r="X65" i="1" s="1"/>
  <c r="Y66" i="1"/>
  <c r="Y65" i="1" s="1"/>
  <c r="Z66" i="1"/>
  <c r="Z65" i="1" s="1"/>
  <c r="AA66" i="1"/>
  <c r="AA65" i="1" s="1"/>
  <c r="AB66" i="1"/>
  <c r="AB65" i="1" s="1"/>
  <c r="AC66" i="1"/>
  <c r="AC65" i="1" s="1"/>
  <c r="R70" i="1"/>
  <c r="S70" i="1"/>
  <c r="T70" i="1"/>
  <c r="U70" i="1"/>
  <c r="V70" i="1"/>
  <c r="W70" i="1"/>
  <c r="X70" i="1"/>
  <c r="Y70" i="1"/>
  <c r="Z70" i="1"/>
  <c r="AA70" i="1"/>
  <c r="AB70" i="1"/>
  <c r="AC70" i="1"/>
  <c r="R72" i="1"/>
  <c r="S72" i="1"/>
  <c r="T72" i="1"/>
  <c r="U72" i="1"/>
  <c r="V72" i="1"/>
  <c r="W72" i="1"/>
  <c r="X72" i="1"/>
  <c r="Y72" i="1"/>
  <c r="Z72" i="1"/>
  <c r="AA72" i="1"/>
  <c r="AB72" i="1"/>
  <c r="AC72" i="1"/>
  <c r="Q66" i="1"/>
  <c r="Q65" i="1" s="1"/>
  <c r="Q61" i="1"/>
  <c r="Q60" i="1" s="1"/>
  <c r="Q72" i="1"/>
  <c r="R45" i="1"/>
  <c r="R44" i="1" s="1"/>
  <c r="S45" i="1"/>
  <c r="S44" i="1" s="1"/>
  <c r="T45" i="1"/>
  <c r="T44" i="1" s="1"/>
  <c r="U45" i="1"/>
  <c r="U44" i="1" s="1"/>
  <c r="V45" i="1"/>
  <c r="V44" i="1" s="1"/>
  <c r="W45" i="1"/>
  <c r="W44" i="1" s="1"/>
  <c r="X45" i="1"/>
  <c r="X44" i="1" s="1"/>
  <c r="Y45" i="1"/>
  <c r="Y44" i="1" s="1"/>
  <c r="Z45" i="1"/>
  <c r="Z44" i="1" s="1"/>
  <c r="AB45" i="1"/>
  <c r="AB44" i="1" s="1"/>
  <c r="AC45" i="1"/>
  <c r="AC44" i="1" s="1"/>
  <c r="R38" i="1"/>
  <c r="R37" i="1" s="1"/>
  <c r="R36" i="1" s="1"/>
  <c r="R35" i="1" s="1"/>
  <c r="S38" i="1"/>
  <c r="S37" i="1" s="1"/>
  <c r="S36" i="1" s="1"/>
  <c r="S35" i="1" s="1"/>
  <c r="T38" i="1"/>
  <c r="T37" i="1" s="1"/>
  <c r="T36" i="1" s="1"/>
  <c r="T35" i="1" s="1"/>
  <c r="U38" i="1"/>
  <c r="U37" i="1" s="1"/>
  <c r="U36" i="1" s="1"/>
  <c r="U35" i="1" s="1"/>
  <c r="V38" i="1"/>
  <c r="V37" i="1" s="1"/>
  <c r="V36" i="1" s="1"/>
  <c r="V35" i="1" s="1"/>
  <c r="W38" i="1"/>
  <c r="W37" i="1" s="1"/>
  <c r="W36" i="1" s="1"/>
  <c r="W35" i="1" s="1"/>
  <c r="X38" i="1"/>
  <c r="X37" i="1" s="1"/>
  <c r="X36" i="1" s="1"/>
  <c r="X35" i="1" s="1"/>
  <c r="Y38" i="1"/>
  <c r="Y37" i="1" s="1"/>
  <c r="Y36" i="1" s="1"/>
  <c r="Y35" i="1" s="1"/>
  <c r="Z38" i="1"/>
  <c r="Z37" i="1" s="1"/>
  <c r="Z36" i="1" s="1"/>
  <c r="Z35" i="1" s="1"/>
  <c r="AB38" i="1"/>
  <c r="AB37" i="1" s="1"/>
  <c r="AB36" i="1" s="1"/>
  <c r="AB35" i="1" s="1"/>
  <c r="AC38" i="1"/>
  <c r="AC37" i="1" s="1"/>
  <c r="AC36" i="1" s="1"/>
  <c r="AC35" i="1" s="1"/>
  <c r="Q38" i="1"/>
  <c r="Q37" i="1" s="1"/>
  <c r="Q36" i="1" s="1"/>
  <c r="Q35" i="1" s="1"/>
  <c r="R23" i="1"/>
  <c r="S23" i="1"/>
  <c r="T23" i="1"/>
  <c r="U23" i="1"/>
  <c r="V23" i="1"/>
  <c r="W23" i="1"/>
  <c r="X23" i="1"/>
  <c r="Y23" i="1"/>
  <c r="Z23" i="1"/>
  <c r="AB23" i="1"/>
  <c r="AC23" i="1"/>
  <c r="AE23" i="1"/>
  <c r="AF23" i="1"/>
  <c r="Q23" i="1"/>
  <c r="R20" i="1"/>
  <c r="S20" i="1"/>
  <c r="T20" i="1"/>
  <c r="U20" i="1"/>
  <c r="V20" i="1"/>
  <c r="W20" i="1"/>
  <c r="X20" i="1"/>
  <c r="Y20" i="1"/>
  <c r="Z20" i="1"/>
  <c r="AA20" i="1"/>
  <c r="AB20" i="1"/>
  <c r="AC20" i="1"/>
  <c r="AE20" i="1"/>
  <c r="AF20" i="1"/>
  <c r="Q20" i="1"/>
  <c r="R10" i="1"/>
  <c r="S10" i="1"/>
  <c r="T10" i="1"/>
  <c r="U10" i="1"/>
  <c r="V10" i="1"/>
  <c r="W10" i="1"/>
  <c r="X10" i="1"/>
  <c r="Y10" i="1"/>
  <c r="Z10" i="1"/>
  <c r="AA10" i="1"/>
  <c r="AB10" i="1"/>
  <c r="AC10" i="1"/>
  <c r="AE10" i="1"/>
  <c r="AE9" i="1" s="1"/>
  <c r="AE8" i="1" s="1"/>
  <c r="AE7" i="1" s="1"/>
  <c r="AF10" i="1"/>
  <c r="Q10" i="1"/>
  <c r="AC19" i="1" l="1"/>
  <c r="AC18" i="1" s="1"/>
  <c r="AC17" i="1" s="1"/>
  <c r="AA398" i="1"/>
  <c r="AA397" i="1" s="1"/>
  <c r="S398" i="1"/>
  <c r="S397" i="1" s="1"/>
  <c r="Q416" i="1"/>
  <c r="Q415" i="1" s="1"/>
  <c r="V416" i="1"/>
  <c r="V415" i="1" s="1"/>
  <c r="R416" i="1"/>
  <c r="R415" i="1" s="1"/>
  <c r="Q98" i="1"/>
  <c r="AC416" i="1"/>
  <c r="AC415" i="1" s="1"/>
  <c r="Y416" i="1"/>
  <c r="Y415" i="1" s="1"/>
  <c r="Y98" i="1"/>
  <c r="AD285" i="1"/>
  <c r="U98" i="1"/>
  <c r="AB19" i="1"/>
  <c r="AB18" i="1" s="1"/>
  <c r="AB17" i="1" s="1"/>
  <c r="AB98" i="1"/>
  <c r="AA313" i="1"/>
  <c r="W313" i="1"/>
  <c r="S313" i="1"/>
  <c r="U232" i="1"/>
  <c r="U231" i="1" s="1"/>
  <c r="U230" i="1" s="1"/>
  <c r="AA416" i="1"/>
  <c r="AA415" i="1" s="1"/>
  <c r="W416" i="1"/>
  <c r="W415" i="1" s="1"/>
  <c r="AC398" i="1"/>
  <c r="AC397" i="1" s="1"/>
  <c r="AC439" i="1"/>
  <c r="AC438" i="1" s="1"/>
  <c r="AC437" i="1" s="1"/>
  <c r="AC98" i="1"/>
  <c r="Q165" i="1"/>
  <c r="Z439" i="1"/>
  <c r="Z438" i="1" s="1"/>
  <c r="Z437" i="1" s="1"/>
  <c r="R439" i="1"/>
  <c r="R438" i="1" s="1"/>
  <c r="R437" i="1" s="1"/>
  <c r="Z19" i="1"/>
  <c r="Z18" i="1" s="1"/>
  <c r="Z17" i="1" s="1"/>
  <c r="AA98" i="1"/>
  <c r="W98" i="1"/>
  <c r="S98" i="1"/>
  <c r="Q223" i="1"/>
  <c r="Q222" i="1" s="1"/>
  <c r="Z223" i="1"/>
  <c r="Z222" i="1" s="1"/>
  <c r="Z221" i="1" s="1"/>
  <c r="Y232" i="1"/>
  <c r="Y231" i="1" s="1"/>
  <c r="Y230" i="1" s="1"/>
  <c r="AC232" i="1"/>
  <c r="AC231" i="1" s="1"/>
  <c r="AC230" i="1" s="1"/>
  <c r="Y111" i="1"/>
  <c r="Q398" i="1"/>
  <c r="Q397" i="1" s="1"/>
  <c r="U398" i="1"/>
  <c r="U397" i="1" s="1"/>
  <c r="Y398" i="1"/>
  <c r="Y397" i="1" s="1"/>
  <c r="Y439" i="1"/>
  <c r="Y438" i="1" s="1"/>
  <c r="Y437" i="1" s="1"/>
  <c r="U439" i="1"/>
  <c r="U438" i="1" s="1"/>
  <c r="U437" i="1" s="1"/>
  <c r="Q450" i="1"/>
  <c r="Y19" i="1"/>
  <c r="Y18" i="1" s="1"/>
  <c r="Y17" i="1" s="1"/>
  <c r="U19" i="1"/>
  <c r="U18" i="1" s="1"/>
  <c r="U17" i="1" s="1"/>
  <c r="Z98" i="1"/>
  <c r="V98" i="1"/>
  <c r="R98" i="1"/>
  <c r="Q232" i="1"/>
  <c r="Q231" i="1" s="1"/>
  <c r="AB232" i="1"/>
  <c r="AB231" i="1" s="1"/>
  <c r="AB230" i="1" s="1"/>
  <c r="AD278" i="1"/>
  <c r="AD277" i="1" s="1"/>
  <c r="V439" i="1"/>
  <c r="V438" i="1" s="1"/>
  <c r="V437" i="1" s="1"/>
  <c r="Y88" i="1"/>
  <c r="AA111" i="1"/>
  <c r="W111" i="1"/>
  <c r="S111" i="1"/>
  <c r="W398" i="1"/>
  <c r="W397" i="1" s="1"/>
  <c r="X69" i="1"/>
  <c r="X59" i="1" s="1"/>
  <c r="X98" i="1"/>
  <c r="T98" i="1"/>
  <c r="U111" i="1"/>
  <c r="AC111" i="1"/>
  <c r="R69" i="1"/>
  <c r="R59" i="1" s="1"/>
  <c r="AC88" i="1"/>
  <c r="Q145" i="1"/>
  <c r="Q144" i="1" s="1"/>
  <c r="R223" i="1"/>
  <c r="R222" i="1" s="1"/>
  <c r="R221" i="1" s="1"/>
  <c r="S232" i="1"/>
  <c r="S231" i="1" s="1"/>
  <c r="S230" i="1" s="1"/>
  <c r="Z313" i="1"/>
  <c r="V19" i="1"/>
  <c r="V18" i="1" s="1"/>
  <c r="V17" i="1" s="1"/>
  <c r="AB88" i="1"/>
  <c r="AB87" i="1" s="1"/>
  <c r="R232" i="1"/>
  <c r="R231" i="1" s="1"/>
  <c r="R230" i="1" s="1"/>
  <c r="Y313" i="1"/>
  <c r="V111" i="1"/>
  <c r="T398" i="1"/>
  <c r="T397" i="1" s="1"/>
  <c r="AB69" i="1"/>
  <c r="AA88" i="1"/>
  <c r="X313" i="1"/>
  <c r="Q88" i="1"/>
  <c r="Z88" i="1"/>
  <c r="Z416" i="1"/>
  <c r="Z415" i="1" s="1"/>
  <c r="T111" i="1"/>
  <c r="V398" i="1"/>
  <c r="V397" i="1" s="1"/>
  <c r="V396" i="1" s="1"/>
  <c r="X88" i="1"/>
  <c r="Z232" i="1"/>
  <c r="Z231" i="1" s="1"/>
  <c r="Z230" i="1" s="1"/>
  <c r="U313" i="1"/>
  <c r="R111" i="1"/>
  <c r="X398" i="1"/>
  <c r="X397" i="1" s="1"/>
  <c r="Q439" i="1"/>
  <c r="Q438" i="1" s="1"/>
  <c r="R88" i="1"/>
  <c r="W88" i="1"/>
  <c r="W87" i="1" s="1"/>
  <c r="U223" i="1"/>
  <c r="U222" i="1" s="1"/>
  <c r="U221" i="1" s="1"/>
  <c r="T313" i="1"/>
  <c r="S416" i="1"/>
  <c r="S415" i="1" s="1"/>
  <c r="S396" i="1" s="1"/>
  <c r="X232" i="1"/>
  <c r="X231" i="1" s="1"/>
  <c r="X230" i="1" s="1"/>
  <c r="AB111" i="1"/>
  <c r="Z398" i="1"/>
  <c r="Z397" i="1" s="1"/>
  <c r="V313" i="1"/>
  <c r="V69" i="1"/>
  <c r="U88" i="1"/>
  <c r="R313" i="1"/>
  <c r="U416" i="1"/>
  <c r="U415" i="1" s="1"/>
  <c r="U396" i="1" s="1"/>
  <c r="T88" i="1"/>
  <c r="V232" i="1"/>
  <c r="V231" i="1" s="1"/>
  <c r="V230" i="1" s="1"/>
  <c r="AC313" i="1"/>
  <c r="Z111" i="1"/>
  <c r="AB398" i="1"/>
  <c r="AB397" i="1" s="1"/>
  <c r="T69" i="1"/>
  <c r="T59" i="1" s="1"/>
  <c r="S88" i="1"/>
  <c r="S87" i="1" s="1"/>
  <c r="AB313" i="1"/>
  <c r="Z69" i="1"/>
  <c r="Z59" i="1" s="1"/>
  <c r="V88" i="1"/>
  <c r="T232" i="1"/>
  <c r="T231" i="1" s="1"/>
  <c r="T230" i="1" s="1"/>
  <c r="X111" i="1"/>
  <c r="R398" i="1"/>
  <c r="R397" i="1" s="1"/>
  <c r="R396" i="1" s="1"/>
  <c r="AF9" i="1"/>
  <c r="AF8" i="1" s="1"/>
  <c r="AF7" i="1" s="1"/>
  <c r="S457" i="1"/>
  <c r="AB457" i="1"/>
  <c r="X457" i="1"/>
  <c r="T457" i="1"/>
  <c r="W457" i="1"/>
  <c r="Z457" i="1"/>
  <c r="V457" i="1"/>
  <c r="R457" i="1"/>
  <c r="AC457" i="1"/>
  <c r="Y457" i="1"/>
  <c r="U457" i="1"/>
  <c r="AA457" i="1"/>
  <c r="W450" i="1"/>
  <c r="Z450" i="1"/>
  <c r="AB450" i="1"/>
  <c r="T450" i="1"/>
  <c r="T449" i="1" s="1"/>
  <c r="AA450" i="1"/>
  <c r="R450" i="1"/>
  <c r="X450" i="1"/>
  <c r="S450" i="1"/>
  <c r="AC450" i="1"/>
  <c r="AC449" i="1" s="1"/>
  <c r="Y450" i="1"/>
  <c r="Y449" i="1" s="1"/>
  <c r="U450" i="1"/>
  <c r="U449" i="1" s="1"/>
  <c r="V450" i="1"/>
  <c r="W439" i="1"/>
  <c r="W438" i="1" s="1"/>
  <c r="W437" i="1" s="1"/>
  <c r="S439" i="1"/>
  <c r="S438" i="1" s="1"/>
  <c r="S437" i="1" s="1"/>
  <c r="X439" i="1"/>
  <c r="X438" i="1" s="1"/>
  <c r="X437" i="1" s="1"/>
  <c r="T439" i="1"/>
  <c r="T438" i="1" s="1"/>
  <c r="T437" i="1" s="1"/>
  <c r="AB416" i="1"/>
  <c r="AB415" i="1" s="1"/>
  <c r="X416" i="1"/>
  <c r="X415" i="1" s="1"/>
  <c r="T416" i="1"/>
  <c r="T415" i="1" s="1"/>
  <c r="AB223" i="1"/>
  <c r="AB222" i="1" s="1"/>
  <c r="AB221" i="1" s="1"/>
  <c r="X223" i="1"/>
  <c r="X222" i="1" s="1"/>
  <c r="X221" i="1" s="1"/>
  <c r="T223" i="1"/>
  <c r="T222" i="1" s="1"/>
  <c r="T221" i="1" s="1"/>
  <c r="AF165" i="1"/>
  <c r="AC145" i="1"/>
  <c r="AC144" i="1" s="1"/>
  <c r="Y145" i="1"/>
  <c r="Y144" i="1" s="1"/>
  <c r="U145" i="1"/>
  <c r="U144" i="1" s="1"/>
  <c r="AA145" i="1"/>
  <c r="AA144" i="1" s="1"/>
  <c r="W145" i="1"/>
  <c r="W144" i="1" s="1"/>
  <c r="S145" i="1"/>
  <c r="S144" i="1" s="1"/>
  <c r="Z145" i="1"/>
  <c r="Z144" i="1" s="1"/>
  <c r="V145" i="1"/>
  <c r="V144" i="1" s="1"/>
  <c r="R145" i="1"/>
  <c r="R144" i="1" s="1"/>
  <c r="X145" i="1"/>
  <c r="X144" i="1" s="1"/>
  <c r="T145" i="1"/>
  <c r="T144" i="1" s="1"/>
  <c r="U87" i="1"/>
  <c r="Y87" i="1"/>
  <c r="X87" i="1"/>
  <c r="Q19" i="1"/>
  <c r="Q18" i="1" s="1"/>
  <c r="AB59" i="1"/>
  <c r="AF19" i="1"/>
  <c r="X19" i="1"/>
  <c r="X18" i="1" s="1"/>
  <c r="X17" i="1" s="1"/>
  <c r="T19" i="1"/>
  <c r="T18" i="1" s="1"/>
  <c r="T17" i="1" s="1"/>
  <c r="AA69" i="1"/>
  <c r="AA59" i="1" s="1"/>
  <c r="W69" i="1"/>
  <c r="W59" i="1" s="1"/>
  <c r="S69" i="1"/>
  <c r="S59" i="1" s="1"/>
  <c r="V59" i="1"/>
  <c r="R19" i="1"/>
  <c r="R18" i="1" s="1"/>
  <c r="R17" i="1" s="1"/>
  <c r="AC69" i="1"/>
  <c r="AC59" i="1" s="1"/>
  <c r="Y69" i="1"/>
  <c r="Y59" i="1" s="1"/>
  <c r="U69" i="1"/>
  <c r="U59" i="1" s="1"/>
  <c r="AE19" i="1"/>
  <c r="AE18" i="1" s="1"/>
  <c r="AE17" i="1" s="1"/>
  <c r="W19" i="1"/>
  <c r="W18" i="1" s="1"/>
  <c r="W17" i="1" s="1"/>
  <c r="S19" i="1"/>
  <c r="S18" i="1" s="1"/>
  <c r="S17" i="1" s="1"/>
  <c r="Z449" i="1" l="1"/>
  <c r="AA396" i="1"/>
  <c r="W449" i="1"/>
  <c r="V87" i="1"/>
  <c r="AA87" i="1"/>
  <c r="W396" i="1"/>
  <c r="Q87" i="1"/>
  <c r="V449" i="1"/>
  <c r="Z87" i="1"/>
  <c r="AC396" i="1"/>
  <c r="Y396" i="1"/>
  <c r="S449" i="1"/>
  <c r="T87" i="1"/>
  <c r="AC87" i="1"/>
  <c r="R449" i="1"/>
  <c r="T396" i="1"/>
  <c r="X396" i="1"/>
  <c r="AB396" i="1"/>
  <c r="AF18" i="1"/>
  <c r="AF17" i="1" s="1"/>
  <c r="AA449" i="1"/>
  <c r="Z396" i="1"/>
  <c r="X449" i="1"/>
  <c r="AB449" i="1"/>
  <c r="Q164" i="1"/>
  <c r="AD184" i="1"/>
  <c r="AA443" i="1" l="1"/>
  <c r="AA440" i="1" s="1"/>
  <c r="AA439" i="1" s="1"/>
  <c r="AA438" i="1" s="1"/>
  <c r="AA437" i="1" s="1"/>
  <c r="V433" i="1" l="1"/>
  <c r="F59" i="6" l="1"/>
  <c r="F58" i="6" s="1"/>
  <c r="F57" i="6"/>
  <c r="F56" i="6"/>
  <c r="F55" i="6"/>
  <c r="F54" i="6" l="1"/>
  <c r="U342" i="1"/>
  <c r="U331" i="1" s="1"/>
  <c r="AA433" i="1"/>
  <c r="AA205" i="1"/>
  <c r="AA207" i="1"/>
  <c r="AA206" i="1"/>
  <c r="AA204" i="1"/>
  <c r="AA259" i="1"/>
  <c r="AA203" i="1" l="1"/>
  <c r="U433" i="1"/>
  <c r="AA39" i="1" l="1"/>
  <c r="AA38" i="1" s="1"/>
  <c r="AA37" i="1" s="1"/>
  <c r="AA36" i="1" s="1"/>
  <c r="AA35" i="1" s="1"/>
  <c r="AA269" i="1"/>
  <c r="AA268" i="1" s="1"/>
  <c r="AA234" i="1"/>
  <c r="AA26" i="1"/>
  <c r="G176" i="6"/>
  <c r="F176" i="6"/>
  <c r="AC433" i="1"/>
  <c r="AF432" i="1"/>
  <c r="F160" i="6"/>
  <c r="F159" i="6"/>
  <c r="AC384" i="1"/>
  <c r="I153" i="6" s="1"/>
  <c r="AA384" i="1"/>
  <c r="H153" i="6" s="1"/>
  <c r="V384" i="1"/>
  <c r="G153" i="6" s="1"/>
  <c r="U384" i="1"/>
  <c r="F153" i="6" s="1"/>
  <c r="AD316" i="1"/>
  <c r="AD315" i="1" s="1"/>
  <c r="AD314" i="1" s="1"/>
  <c r="G131" i="6"/>
  <c r="G130" i="6" s="1"/>
  <c r="I121" i="6"/>
  <c r="H121" i="6"/>
  <c r="AA185" i="1"/>
  <c r="F97" i="6" s="1"/>
  <c r="F93" i="6"/>
  <c r="G78" i="6"/>
  <c r="F87" i="6"/>
  <c r="F86" i="6" s="1"/>
  <c r="Q54" i="1"/>
  <c r="AA140" i="1"/>
  <c r="AB140" i="1"/>
  <c r="G64" i="6"/>
  <c r="G63" i="6" s="1"/>
  <c r="AD124" i="1"/>
  <c r="AD127" i="1"/>
  <c r="AD126" i="1"/>
  <c r="AD125" i="1"/>
  <c r="AD119" i="1"/>
  <c r="AD118" i="1"/>
  <c r="AD117" i="1"/>
  <c r="AD114" i="1"/>
  <c r="AD110" i="1"/>
  <c r="AD68" i="1"/>
  <c r="AD21" i="1"/>
  <c r="AD15" i="1"/>
  <c r="AD14" i="1" s="1"/>
  <c r="AD13" i="1"/>
  <c r="AD12" i="1"/>
  <c r="AD11" i="1"/>
  <c r="AD122" i="1" l="1"/>
  <c r="AD10" i="1"/>
  <c r="AD9" i="1" s="1"/>
  <c r="AD116" i="1"/>
  <c r="AD115" i="1" s="1"/>
  <c r="AD113" i="1"/>
  <c r="AD112" i="1" s="1"/>
  <c r="AD121" i="1"/>
  <c r="AD120" i="1" s="1"/>
  <c r="AA233" i="1"/>
  <c r="AA232" i="1" s="1"/>
  <c r="AA231" i="1" s="1"/>
  <c r="AA230" i="1" s="1"/>
  <c r="H79" i="6"/>
  <c r="AB131" i="1"/>
  <c r="AB130" i="1" s="1"/>
  <c r="AB129" i="1" s="1"/>
  <c r="G79" i="6"/>
  <c r="G77" i="6" s="1"/>
  <c r="G76" i="6" s="1"/>
  <c r="G75" i="6" s="1"/>
  <c r="AA131" i="1"/>
  <c r="AA130" i="1" s="1"/>
  <c r="AA129" i="1" s="1"/>
  <c r="F158" i="6"/>
  <c r="F157" i="6" s="1"/>
  <c r="F35" i="6"/>
  <c r="F34" i="6" s="1"/>
  <c r="Q53" i="1"/>
  <c r="J153" i="6"/>
  <c r="H176" i="6"/>
  <c r="F175" i="6"/>
  <c r="F174" i="6" s="1"/>
  <c r="F173" i="6" s="1"/>
  <c r="AA378" i="1"/>
  <c r="F66" i="5" l="1"/>
  <c r="G65" i="5" s="1"/>
  <c r="AD111" i="1"/>
  <c r="F69" i="5"/>
  <c r="G68" i="5" s="1"/>
  <c r="H67" i="5" s="1"/>
  <c r="W233" i="1"/>
  <c r="W232" i="1" s="1"/>
  <c r="W231" i="1" s="1"/>
  <c r="W230" i="1" s="1"/>
  <c r="J121" i="6"/>
  <c r="F64" i="5"/>
  <c r="G63" i="5" s="1"/>
  <c r="H62" i="5" s="1"/>
  <c r="AD8" i="1"/>
  <c r="AD7" i="1" s="1"/>
  <c r="F172" i="6"/>
  <c r="Q435" i="1"/>
  <c r="AD435" i="1" s="1"/>
  <c r="H78" i="6"/>
  <c r="H77" i="6" s="1"/>
  <c r="H76" i="6" s="1"/>
  <c r="H75" i="6" s="1"/>
  <c r="AE132" i="1"/>
  <c r="AC140" i="1"/>
  <c r="AC131" i="1" s="1"/>
  <c r="AC130" i="1" s="1"/>
  <c r="AC129" i="1" s="1"/>
  <c r="AE147" i="1"/>
  <c r="Q58" i="1"/>
  <c r="G121" i="6" l="1"/>
  <c r="G6" i="6"/>
  <c r="J7" i="5"/>
  <c r="AD467" i="1"/>
  <c r="AD468" i="1"/>
  <c r="AD469" i="1"/>
  <c r="G188" i="6"/>
  <c r="G187" i="6" s="1"/>
  <c r="G183" i="6"/>
  <c r="G182" i="6"/>
  <c r="F188" i="6"/>
  <c r="F187" i="6" s="1"/>
  <c r="G181" i="6" l="1"/>
  <c r="G180" i="6" s="1"/>
  <c r="H188" i="6"/>
  <c r="H187" i="6" s="1"/>
  <c r="Q134" i="1" l="1"/>
  <c r="Q132" i="1" s="1"/>
  <c r="F78" i="6" l="1"/>
  <c r="I78" i="6" s="1"/>
  <c r="AD214" i="1"/>
  <c r="AD215" i="1"/>
  <c r="AE203" i="1"/>
  <c r="AF203" i="1"/>
  <c r="AD204" i="1"/>
  <c r="AD136" i="1"/>
  <c r="AD67" i="1"/>
  <c r="AD66" i="1" s="1"/>
  <c r="AD65" i="1" s="1"/>
  <c r="AD392" i="1" l="1"/>
  <c r="AD393" i="1"/>
  <c r="AD394" i="1"/>
  <c r="AD260" i="1" l="1"/>
  <c r="AD261" i="1"/>
  <c r="AD262" i="1"/>
  <c r="AD263" i="1"/>
  <c r="AD264" i="1"/>
  <c r="AD265" i="1"/>
  <c r="AD266" i="1"/>
  <c r="AD267" i="1"/>
  <c r="AE425" i="1"/>
  <c r="AF425" i="1"/>
  <c r="AD427" i="1"/>
  <c r="AD428" i="1"/>
  <c r="AD429" i="1"/>
  <c r="AD430" i="1"/>
  <c r="AD431" i="1"/>
  <c r="AE409" i="1"/>
  <c r="AF409" i="1"/>
  <c r="AD411" i="1"/>
  <c r="AD412" i="1"/>
  <c r="AD413" i="1"/>
  <c r="AD414" i="1"/>
  <c r="AE399" i="1"/>
  <c r="AF399" i="1"/>
  <c r="AD401" i="1"/>
  <c r="AD402" i="1"/>
  <c r="AD403" i="1"/>
  <c r="AD404" i="1"/>
  <c r="AD405" i="1"/>
  <c r="AD406" i="1"/>
  <c r="AD407" i="1"/>
  <c r="AD408" i="1"/>
  <c r="AA28" i="1" l="1"/>
  <c r="AA29" i="1"/>
  <c r="AA31" i="1"/>
  <c r="AA32" i="1"/>
  <c r="AA27" i="1"/>
  <c r="AA24" i="1"/>
  <c r="AA23" i="1" l="1"/>
  <c r="AA19" i="1" s="1"/>
  <c r="AA18" i="1" s="1"/>
  <c r="AA17" i="1" s="1"/>
  <c r="AD133" i="1"/>
  <c r="H45" i="6"/>
  <c r="AE72" i="1"/>
  <c r="AE59" i="1" s="1"/>
  <c r="AF72" i="1"/>
  <c r="AD78" i="1"/>
  <c r="AD391" i="1" l="1"/>
  <c r="AB480" i="1" l="1"/>
  <c r="AD480" i="1" s="1"/>
  <c r="AC336" i="1"/>
  <c r="AC331" i="1" s="1"/>
  <c r="R109" i="1"/>
  <c r="R108" i="1" s="1"/>
  <c r="R107" i="1" s="1"/>
  <c r="R87" i="1" s="1"/>
  <c r="R86" i="1" s="1"/>
  <c r="AB441" i="1" l="1"/>
  <c r="AB440" i="1" s="1"/>
  <c r="AB439" i="1" s="1"/>
  <c r="AB438" i="1" s="1"/>
  <c r="AB437" i="1" s="1"/>
  <c r="G45" i="6"/>
  <c r="AD142" i="1"/>
  <c r="G175" i="6" l="1"/>
  <c r="G174" i="6" s="1"/>
  <c r="G173" i="6" s="1"/>
  <c r="W433" i="1"/>
  <c r="Y433" i="1"/>
  <c r="X433" i="1"/>
  <c r="AB433" i="1"/>
  <c r="Z433" i="1"/>
  <c r="G172" i="6" l="1"/>
  <c r="H175" i="6"/>
  <c r="Q311" i="1"/>
  <c r="Q303" i="1" l="1"/>
  <c r="Q284" i="1" s="1"/>
  <c r="Q276" i="1" s="1"/>
  <c r="H174" i="6"/>
  <c r="H173" i="6" s="1"/>
  <c r="H172" i="6" s="1"/>
  <c r="AD244" i="1"/>
  <c r="AD245" i="1"/>
  <c r="AD242" i="1"/>
  <c r="AD241" i="1"/>
  <c r="AD253" i="1"/>
  <c r="AD254" i="1"/>
  <c r="AD255" i="1"/>
  <c r="AD250" i="1"/>
  <c r="AD251" i="1"/>
  <c r="AD252" i="1"/>
  <c r="AD273" i="1"/>
  <c r="AD272" i="1" s="1"/>
  <c r="AD271" i="1" s="1"/>
  <c r="AD270" i="1" s="1"/>
  <c r="AD257" i="1"/>
  <c r="AD258" i="1"/>
  <c r="AD259" i="1"/>
  <c r="AB155" i="1"/>
  <c r="AB147" i="1" l="1"/>
  <c r="AB146" i="1" s="1"/>
  <c r="AB145" i="1" s="1"/>
  <c r="AB144" i="1" s="1"/>
  <c r="F137" i="6"/>
  <c r="I125" i="6"/>
  <c r="I124" i="6" s="1"/>
  <c r="I123" i="6" s="1"/>
  <c r="H125" i="6"/>
  <c r="H124" i="6" s="1"/>
  <c r="H123" i="6" s="1"/>
  <c r="F125" i="6"/>
  <c r="F124" i="6" s="1"/>
  <c r="F123" i="6" s="1"/>
  <c r="J125" i="6"/>
  <c r="J124" i="6" s="1"/>
  <c r="J123" i="6" s="1"/>
  <c r="G125" i="6"/>
  <c r="G124" i="6" s="1"/>
  <c r="G123" i="6" s="1"/>
  <c r="F117" i="5"/>
  <c r="G116" i="5" s="1"/>
  <c r="H115" i="5" s="1"/>
  <c r="R433" i="1"/>
  <c r="Q434" i="1"/>
  <c r="Q433" i="1"/>
  <c r="G85" i="6" l="1"/>
  <c r="G84" i="6" s="1"/>
  <c r="AD433" i="1"/>
  <c r="K125" i="6"/>
  <c r="K124" i="6" s="1"/>
  <c r="K123" i="6" s="1"/>
  <c r="F163" i="6"/>
  <c r="F164" i="6"/>
  <c r="F162" i="6" l="1"/>
  <c r="F161" i="6" s="1"/>
  <c r="F167" i="6"/>
  <c r="F166" i="6" s="1"/>
  <c r="F165" i="6" s="1"/>
  <c r="G135" i="6"/>
  <c r="AA295" i="1"/>
  <c r="AA303" i="1"/>
  <c r="G137" i="6" s="1"/>
  <c r="H137" i="6" s="1"/>
  <c r="G145" i="6"/>
  <c r="G144" i="6" s="1"/>
  <c r="G143" i="6" s="1"/>
  <c r="F108" i="6"/>
  <c r="AA212" i="1"/>
  <c r="F107" i="6" s="1"/>
  <c r="AA210" i="1"/>
  <c r="F105" i="6"/>
  <c r="F104" i="6"/>
  <c r="AA190" i="1"/>
  <c r="F99" i="6" s="1"/>
  <c r="AA180" i="1"/>
  <c r="F95" i="6" s="1"/>
  <c r="F106" i="6" l="1"/>
  <c r="F103" i="6" s="1"/>
  <c r="F102" i="6" s="1"/>
  <c r="AA199" i="1"/>
  <c r="AA198" i="1" s="1"/>
  <c r="G136" i="6"/>
  <c r="G134" i="6" s="1"/>
  <c r="AA284" i="1"/>
  <c r="F156" i="6"/>
  <c r="F17" i="5"/>
  <c r="F17" i="6"/>
  <c r="F16" i="5"/>
  <c r="F16" i="6"/>
  <c r="AD256" i="1"/>
  <c r="AE233" i="1" s="1"/>
  <c r="AE231" i="1" s="1"/>
  <c r="AA276" i="1" l="1"/>
  <c r="AA275" i="1" s="1"/>
  <c r="G15" i="5"/>
  <c r="H14" i="5" s="1"/>
  <c r="I13" i="5" s="1"/>
  <c r="F15" i="6"/>
  <c r="AD243" i="1"/>
  <c r="AD249" i="1"/>
  <c r="AD248" i="1"/>
  <c r="AD219" i="1"/>
  <c r="AD217" i="1"/>
  <c r="AD213" i="1"/>
  <c r="AD202" i="1"/>
  <c r="F14" i="6" l="1"/>
  <c r="F13" i="6" s="1"/>
  <c r="AD135" i="1"/>
  <c r="AD22" i="1"/>
  <c r="AD20" i="1" s="1"/>
  <c r="AD478" i="1"/>
  <c r="AD477" i="1"/>
  <c r="AD476" i="1"/>
  <c r="AD475" i="1"/>
  <c r="AD466" i="1"/>
  <c r="AD465" i="1"/>
  <c r="AD464" i="1"/>
  <c r="AD463" i="1"/>
  <c r="AD460" i="1"/>
  <c r="AD459" i="1" s="1"/>
  <c r="AD458" i="1" s="1"/>
  <c r="G186" i="6"/>
  <c r="G185" i="6" s="1"/>
  <c r="G184" i="6" s="1"/>
  <c r="G179" i="6" s="1"/>
  <c r="Q459" i="1"/>
  <c r="Q458" i="1" s="1"/>
  <c r="Q457" i="1" s="1"/>
  <c r="F183" i="6"/>
  <c r="H183" i="6" s="1"/>
  <c r="AD453" i="1"/>
  <c r="AD452" i="1" s="1"/>
  <c r="AD451" i="1" s="1"/>
  <c r="AD447" i="1"/>
  <c r="AD446" i="1"/>
  <c r="AD444" i="1"/>
  <c r="AD443" i="1"/>
  <c r="AD442" i="1"/>
  <c r="AD441" i="1"/>
  <c r="AD426" i="1"/>
  <c r="AD422" i="1"/>
  <c r="AD420" i="1"/>
  <c r="AD419" i="1"/>
  <c r="AD418" i="1"/>
  <c r="AD410" i="1"/>
  <c r="AD400" i="1"/>
  <c r="AD388" i="1"/>
  <c r="AD387" i="1"/>
  <c r="AD385" i="1"/>
  <c r="AB384" i="1"/>
  <c r="Z384" i="1"/>
  <c r="Y384" i="1"/>
  <c r="X384" i="1"/>
  <c r="W384" i="1"/>
  <c r="T384" i="1"/>
  <c r="S384" i="1"/>
  <c r="R384" i="1"/>
  <c r="Q384" i="1"/>
  <c r="AD382" i="1"/>
  <c r="AD381" i="1"/>
  <c r="AD380" i="1"/>
  <c r="AD379" i="1"/>
  <c r="AD378" i="1"/>
  <c r="AD377" i="1"/>
  <c r="AD376" i="1"/>
  <c r="AD375" i="1"/>
  <c r="AA373" i="1"/>
  <c r="AD372" i="1"/>
  <c r="AD371" i="1"/>
  <c r="AD370" i="1"/>
  <c r="AD369" i="1"/>
  <c r="AD368" i="1"/>
  <c r="AD367" i="1"/>
  <c r="AD366" i="1"/>
  <c r="AD365" i="1"/>
  <c r="AD364" i="1"/>
  <c r="AD363" i="1"/>
  <c r="AD362" i="1"/>
  <c r="AD361" i="1"/>
  <c r="AD360" i="1"/>
  <c r="AD359" i="1"/>
  <c r="AD358" i="1"/>
  <c r="AD357" i="1"/>
  <c r="AD356" i="1"/>
  <c r="AD355" i="1"/>
  <c r="AB354" i="1"/>
  <c r="AB330" i="1" s="1"/>
  <c r="AB329" i="1" s="1"/>
  <c r="AB328" i="1" s="1"/>
  <c r="Z354" i="1"/>
  <c r="Z330" i="1" s="1"/>
  <c r="Z329" i="1" s="1"/>
  <c r="Z328" i="1" s="1"/>
  <c r="Y354" i="1"/>
  <c r="Y330" i="1" s="1"/>
  <c r="Y329" i="1" s="1"/>
  <c r="Y328" i="1" s="1"/>
  <c r="X354" i="1"/>
  <c r="X330" i="1" s="1"/>
  <c r="X329" i="1" s="1"/>
  <c r="X328" i="1" s="1"/>
  <c r="W354" i="1"/>
  <c r="W330" i="1" s="1"/>
  <c r="W329" i="1" s="1"/>
  <c r="W328" i="1" s="1"/>
  <c r="V354" i="1"/>
  <c r="T354" i="1"/>
  <c r="S354" i="1"/>
  <c r="R354" i="1"/>
  <c r="Q354" i="1"/>
  <c r="AD353" i="1"/>
  <c r="AD352" i="1"/>
  <c r="AD351" i="1"/>
  <c r="AD350" i="1"/>
  <c r="AD349" i="1"/>
  <c r="AD348" i="1"/>
  <c r="AD347" i="1"/>
  <c r="AD346" i="1"/>
  <c r="AD345" i="1"/>
  <c r="F151" i="6"/>
  <c r="AD344" i="1"/>
  <c r="AD343" i="1"/>
  <c r="AA342" i="1"/>
  <c r="AD342" i="1" s="1"/>
  <c r="AD341" i="1"/>
  <c r="AD340" i="1"/>
  <c r="AD339" i="1"/>
  <c r="AD338" i="1"/>
  <c r="AD337" i="1"/>
  <c r="AD336" i="1"/>
  <c r="AD335" i="1"/>
  <c r="AD334" i="1"/>
  <c r="AA332" i="1"/>
  <c r="I151" i="6"/>
  <c r="Q331" i="1"/>
  <c r="AD323" i="1"/>
  <c r="Q322" i="1"/>
  <c r="Q321" i="1" s="1"/>
  <c r="Q320" i="1" s="1"/>
  <c r="AD319" i="1"/>
  <c r="G142" i="6"/>
  <c r="G141" i="6" s="1"/>
  <c r="Q318" i="1"/>
  <c r="G140" i="6"/>
  <c r="G139" i="6" s="1"/>
  <c r="Q315" i="1"/>
  <c r="AD312" i="1"/>
  <c r="AD311" i="1"/>
  <c r="AD310" i="1"/>
  <c r="AD309" i="1"/>
  <c r="AD308" i="1"/>
  <c r="AD307" i="1"/>
  <c r="AD306" i="1"/>
  <c r="AD305" i="1"/>
  <c r="AD304" i="1"/>
  <c r="AC303" i="1"/>
  <c r="AB303" i="1"/>
  <c r="Z303" i="1"/>
  <c r="Y303" i="1"/>
  <c r="X303" i="1"/>
  <c r="W303" i="1"/>
  <c r="V303" i="1"/>
  <c r="U303" i="1"/>
  <c r="T303" i="1"/>
  <c r="S303" i="1"/>
  <c r="R303" i="1"/>
  <c r="AD302" i="1"/>
  <c r="AD301" i="1"/>
  <c r="AD300" i="1"/>
  <c r="AD299" i="1"/>
  <c r="AD298" i="1"/>
  <c r="AD297" i="1"/>
  <c r="AD296" i="1"/>
  <c r="AC295" i="1"/>
  <c r="AB295" i="1"/>
  <c r="Z295" i="1"/>
  <c r="Y295" i="1"/>
  <c r="X295" i="1"/>
  <c r="W295" i="1"/>
  <c r="V295" i="1"/>
  <c r="U295" i="1"/>
  <c r="T295" i="1"/>
  <c r="S295" i="1"/>
  <c r="R295" i="1"/>
  <c r="F136" i="6"/>
  <c r="H136" i="6" s="1"/>
  <c r="F135" i="6"/>
  <c r="G133" i="6"/>
  <c r="G132" i="6" s="1"/>
  <c r="G129" i="6" s="1"/>
  <c r="F133" i="6"/>
  <c r="F132" i="6" s="1"/>
  <c r="AD269" i="1"/>
  <c r="AD268" i="1" s="1"/>
  <c r="I122" i="6"/>
  <c r="AD240" i="1"/>
  <c r="F121" i="6"/>
  <c r="AD228" i="1"/>
  <c r="F115" i="6"/>
  <c r="AD226" i="1"/>
  <c r="AD225" i="1"/>
  <c r="F114" i="6"/>
  <c r="AD218" i="1"/>
  <c r="AD212" i="1"/>
  <c r="F101" i="5" s="1"/>
  <c r="AC212" i="1"/>
  <c r="AB212" i="1"/>
  <c r="Z212" i="1"/>
  <c r="Y212" i="1"/>
  <c r="X212" i="1"/>
  <c r="W212" i="1"/>
  <c r="V212" i="1"/>
  <c r="U212" i="1"/>
  <c r="T212" i="1"/>
  <c r="S212" i="1"/>
  <c r="R212" i="1"/>
  <c r="AD211" i="1"/>
  <c r="AD210" i="1" s="1"/>
  <c r="F100" i="5" s="1"/>
  <c r="AC210" i="1"/>
  <c r="AC199" i="1" s="1"/>
  <c r="AC198" i="1" s="1"/>
  <c r="AB210" i="1"/>
  <c r="AB199" i="1" s="1"/>
  <c r="AB198" i="1" s="1"/>
  <c r="Z210" i="1"/>
  <c r="Z199" i="1" s="1"/>
  <c r="Z198" i="1" s="1"/>
  <c r="Y210" i="1"/>
  <c r="Y199" i="1" s="1"/>
  <c r="Y198" i="1" s="1"/>
  <c r="X210" i="1"/>
  <c r="X199" i="1" s="1"/>
  <c r="X198" i="1" s="1"/>
  <c r="W210" i="1"/>
  <c r="W199" i="1" s="1"/>
  <c r="W198" i="1" s="1"/>
  <c r="V210" i="1"/>
  <c r="V199" i="1" s="1"/>
  <c r="V198" i="1" s="1"/>
  <c r="U210" i="1"/>
  <c r="T210" i="1"/>
  <c r="S210" i="1"/>
  <c r="S199" i="1" s="1"/>
  <c r="S198" i="1" s="1"/>
  <c r="R210" i="1"/>
  <c r="R199" i="1" s="1"/>
  <c r="R198" i="1" s="1"/>
  <c r="Q210" i="1"/>
  <c r="Q199" i="1" s="1"/>
  <c r="Q198" i="1" s="1"/>
  <c r="Q163" i="1" s="1"/>
  <c r="AD209" i="1"/>
  <c r="AD208" i="1"/>
  <c r="AD205" i="1"/>
  <c r="AD207" i="1"/>
  <c r="AD201" i="1"/>
  <c r="AD197" i="1"/>
  <c r="AD196" i="1"/>
  <c r="F101" i="6"/>
  <c r="F100" i="6" s="1"/>
  <c r="AD193" i="1"/>
  <c r="AD192" i="1"/>
  <c r="AD191" i="1"/>
  <c r="AC190" i="1"/>
  <c r="AB190" i="1"/>
  <c r="Z190" i="1"/>
  <c r="Y190" i="1"/>
  <c r="X190" i="1"/>
  <c r="W190" i="1"/>
  <c r="V190" i="1"/>
  <c r="U190" i="1"/>
  <c r="T190" i="1"/>
  <c r="S190" i="1"/>
  <c r="R190" i="1"/>
  <c r="AD189" i="1"/>
  <c r="AD188" i="1"/>
  <c r="AC187" i="1"/>
  <c r="AB187" i="1"/>
  <c r="AA187" i="1"/>
  <c r="F98" i="6" s="1"/>
  <c r="Z187" i="1"/>
  <c r="Y187" i="1"/>
  <c r="X187" i="1"/>
  <c r="W187" i="1"/>
  <c r="V187" i="1"/>
  <c r="U187" i="1"/>
  <c r="T187" i="1"/>
  <c r="S187" i="1"/>
  <c r="R187" i="1"/>
  <c r="AD186" i="1"/>
  <c r="AD185" i="1" s="1"/>
  <c r="F91" i="5" s="1"/>
  <c r="AC185" i="1"/>
  <c r="AB185" i="1"/>
  <c r="Z185" i="1"/>
  <c r="Y185" i="1"/>
  <c r="X185" i="1"/>
  <c r="W185" i="1"/>
  <c r="V185" i="1"/>
  <c r="U185" i="1"/>
  <c r="T185" i="1"/>
  <c r="S185" i="1"/>
  <c r="R185" i="1"/>
  <c r="AD183" i="1"/>
  <c r="F90" i="5" s="1"/>
  <c r="AC183" i="1"/>
  <c r="AB183" i="1"/>
  <c r="AA183" i="1"/>
  <c r="F96" i="6" s="1"/>
  <c r="Z183" i="1"/>
  <c r="Y183" i="1"/>
  <c r="X183" i="1"/>
  <c r="W183" i="1"/>
  <c r="V183" i="1"/>
  <c r="U183" i="1"/>
  <c r="T183" i="1"/>
  <c r="S183" i="1"/>
  <c r="R183" i="1"/>
  <c r="AD182" i="1"/>
  <c r="AD181" i="1"/>
  <c r="AC180" i="1"/>
  <c r="AB180" i="1"/>
  <c r="Z180" i="1"/>
  <c r="Y180" i="1"/>
  <c r="X180" i="1"/>
  <c r="W180" i="1"/>
  <c r="V180" i="1"/>
  <c r="U180" i="1"/>
  <c r="T180" i="1"/>
  <c r="S180" i="1"/>
  <c r="R180" i="1"/>
  <c r="AD179" i="1"/>
  <c r="AD178" i="1" s="1"/>
  <c r="F88" i="5" s="1"/>
  <c r="AC178" i="1"/>
  <c r="AB178" i="1"/>
  <c r="AA178" i="1"/>
  <c r="Z178" i="1"/>
  <c r="Y178" i="1"/>
  <c r="X178" i="1"/>
  <c r="W178" i="1"/>
  <c r="V178" i="1"/>
  <c r="U178" i="1"/>
  <c r="T178" i="1"/>
  <c r="S178" i="1"/>
  <c r="R178" i="1"/>
  <c r="AD177" i="1"/>
  <c r="AD172" i="1"/>
  <c r="AD171" i="1"/>
  <c r="AD176" i="1"/>
  <c r="AD175" i="1"/>
  <c r="AD174" i="1"/>
  <c r="AD173" i="1"/>
  <c r="AD170" i="1"/>
  <c r="AD169" i="1"/>
  <c r="AD168" i="1"/>
  <c r="AD167" i="1"/>
  <c r="AD161" i="1"/>
  <c r="AD160" i="1"/>
  <c r="AD159" i="1"/>
  <c r="G87" i="6"/>
  <c r="G86" i="6" s="1"/>
  <c r="G83" i="6" s="1"/>
  <c r="G82" i="6" s="1"/>
  <c r="AD153" i="1"/>
  <c r="AD154" i="1"/>
  <c r="AD152" i="1"/>
  <c r="AD151" i="1"/>
  <c r="AD150" i="1"/>
  <c r="AD149" i="1"/>
  <c r="AD148" i="1"/>
  <c r="AD141" i="1"/>
  <c r="AD140" i="1" s="1"/>
  <c r="F75" i="5" s="1"/>
  <c r="Z140" i="1"/>
  <c r="Z131" i="1" s="1"/>
  <c r="Z130" i="1" s="1"/>
  <c r="Z129" i="1" s="1"/>
  <c r="Y140" i="1"/>
  <c r="Y131" i="1" s="1"/>
  <c r="Y130" i="1" s="1"/>
  <c r="Y129" i="1" s="1"/>
  <c r="X140" i="1"/>
  <c r="X131" i="1" s="1"/>
  <c r="X130" i="1" s="1"/>
  <c r="X129" i="1" s="1"/>
  <c r="W140" i="1"/>
  <c r="W131" i="1" s="1"/>
  <c r="W130" i="1" s="1"/>
  <c r="W129" i="1" s="1"/>
  <c r="V140" i="1"/>
  <c r="V131" i="1" s="1"/>
  <c r="V130" i="1" s="1"/>
  <c r="V129" i="1" s="1"/>
  <c r="U140" i="1"/>
  <c r="U131" i="1" s="1"/>
  <c r="U130" i="1" s="1"/>
  <c r="U129" i="1" s="1"/>
  <c r="T140" i="1"/>
  <c r="T131" i="1" s="1"/>
  <c r="T130" i="1" s="1"/>
  <c r="T129" i="1" s="1"/>
  <c r="S140" i="1"/>
  <c r="S131" i="1" s="1"/>
  <c r="S130" i="1" s="1"/>
  <c r="S129" i="1" s="1"/>
  <c r="R140" i="1"/>
  <c r="R131" i="1" s="1"/>
  <c r="R130" i="1" s="1"/>
  <c r="R129" i="1" s="1"/>
  <c r="Q140" i="1"/>
  <c r="Q131" i="1" s="1"/>
  <c r="Q130" i="1" s="1"/>
  <c r="Q129" i="1" s="1"/>
  <c r="AD139" i="1"/>
  <c r="AD137" i="1"/>
  <c r="AD134" i="1"/>
  <c r="G69" i="6"/>
  <c r="G68" i="6" s="1"/>
  <c r="F69" i="6"/>
  <c r="F68" i="6" s="1"/>
  <c r="G67" i="6"/>
  <c r="G66" i="6" s="1"/>
  <c r="F67" i="6"/>
  <c r="F66" i="6" s="1"/>
  <c r="Q113" i="1"/>
  <c r="Q112" i="1" s="1"/>
  <c r="Q111" i="1" s="1"/>
  <c r="AD109" i="1"/>
  <c r="AD108" i="1" s="1"/>
  <c r="AD107" i="1" s="1"/>
  <c r="F64" i="6"/>
  <c r="AD106" i="1"/>
  <c r="G62" i="6"/>
  <c r="F62" i="6"/>
  <c r="AD104" i="1"/>
  <c r="AD103" i="1"/>
  <c r="AD102" i="1"/>
  <c r="AD101" i="1"/>
  <c r="AD100" i="1"/>
  <c r="G61" i="6"/>
  <c r="F61" i="6"/>
  <c r="AD97" i="1"/>
  <c r="G59" i="6"/>
  <c r="AD94" i="1"/>
  <c r="G56" i="6"/>
  <c r="H56" i="6" s="1"/>
  <c r="AD90" i="1"/>
  <c r="AD89" i="1" s="1"/>
  <c r="G55" i="6"/>
  <c r="AD84" i="1"/>
  <c r="AD83" i="1" s="1"/>
  <c r="F47" i="5" s="1"/>
  <c r="AC83" i="1"/>
  <c r="AC80" i="1" s="1"/>
  <c r="AC79" i="1" s="1"/>
  <c r="AB83" i="1"/>
  <c r="AB80" i="1" s="1"/>
  <c r="AB79" i="1" s="1"/>
  <c r="AA83" i="1"/>
  <c r="Z83" i="1"/>
  <c r="Y83" i="1"/>
  <c r="Y80" i="1" s="1"/>
  <c r="Y79" i="1" s="1"/>
  <c r="X83" i="1"/>
  <c r="X80" i="1" s="1"/>
  <c r="X79" i="1" s="1"/>
  <c r="W83" i="1"/>
  <c r="W80" i="1" s="1"/>
  <c r="W79" i="1" s="1"/>
  <c r="V83" i="1"/>
  <c r="V80" i="1" s="1"/>
  <c r="V79" i="1" s="1"/>
  <c r="U83" i="1"/>
  <c r="U80" i="1" s="1"/>
  <c r="U79" i="1" s="1"/>
  <c r="T83" i="1"/>
  <c r="T80" i="1" s="1"/>
  <c r="T79" i="1" s="1"/>
  <c r="S83" i="1"/>
  <c r="S80" i="1" s="1"/>
  <c r="S79" i="1" s="1"/>
  <c r="R83" i="1"/>
  <c r="R80" i="1" s="1"/>
  <c r="R79" i="1" s="1"/>
  <c r="Q83" i="1"/>
  <c r="F49" i="6" s="1"/>
  <c r="AD82" i="1"/>
  <c r="H48" i="6"/>
  <c r="Q81" i="1"/>
  <c r="AD77" i="1"/>
  <c r="AD76" i="1"/>
  <c r="AD75" i="1"/>
  <c r="AD74" i="1"/>
  <c r="AD73" i="1"/>
  <c r="F45" i="6"/>
  <c r="I45" i="6" s="1"/>
  <c r="AD71" i="1"/>
  <c r="H44" i="6"/>
  <c r="H43" i="6" s="1"/>
  <c r="G44" i="6"/>
  <c r="G43" i="6" s="1"/>
  <c r="Q70" i="1"/>
  <c r="G42" i="6"/>
  <c r="G41" i="6" s="1"/>
  <c r="F42" i="6"/>
  <c r="F41" i="6" s="1"/>
  <c r="AD64" i="1"/>
  <c r="AD63" i="1"/>
  <c r="AD58" i="1"/>
  <c r="AD57" i="1" s="1"/>
  <c r="AC57" i="1"/>
  <c r="AC56" i="1" s="1"/>
  <c r="AB57" i="1"/>
  <c r="AB56" i="1" s="1"/>
  <c r="AA57" i="1"/>
  <c r="Z57" i="1"/>
  <c r="Y57" i="1"/>
  <c r="Y56" i="1" s="1"/>
  <c r="X57" i="1"/>
  <c r="X56" i="1" s="1"/>
  <c r="W57" i="1"/>
  <c r="W56" i="1" s="1"/>
  <c r="V57" i="1"/>
  <c r="V56" i="1" s="1"/>
  <c r="U57" i="1"/>
  <c r="U56" i="1" s="1"/>
  <c r="T57" i="1"/>
  <c r="T56" i="1" s="1"/>
  <c r="S57" i="1"/>
  <c r="S56" i="1" s="1"/>
  <c r="R57" i="1"/>
  <c r="R56" i="1" s="1"/>
  <c r="Q57" i="1"/>
  <c r="AD55" i="1"/>
  <c r="AD54" i="1" s="1"/>
  <c r="AD52" i="1"/>
  <c r="AD51" i="1" s="1"/>
  <c r="AC51" i="1"/>
  <c r="AC50" i="1" s="1"/>
  <c r="AB51" i="1"/>
  <c r="AB50" i="1" s="1"/>
  <c r="AA51" i="1"/>
  <c r="Z51" i="1"/>
  <c r="Y51" i="1"/>
  <c r="Y50" i="1" s="1"/>
  <c r="X51" i="1"/>
  <c r="X50" i="1" s="1"/>
  <c r="W51" i="1"/>
  <c r="W50" i="1" s="1"/>
  <c r="V51" i="1"/>
  <c r="V50" i="1" s="1"/>
  <c r="U51" i="1"/>
  <c r="U50" i="1" s="1"/>
  <c r="T51" i="1"/>
  <c r="T50" i="1" s="1"/>
  <c r="S51" i="1"/>
  <c r="S50" i="1" s="1"/>
  <c r="R51" i="1"/>
  <c r="R50" i="1" s="1"/>
  <c r="Q51" i="1"/>
  <c r="AD49" i="1"/>
  <c r="AD48" i="1" s="1"/>
  <c r="AC48" i="1"/>
  <c r="AC47" i="1" s="1"/>
  <c r="AB48" i="1"/>
  <c r="AB47" i="1" s="1"/>
  <c r="AA48" i="1"/>
  <c r="Z48" i="1"/>
  <c r="Y48" i="1"/>
  <c r="Y47" i="1" s="1"/>
  <c r="X48" i="1"/>
  <c r="X47" i="1" s="1"/>
  <c r="W48" i="1"/>
  <c r="W47" i="1" s="1"/>
  <c r="V48" i="1"/>
  <c r="V47" i="1" s="1"/>
  <c r="U48" i="1"/>
  <c r="U47" i="1" s="1"/>
  <c r="T48" i="1"/>
  <c r="T47" i="1" s="1"/>
  <c r="S48" i="1"/>
  <c r="S47" i="1" s="1"/>
  <c r="R48" i="1"/>
  <c r="R47" i="1" s="1"/>
  <c r="Q48" i="1"/>
  <c r="AD46" i="1"/>
  <c r="AD45" i="1" s="1"/>
  <c r="AD44" i="1" s="1"/>
  <c r="H29" i="6"/>
  <c r="H28" i="6" s="1"/>
  <c r="G29" i="6"/>
  <c r="G28" i="6" s="1"/>
  <c r="Q45" i="1"/>
  <c r="Q44" i="1" s="1"/>
  <c r="AD40" i="1"/>
  <c r="AD39" i="1"/>
  <c r="G23" i="6"/>
  <c r="F23" i="6"/>
  <c r="F22" i="6" s="1"/>
  <c r="F21" i="6" s="1"/>
  <c r="AD33" i="1"/>
  <c r="AD32" i="1"/>
  <c r="AD31" i="1"/>
  <c r="AD30" i="1"/>
  <c r="AD29" i="1"/>
  <c r="AD28" i="1"/>
  <c r="AD27" i="1"/>
  <c r="AD26" i="1"/>
  <c r="AD25" i="1"/>
  <c r="AD24" i="1"/>
  <c r="AA14" i="1"/>
  <c r="AA9" i="1" s="1"/>
  <c r="AA8" i="1" s="1"/>
  <c r="AA7" i="1" s="1"/>
  <c r="AC14" i="1"/>
  <c r="AC9" i="1" s="1"/>
  <c r="AC8" i="1" s="1"/>
  <c r="AC7" i="1" s="1"/>
  <c r="AB14" i="1"/>
  <c r="AB9" i="1" s="1"/>
  <c r="AB8" i="1" s="1"/>
  <c r="AB7" i="1" s="1"/>
  <c r="Z14" i="1"/>
  <c r="Z9" i="1" s="1"/>
  <c r="Z8" i="1" s="1"/>
  <c r="Z7" i="1" s="1"/>
  <c r="Y14" i="1"/>
  <c r="Y9" i="1" s="1"/>
  <c r="Y8" i="1" s="1"/>
  <c r="Y7" i="1" s="1"/>
  <c r="X14" i="1"/>
  <c r="X9" i="1" s="1"/>
  <c r="X8" i="1" s="1"/>
  <c r="X7" i="1" s="1"/>
  <c r="W14" i="1"/>
  <c r="W9" i="1" s="1"/>
  <c r="W8" i="1" s="1"/>
  <c r="W7" i="1" s="1"/>
  <c r="V14" i="1"/>
  <c r="V9" i="1" s="1"/>
  <c r="V8" i="1" s="1"/>
  <c r="V7" i="1" s="1"/>
  <c r="U14" i="1"/>
  <c r="U9" i="1" s="1"/>
  <c r="U8" i="1" s="1"/>
  <c r="U7" i="1" s="1"/>
  <c r="T14" i="1"/>
  <c r="T9" i="1" s="1"/>
  <c r="T8" i="1" s="1"/>
  <c r="T7" i="1" s="1"/>
  <c r="S14" i="1"/>
  <c r="S9" i="1" s="1"/>
  <c r="S8" i="1" s="1"/>
  <c r="S7" i="1" s="1"/>
  <c r="R14" i="1"/>
  <c r="R9" i="1" s="1"/>
  <c r="R8" i="1" s="1"/>
  <c r="R7" i="1" s="1"/>
  <c r="Q14" i="1"/>
  <c r="Q9" i="1" s="1"/>
  <c r="Q8" i="1" s="1"/>
  <c r="AD322" i="1" l="1"/>
  <c r="AD321" i="1" s="1"/>
  <c r="AD320" i="1" s="1"/>
  <c r="T330" i="1"/>
  <c r="T329" i="1" s="1"/>
  <c r="T328" i="1" s="1"/>
  <c r="AD417" i="1"/>
  <c r="R284" i="1"/>
  <c r="Z284" i="1"/>
  <c r="S284" i="1"/>
  <c r="AB284" i="1"/>
  <c r="R330" i="1"/>
  <c r="R329" i="1" s="1"/>
  <c r="R328" i="1" s="1"/>
  <c r="X165" i="1"/>
  <c r="X164" i="1" s="1"/>
  <c r="X163" i="1" s="1"/>
  <c r="AD224" i="1"/>
  <c r="AC284" i="1"/>
  <c r="Y165" i="1"/>
  <c r="Y164" i="1" s="1"/>
  <c r="Y163" i="1" s="1"/>
  <c r="AC165" i="1"/>
  <c r="AC164" i="1" s="1"/>
  <c r="AC163" i="1" s="1"/>
  <c r="AA331" i="1"/>
  <c r="H151" i="6" s="1"/>
  <c r="S330" i="1"/>
  <c r="S329" i="1" s="1"/>
  <c r="S328" i="1" s="1"/>
  <c r="AD99" i="1"/>
  <c r="F58" i="5" s="1"/>
  <c r="W165" i="1"/>
  <c r="W164" i="1" s="1"/>
  <c r="W163" i="1" s="1"/>
  <c r="Q330" i="1"/>
  <c r="Q329" i="1" s="1"/>
  <c r="Q328" i="1" s="1"/>
  <c r="AD440" i="1"/>
  <c r="AD445" i="1"/>
  <c r="F164" i="5" s="1"/>
  <c r="G31" i="6"/>
  <c r="G30" i="6" s="1"/>
  <c r="Z47" i="1"/>
  <c r="Z165" i="1"/>
  <c r="Z164" i="1" s="1"/>
  <c r="Z163" i="1" s="1"/>
  <c r="AD195" i="1"/>
  <c r="AD194" i="1" s="1"/>
  <c r="AD318" i="1"/>
  <c r="AD317" i="1" s="1"/>
  <c r="AD313" i="1" s="1"/>
  <c r="F94" i="6"/>
  <c r="AA165" i="1"/>
  <c r="AA164" i="1" s="1"/>
  <c r="AA163" i="1" s="1"/>
  <c r="AD227" i="1"/>
  <c r="F108" i="5" s="1"/>
  <c r="G33" i="6"/>
  <c r="G32" i="6" s="1"/>
  <c r="Z50" i="1"/>
  <c r="AB165" i="1"/>
  <c r="AB164" i="1" s="1"/>
  <c r="AB163" i="1" s="1"/>
  <c r="AD200" i="1"/>
  <c r="AD399" i="1"/>
  <c r="H31" i="6"/>
  <c r="H30" i="6" s="1"/>
  <c r="AA47" i="1"/>
  <c r="H33" i="6"/>
  <c r="H32" i="6" s="1"/>
  <c r="AA50" i="1"/>
  <c r="T284" i="1"/>
  <c r="AD409" i="1"/>
  <c r="F149" i="5" s="1"/>
  <c r="R165" i="1"/>
  <c r="R164" i="1" s="1"/>
  <c r="R163" i="1" s="1"/>
  <c r="U284" i="1"/>
  <c r="F35" i="5"/>
  <c r="G34" i="5" s="1"/>
  <c r="AD56" i="1"/>
  <c r="F29" i="5"/>
  <c r="G28" i="5" s="1"/>
  <c r="AD47" i="1"/>
  <c r="G37" i="6"/>
  <c r="G36" i="6" s="1"/>
  <c r="Z56" i="1"/>
  <c r="Z54" i="1" s="1"/>
  <c r="Z53" i="1" s="1"/>
  <c r="AD166" i="1"/>
  <c r="F87" i="5" s="1"/>
  <c r="S165" i="1"/>
  <c r="S164" i="1" s="1"/>
  <c r="S163" i="1" s="1"/>
  <c r="V284" i="1"/>
  <c r="G152" i="6"/>
  <c r="V330" i="1"/>
  <c r="V329" i="1" s="1"/>
  <c r="V328" i="1" s="1"/>
  <c r="AD96" i="1"/>
  <c r="AD95" i="1" s="1"/>
  <c r="U199" i="1"/>
  <c r="U198" i="1" s="1"/>
  <c r="F31" i="5"/>
  <c r="G30" i="5" s="1"/>
  <c r="AD50" i="1"/>
  <c r="H37" i="6"/>
  <c r="H36" i="6" s="1"/>
  <c r="AA56" i="1"/>
  <c r="T165" i="1"/>
  <c r="T164" i="1" s="1"/>
  <c r="W284" i="1"/>
  <c r="F140" i="6"/>
  <c r="F139" i="6" s="1"/>
  <c r="Q314" i="1"/>
  <c r="F33" i="5"/>
  <c r="G32" i="5" s="1"/>
  <c r="AD53" i="1"/>
  <c r="U165" i="1"/>
  <c r="U164" i="1" s="1"/>
  <c r="X284" i="1"/>
  <c r="AD421" i="1"/>
  <c r="AD416" i="1" s="1"/>
  <c r="AD415" i="1" s="1"/>
  <c r="T199" i="1"/>
  <c r="T198" i="1" s="1"/>
  <c r="AD93" i="1"/>
  <c r="F54" i="5" s="1"/>
  <c r="AD105" i="1"/>
  <c r="F59" i="5" s="1"/>
  <c r="V165" i="1"/>
  <c r="V164" i="1" s="1"/>
  <c r="V163" i="1" s="1"/>
  <c r="Y284" i="1"/>
  <c r="F142" i="6"/>
  <c r="F141" i="6" s="1"/>
  <c r="Q317" i="1"/>
  <c r="AD425" i="1"/>
  <c r="AD424" i="1" s="1"/>
  <c r="AD423" i="1" s="1"/>
  <c r="AD462" i="1"/>
  <c r="AD461" i="1" s="1"/>
  <c r="AD457" i="1" s="1"/>
  <c r="AD216" i="1"/>
  <c r="F102" i="5" s="1"/>
  <c r="G65" i="6"/>
  <c r="G138" i="6"/>
  <c r="G128" i="6" s="1"/>
  <c r="I120" i="6"/>
  <c r="I119" i="6" s="1"/>
  <c r="I118" i="6" s="1"/>
  <c r="H135" i="6"/>
  <c r="H134" i="6" s="1"/>
  <c r="F134" i="6"/>
  <c r="F113" i="6"/>
  <c r="F60" i="6"/>
  <c r="G60" i="6"/>
  <c r="F65" i="6"/>
  <c r="G22" i="6"/>
  <c r="G21" i="6" s="1"/>
  <c r="G20" i="6" s="1"/>
  <c r="H59" i="6"/>
  <c r="H58" i="6" s="1"/>
  <c r="G58" i="6"/>
  <c r="H64" i="6"/>
  <c r="H63" i="6" s="1"/>
  <c r="F63" i="6"/>
  <c r="F92" i="6"/>
  <c r="F37" i="6"/>
  <c r="F36" i="6" s="1"/>
  <c r="Q56" i="1"/>
  <c r="G49" i="6"/>
  <c r="Z80" i="1"/>
  <c r="Z79" i="1" s="1"/>
  <c r="F31" i="6"/>
  <c r="Q47" i="1"/>
  <c r="AD72" i="1"/>
  <c r="F43" i="5" s="1"/>
  <c r="F48" i="6"/>
  <c r="F47" i="6" s="1"/>
  <c r="F46" i="6" s="1"/>
  <c r="Q80" i="1"/>
  <c r="Q79" i="1" s="1"/>
  <c r="AD23" i="1"/>
  <c r="AD19" i="1" s="1"/>
  <c r="AD18" i="1" s="1"/>
  <c r="AD17" i="1" s="1"/>
  <c r="AD38" i="1"/>
  <c r="AD37" i="1" s="1"/>
  <c r="F33" i="6"/>
  <c r="Q50" i="1"/>
  <c r="AD70" i="1"/>
  <c r="H49" i="6"/>
  <c r="H47" i="6" s="1"/>
  <c r="H46" i="6" s="1"/>
  <c r="AA80" i="1"/>
  <c r="AA79" i="1" s="1"/>
  <c r="F44" i="6"/>
  <c r="Q69" i="1"/>
  <c r="Q59" i="1" s="1"/>
  <c r="AD81" i="1"/>
  <c r="AD80" i="1" s="1"/>
  <c r="AD79" i="1" s="1"/>
  <c r="H133" i="6"/>
  <c r="H132" i="6" s="1"/>
  <c r="F11" i="5"/>
  <c r="F10" i="6"/>
  <c r="G48" i="6"/>
  <c r="G40" i="6"/>
  <c r="G39" i="6" s="1"/>
  <c r="G38" i="6" s="1"/>
  <c r="H87" i="6"/>
  <c r="H86" i="6" s="1"/>
  <c r="AD303" i="1"/>
  <c r="F128" i="5" s="1"/>
  <c r="F186" i="6"/>
  <c r="F185" i="6" s="1"/>
  <c r="F184" i="6" s="1"/>
  <c r="F10" i="5"/>
  <c r="F9" i="6"/>
  <c r="H67" i="6"/>
  <c r="H66" i="6" s="1"/>
  <c r="F29" i="6"/>
  <c r="F28" i="6" s="1"/>
  <c r="H62" i="6"/>
  <c r="H69" i="6"/>
  <c r="H68" i="6" s="1"/>
  <c r="F79" i="6"/>
  <c r="F77" i="6" s="1"/>
  <c r="F76" i="6" s="1"/>
  <c r="G122" i="6"/>
  <c r="F126" i="5"/>
  <c r="F145" i="6"/>
  <c r="F144" i="6" s="1"/>
  <c r="F143" i="6" s="1"/>
  <c r="H61" i="6"/>
  <c r="F20" i="6"/>
  <c r="H23" i="6"/>
  <c r="H55" i="6"/>
  <c r="F131" i="6"/>
  <c r="F130" i="6" s="1"/>
  <c r="F40" i="6"/>
  <c r="F39" i="6" s="1"/>
  <c r="F72" i="6"/>
  <c r="F71" i="6" s="1"/>
  <c r="F70" i="6" s="1"/>
  <c r="K121" i="6"/>
  <c r="F122" i="6"/>
  <c r="F120" i="6" s="1"/>
  <c r="F119" i="6" s="1"/>
  <c r="H122" i="6"/>
  <c r="AD295" i="1"/>
  <c r="F163" i="5"/>
  <c r="F194" i="6"/>
  <c r="F27" i="5"/>
  <c r="G26" i="5" s="1"/>
  <c r="F52" i="5"/>
  <c r="F131" i="5"/>
  <c r="G130" i="5" s="1"/>
  <c r="F136" i="5"/>
  <c r="F174" i="5"/>
  <c r="G173" i="5" s="1"/>
  <c r="F169" i="5"/>
  <c r="G168" i="5" s="1"/>
  <c r="AD373" i="1"/>
  <c r="AA354" i="1"/>
  <c r="H152" i="6" s="1"/>
  <c r="Q437" i="1"/>
  <c r="S86" i="1"/>
  <c r="AA86" i="1"/>
  <c r="X86" i="1"/>
  <c r="AD239" i="1"/>
  <c r="Q17" i="1"/>
  <c r="Q86" i="1"/>
  <c r="Y86" i="1"/>
  <c r="AD389" i="1"/>
  <c r="AD180" i="1"/>
  <c r="F89" i="5" s="1"/>
  <c r="AD190" i="1"/>
  <c r="F93" i="5" s="1"/>
  <c r="Q221" i="1"/>
  <c r="Z479" i="1"/>
  <c r="AD187" i="1"/>
  <c r="F92" i="5" s="1"/>
  <c r="W86" i="1"/>
  <c r="AD333" i="1"/>
  <c r="F152" i="5"/>
  <c r="T54" i="1"/>
  <c r="T53" i="1" s="1"/>
  <c r="T43" i="1" s="1"/>
  <c r="T42" i="1" s="1"/>
  <c r="AB54" i="1"/>
  <c r="AB53" i="1" s="1"/>
  <c r="AB43" i="1" s="1"/>
  <c r="AB42" i="1" s="1"/>
  <c r="U354" i="1"/>
  <c r="V54" i="1"/>
  <c r="V53" i="1" s="1"/>
  <c r="V43" i="1" s="1"/>
  <c r="V42" i="1" s="1"/>
  <c r="W54" i="1"/>
  <c r="W53" i="1" s="1"/>
  <c r="W43" i="1" s="1"/>
  <c r="W42" i="1" s="1"/>
  <c r="AA54" i="1"/>
  <c r="AA53" i="1" s="1"/>
  <c r="H40" i="6"/>
  <c r="H39" i="6" s="1"/>
  <c r="AD474" i="1"/>
  <c r="AD92" i="1"/>
  <c r="AD91" i="1" s="1"/>
  <c r="AD88" i="1" s="1"/>
  <c r="AD238" i="1"/>
  <c r="U86" i="1"/>
  <c r="AC86" i="1"/>
  <c r="F124" i="5"/>
  <c r="G123" i="5" s="1"/>
  <c r="AD456" i="1"/>
  <c r="V86" i="1"/>
  <c r="U54" i="1"/>
  <c r="U53" i="1" s="1"/>
  <c r="U43" i="1" s="1"/>
  <c r="U42" i="1" s="1"/>
  <c r="AC54" i="1"/>
  <c r="AC53" i="1" s="1"/>
  <c r="AC43" i="1" s="1"/>
  <c r="AC42" i="1" s="1"/>
  <c r="T86" i="1"/>
  <c r="AB86" i="1"/>
  <c r="AD155" i="1"/>
  <c r="AD158" i="1"/>
  <c r="Q230" i="1"/>
  <c r="AD383" i="1"/>
  <c r="AD62" i="1"/>
  <c r="AD61" i="1" s="1"/>
  <c r="AD60" i="1" s="1"/>
  <c r="Q7" i="1"/>
  <c r="X54" i="1"/>
  <c r="X53" i="1" s="1"/>
  <c r="X43" i="1" s="1"/>
  <c r="X42" i="1" s="1"/>
  <c r="Y54" i="1"/>
  <c r="Y53" i="1" s="1"/>
  <c r="Y43" i="1" s="1"/>
  <c r="Y42" i="1" s="1"/>
  <c r="S54" i="1"/>
  <c r="S53" i="1" s="1"/>
  <c r="S43" i="1" s="1"/>
  <c r="S42" i="1" s="1"/>
  <c r="AD234" i="1"/>
  <c r="AC354" i="1"/>
  <c r="AC330" i="1" s="1"/>
  <c r="AC329" i="1" s="1"/>
  <c r="AC328" i="1" s="1"/>
  <c r="AD386" i="1"/>
  <c r="AC479" i="1"/>
  <c r="R54" i="1"/>
  <c r="R53" i="1" s="1"/>
  <c r="R43" i="1" s="1"/>
  <c r="R42" i="1" s="1"/>
  <c r="F61" i="5"/>
  <c r="G60" i="5" s="1"/>
  <c r="AD138" i="1"/>
  <c r="AD132" i="1" s="1"/>
  <c r="AD131" i="1" s="1"/>
  <c r="Z86" i="1"/>
  <c r="F114" i="5"/>
  <c r="AD374" i="1"/>
  <c r="AD390" i="1"/>
  <c r="H42" i="6"/>
  <c r="AD206" i="1"/>
  <c r="G151" i="6"/>
  <c r="AD332" i="1"/>
  <c r="AC276" i="1" l="1"/>
  <c r="AC275" i="1" s="1"/>
  <c r="AB276" i="1"/>
  <c r="AB275" i="1" s="1"/>
  <c r="X276" i="1"/>
  <c r="X275" i="1" s="1"/>
  <c r="S276" i="1"/>
  <c r="S275" i="1" s="1"/>
  <c r="U276" i="1"/>
  <c r="U275" i="1" s="1"/>
  <c r="Z276" i="1"/>
  <c r="Z275" i="1" s="1"/>
  <c r="R276" i="1"/>
  <c r="R275" i="1" s="1"/>
  <c r="F129" i="6"/>
  <c r="V275" i="1"/>
  <c r="V276" i="1"/>
  <c r="T276" i="1"/>
  <c r="T275" i="1" s="1"/>
  <c r="Y276" i="1"/>
  <c r="Y275" i="1" s="1"/>
  <c r="W275" i="1"/>
  <c r="W276" i="1"/>
  <c r="G135" i="5"/>
  <c r="H134" i="5" s="1"/>
  <c r="F95" i="5"/>
  <c r="G94" i="5" s="1"/>
  <c r="F138" i="6"/>
  <c r="AD331" i="1"/>
  <c r="F141" i="5" s="1"/>
  <c r="H140" i="6"/>
  <c r="H139" i="6" s="1"/>
  <c r="H25" i="5"/>
  <c r="F56" i="5"/>
  <c r="G55" i="5" s="1"/>
  <c r="G86" i="5"/>
  <c r="G9" i="5"/>
  <c r="H8" i="5" s="1"/>
  <c r="I7" i="5" s="1"/>
  <c r="G47" i="6"/>
  <c r="G46" i="6" s="1"/>
  <c r="AD43" i="1"/>
  <c r="AD398" i="1"/>
  <c r="AD397" i="1" s="1"/>
  <c r="AD396" i="1" s="1"/>
  <c r="Q43" i="1"/>
  <c r="Q42" i="1" s="1"/>
  <c r="AD439" i="1"/>
  <c r="AD438" i="1" s="1"/>
  <c r="AD437" i="1" s="1"/>
  <c r="F46" i="5"/>
  <c r="G45" i="5" s="1"/>
  <c r="H44" i="5" s="1"/>
  <c r="U163" i="1"/>
  <c r="H65" i="6"/>
  <c r="Q313" i="1"/>
  <c r="Q275" i="1" s="1"/>
  <c r="AD130" i="1"/>
  <c r="AD129" i="1" s="1"/>
  <c r="AD36" i="1"/>
  <c r="AD35" i="1" s="1"/>
  <c r="I20" i="6" s="1"/>
  <c r="AD165" i="1"/>
  <c r="AD164" i="1" s="1"/>
  <c r="AD223" i="1"/>
  <c r="AD222" i="1" s="1"/>
  <c r="AD221" i="1" s="1"/>
  <c r="F153" i="5"/>
  <c r="G151" i="5" s="1"/>
  <c r="H150" i="5" s="1"/>
  <c r="AD98" i="1"/>
  <c r="AD87" i="1" s="1"/>
  <c r="AD86" i="1" s="1"/>
  <c r="AG87" i="1" s="1"/>
  <c r="H142" i="6"/>
  <c r="H141" i="6" s="1"/>
  <c r="AD473" i="1"/>
  <c r="AD472" i="1" s="1"/>
  <c r="AD471" i="1" s="1"/>
  <c r="G162" i="5"/>
  <c r="F148" i="5"/>
  <c r="G147" i="5" s="1"/>
  <c r="H146" i="5" s="1"/>
  <c r="AD233" i="1"/>
  <c r="AD232" i="1" s="1"/>
  <c r="F127" i="5"/>
  <c r="G125" i="5" s="1"/>
  <c r="AD284" i="1"/>
  <c r="F98" i="5"/>
  <c r="F133" i="5"/>
  <c r="G132" i="5" s="1"/>
  <c r="H129" i="5" s="1"/>
  <c r="G57" i="5"/>
  <c r="AA330" i="1"/>
  <c r="AA329" i="1" s="1"/>
  <c r="AA328" i="1" s="1"/>
  <c r="F91" i="6"/>
  <c r="F90" i="6" s="1"/>
  <c r="AA43" i="1"/>
  <c r="AA42" i="1" s="1"/>
  <c r="AD455" i="1"/>
  <c r="AD454" i="1" s="1"/>
  <c r="AD450" i="1" s="1"/>
  <c r="AD449" i="1" s="1"/>
  <c r="F193" i="6"/>
  <c r="F192" i="6" s="1"/>
  <c r="F191" i="6" s="1"/>
  <c r="F152" i="6"/>
  <c r="F150" i="6" s="1"/>
  <c r="F149" i="6" s="1"/>
  <c r="F148" i="6" s="1"/>
  <c r="U330" i="1"/>
  <c r="U329" i="1" s="1"/>
  <c r="U328" i="1" s="1"/>
  <c r="AD69" i="1"/>
  <c r="AD59" i="1" s="1"/>
  <c r="F112" i="6"/>
  <c r="F111" i="6" s="1"/>
  <c r="F156" i="5"/>
  <c r="G155" i="5" s="1"/>
  <c r="H154" i="5" s="1"/>
  <c r="T163" i="1"/>
  <c r="Z43" i="1"/>
  <c r="Z42" i="1" s="1"/>
  <c r="AD157" i="1"/>
  <c r="AD156" i="1" s="1"/>
  <c r="F176" i="5"/>
  <c r="G175" i="5" s="1"/>
  <c r="H172" i="5" s="1"/>
  <c r="F42" i="5"/>
  <c r="G41" i="5" s="1"/>
  <c r="AD147" i="1"/>
  <c r="AD146" i="1" s="1"/>
  <c r="I37" i="6"/>
  <c r="I36" i="6" s="1"/>
  <c r="H150" i="6"/>
  <c r="H149" i="6" s="1"/>
  <c r="H148" i="6" s="1"/>
  <c r="H60" i="6"/>
  <c r="G150" i="6"/>
  <c r="G149" i="6" s="1"/>
  <c r="G148" i="6" s="1"/>
  <c r="H120" i="6"/>
  <c r="H119" i="6" s="1"/>
  <c r="H118" i="6" s="1"/>
  <c r="G120" i="6"/>
  <c r="G119" i="6" s="1"/>
  <c r="G118" i="6" s="1"/>
  <c r="I33" i="6"/>
  <c r="I32" i="6" s="1"/>
  <c r="F32" i="6"/>
  <c r="I42" i="6"/>
  <c r="I41" i="6" s="1"/>
  <c r="H41" i="6"/>
  <c r="H38" i="6" s="1"/>
  <c r="H22" i="6"/>
  <c r="H21" i="6" s="1"/>
  <c r="H20" i="6" s="1"/>
  <c r="I44" i="6"/>
  <c r="I43" i="6" s="1"/>
  <c r="F43" i="6"/>
  <c r="F38" i="6" s="1"/>
  <c r="F53" i="6"/>
  <c r="F52" i="6" s="1"/>
  <c r="F8" i="6"/>
  <c r="F7" i="6" s="1"/>
  <c r="F6" i="6" s="1"/>
  <c r="I31" i="6"/>
  <c r="I30" i="6" s="1"/>
  <c r="F30" i="6"/>
  <c r="I49" i="6"/>
  <c r="F38" i="5"/>
  <c r="G37" i="5" s="1"/>
  <c r="AB479" i="1"/>
  <c r="AB481" i="1" s="1"/>
  <c r="Y479" i="1"/>
  <c r="J13" i="5"/>
  <c r="G57" i="6"/>
  <c r="G54" i="6" s="1"/>
  <c r="G53" i="6" s="1"/>
  <c r="F85" i="6"/>
  <c r="F84" i="6" s="1"/>
  <c r="F83" i="6" s="1"/>
  <c r="I29" i="6"/>
  <c r="I28" i="6" s="1"/>
  <c r="G72" i="6"/>
  <c r="G71" i="6" s="1"/>
  <c r="G70" i="6" s="1"/>
  <c r="H35" i="6"/>
  <c r="H34" i="6" s="1"/>
  <c r="H27" i="6" s="1"/>
  <c r="Q449" i="1"/>
  <c r="Q479" i="1" s="1"/>
  <c r="Q481" i="1" s="1"/>
  <c r="F182" i="6"/>
  <c r="F181" i="6" s="1"/>
  <c r="F180" i="6" s="1"/>
  <c r="R479" i="1"/>
  <c r="F118" i="6"/>
  <c r="I40" i="6"/>
  <c r="I39" i="6" s="1"/>
  <c r="I48" i="6"/>
  <c r="H145" i="6"/>
  <c r="H144" i="6" s="1"/>
  <c r="H143" i="6" s="1"/>
  <c r="I79" i="6"/>
  <c r="I77" i="6" s="1"/>
  <c r="F75" i="6"/>
  <c r="G35" i="6"/>
  <c r="G34" i="6" s="1"/>
  <c r="G27" i="6" s="1"/>
  <c r="J122" i="6"/>
  <c r="I152" i="6"/>
  <c r="H131" i="6"/>
  <c r="H130" i="6" s="1"/>
  <c r="H129" i="6" s="1"/>
  <c r="J151" i="6"/>
  <c r="H186" i="6"/>
  <c r="H185" i="6" s="1"/>
  <c r="H184" i="6" s="1"/>
  <c r="F122" i="5"/>
  <c r="F74" i="5"/>
  <c r="G73" i="5" s="1"/>
  <c r="H72" i="5" s="1"/>
  <c r="I71" i="5" s="1"/>
  <c r="T479" i="1"/>
  <c r="AA479" i="1"/>
  <c r="AA481" i="1" s="1"/>
  <c r="S479" i="1"/>
  <c r="F107" i="5"/>
  <c r="F40" i="5"/>
  <c r="G39" i="5" s="1"/>
  <c r="F53" i="5"/>
  <c r="G51" i="5" s="1"/>
  <c r="X479" i="1"/>
  <c r="V479" i="1"/>
  <c r="U479" i="1"/>
  <c r="F22" i="5"/>
  <c r="G21" i="5" s="1"/>
  <c r="H20" i="5" s="1"/>
  <c r="W479" i="1"/>
  <c r="Q396" i="1"/>
  <c r="AD203" i="1"/>
  <c r="AD199" i="1" s="1"/>
  <c r="AD198" i="1" s="1"/>
  <c r="AD384" i="1"/>
  <c r="F143" i="5" s="1"/>
  <c r="AD354" i="1"/>
  <c r="AD276" i="1" l="1"/>
  <c r="AD275" i="1" s="1"/>
  <c r="AD42" i="1"/>
  <c r="H85" i="5"/>
  <c r="H138" i="6"/>
  <c r="H50" i="5"/>
  <c r="I49" i="5" s="1"/>
  <c r="AD145" i="1"/>
  <c r="AD144" i="1" s="1"/>
  <c r="I82" i="6" s="1"/>
  <c r="AD330" i="1"/>
  <c r="G191" i="6"/>
  <c r="F181" i="5"/>
  <c r="J178" i="5"/>
  <c r="AD329" i="1"/>
  <c r="AD328" i="1" s="1"/>
  <c r="H36" i="5"/>
  <c r="I24" i="5" s="1"/>
  <c r="AD231" i="1"/>
  <c r="AD230" i="1" s="1"/>
  <c r="M118" i="6" s="1"/>
  <c r="F27" i="6"/>
  <c r="F26" i="6" s="1"/>
  <c r="AD163" i="1"/>
  <c r="AG165" i="1" s="1"/>
  <c r="F80" i="5"/>
  <c r="G79" i="5" s="1"/>
  <c r="I145" i="5"/>
  <c r="H161" i="5"/>
  <c r="I160" i="5" s="1"/>
  <c r="G106" i="5"/>
  <c r="H105" i="5" s="1"/>
  <c r="I104" i="5" s="1"/>
  <c r="I76" i="6"/>
  <c r="I75" i="6" s="1"/>
  <c r="G121" i="5"/>
  <c r="H120" i="5" s="1"/>
  <c r="I119" i="5" s="1"/>
  <c r="I38" i="6"/>
  <c r="F82" i="5"/>
  <c r="G81" i="5" s="1"/>
  <c r="F113" i="5"/>
  <c r="G112" i="5" s="1"/>
  <c r="H111" i="5" s="1"/>
  <c r="I110" i="5" s="1"/>
  <c r="F171" i="5"/>
  <c r="G170" i="5" s="1"/>
  <c r="H167" i="5" s="1"/>
  <c r="I166" i="5" s="1"/>
  <c r="I150" i="6"/>
  <c r="I149" i="6" s="1"/>
  <c r="I148" i="6" s="1"/>
  <c r="J120" i="6"/>
  <c r="J119" i="6" s="1"/>
  <c r="J118" i="6" s="1"/>
  <c r="I47" i="6"/>
  <c r="I46" i="6" s="1"/>
  <c r="G13" i="6"/>
  <c r="I179" i="6"/>
  <c r="F128" i="6"/>
  <c r="J71" i="5"/>
  <c r="J75" i="6"/>
  <c r="J145" i="5"/>
  <c r="G156" i="6"/>
  <c r="H128" i="6"/>
  <c r="J152" i="6"/>
  <c r="H72" i="6"/>
  <c r="H71" i="6" s="1"/>
  <c r="H70" i="6" s="1"/>
  <c r="K122" i="6"/>
  <c r="H57" i="6"/>
  <c r="H54" i="6" s="1"/>
  <c r="H53" i="6" s="1"/>
  <c r="G52" i="6"/>
  <c r="H182" i="6"/>
  <c r="H181" i="6" s="1"/>
  <c r="H180" i="6" s="1"/>
  <c r="H179" i="6" s="1"/>
  <c r="F196" i="6" s="1"/>
  <c r="F179" i="6"/>
  <c r="AC432" i="1"/>
  <c r="J160" i="5"/>
  <c r="I172" i="6"/>
  <c r="J24" i="5"/>
  <c r="K26" i="6"/>
  <c r="J104" i="5"/>
  <c r="G111" i="6"/>
  <c r="I35" i="6"/>
  <c r="I34" i="6" s="1"/>
  <c r="I27" i="6" s="1"/>
  <c r="G26" i="6"/>
  <c r="H26" i="6"/>
  <c r="F82" i="6"/>
  <c r="H85" i="6"/>
  <c r="H84" i="6" s="1"/>
  <c r="X432" i="1"/>
  <c r="F142" i="5"/>
  <c r="G140" i="5" s="1"/>
  <c r="H139" i="5" s="1"/>
  <c r="V432" i="1"/>
  <c r="S432" i="1"/>
  <c r="U432" i="1"/>
  <c r="Y432" i="1"/>
  <c r="R432" i="1"/>
  <c r="Z432" i="1"/>
  <c r="AB432" i="1"/>
  <c r="AB436" i="1" s="1"/>
  <c r="T432" i="1"/>
  <c r="F99" i="5"/>
  <c r="G97" i="5" s="1"/>
  <c r="W432" i="1"/>
  <c r="Q432" i="1"/>
  <c r="I19" i="5"/>
  <c r="J19" i="5"/>
  <c r="J119" i="5" l="1"/>
  <c r="J128" i="6"/>
  <c r="J77" i="5"/>
  <c r="F183" i="5"/>
  <c r="H96" i="5"/>
  <c r="I84" i="5" s="1"/>
  <c r="G158" i="5"/>
  <c r="AD432" i="1"/>
  <c r="K148" i="6"/>
  <c r="H83" i="6"/>
  <c r="H82" i="6" s="1"/>
  <c r="H78" i="5"/>
  <c r="I77" i="5" s="1"/>
  <c r="G180" i="5"/>
  <c r="I138" i="5"/>
  <c r="K120" i="6"/>
  <c r="I26" i="6"/>
  <c r="J150" i="6"/>
  <c r="H52" i="6"/>
  <c r="AA432" i="1"/>
  <c r="AA436" i="1" s="1"/>
  <c r="J166" i="5"/>
  <c r="J110" i="5"/>
  <c r="AD479" i="1"/>
  <c r="AD481" i="1" s="1"/>
  <c r="F158" i="5"/>
  <c r="F185" i="5" s="1"/>
  <c r="J84" i="5"/>
  <c r="G90" i="6"/>
  <c r="J49" i="5"/>
  <c r="I52" i="6"/>
  <c r="J138" i="5"/>
  <c r="AB483" i="1"/>
  <c r="Y483" i="1"/>
  <c r="Y436" i="1"/>
  <c r="X483" i="1"/>
  <c r="X436" i="1"/>
  <c r="W483" i="1"/>
  <c r="W436" i="1"/>
  <c r="Z483" i="1"/>
  <c r="Z436" i="1"/>
  <c r="AC483" i="1"/>
  <c r="R483" i="1"/>
  <c r="R436" i="1"/>
  <c r="S483" i="1"/>
  <c r="S436" i="1"/>
  <c r="U483" i="1"/>
  <c r="U436" i="1"/>
  <c r="V483" i="1"/>
  <c r="Q483" i="1"/>
  <c r="Q436" i="1"/>
  <c r="T483" i="1"/>
  <c r="T436" i="1"/>
  <c r="AC436" i="1"/>
  <c r="I158" i="5" l="1"/>
  <c r="H179" i="5"/>
  <c r="G183" i="5"/>
  <c r="G185" i="5" s="1"/>
  <c r="K119" i="6"/>
  <c r="K118" i="6" s="1"/>
  <c r="J149" i="6"/>
  <c r="J148" i="6" s="1"/>
  <c r="H158" i="5"/>
  <c r="AA483" i="1"/>
  <c r="G169" i="6"/>
  <c r="AG434" i="1"/>
  <c r="G196" i="6"/>
  <c r="J183" i="5"/>
  <c r="AD483" i="1"/>
  <c r="J185" i="5" s="1"/>
  <c r="J158" i="5"/>
  <c r="F169" i="6" l="1"/>
  <c r="F198" i="6" s="1"/>
  <c r="H183" i="5"/>
  <c r="H185" i="5" s="1"/>
  <c r="I178" i="5"/>
  <c r="I183" i="5" s="1"/>
  <c r="I185" i="5" s="1"/>
  <c r="G198" i="6"/>
  <c r="V436" i="1"/>
  <c r="AD434" i="1"/>
  <c r="AD43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DIRPLANEACION02</author>
    <author xml:space="preserve">Maria Lucia </author>
  </authors>
  <commentList>
    <comment ref="O71" authorId="0" shapeId="0" xr:uid="{00000000-0006-0000-0000-000001000000}">
      <text>
        <r>
          <rPr>
            <b/>
            <sz val="9"/>
            <color indexed="81"/>
            <rFont val="Tahoma"/>
            <family val="2"/>
          </rPr>
          <t>Usuario:</t>
        </r>
        <r>
          <rPr>
            <sz val="9"/>
            <color indexed="81"/>
            <rFont val="Tahoma"/>
            <family val="2"/>
          </rPr>
          <t xml:space="preserve">
AÑO 2020 (10) Y EN EL 2021 (50)</t>
        </r>
      </text>
    </comment>
    <comment ref="G141" authorId="0" shapeId="0" xr:uid="{00000000-0006-0000-0000-000002000000}">
      <text>
        <r>
          <rPr>
            <b/>
            <sz val="9"/>
            <color indexed="81"/>
            <rFont val="Tahoma"/>
            <family val="2"/>
          </rPr>
          <t>Usuario:</t>
        </r>
        <r>
          <rPr>
            <sz val="9"/>
            <color indexed="81"/>
            <rFont val="Tahoma"/>
            <family val="2"/>
          </rPr>
          <t xml:space="preserve">
no esta programada para la vigencia 2020</t>
        </r>
      </text>
    </comment>
    <comment ref="V375" authorId="1" shapeId="0" xr:uid="{00000000-0006-0000-0000-000003000000}">
      <text>
        <r>
          <rPr>
            <b/>
            <sz val="9"/>
            <color indexed="81"/>
            <rFont val="Tahoma"/>
            <family val="2"/>
          </rPr>
          <t>DIRPLANEACION02:</t>
        </r>
        <r>
          <rPr>
            <sz val="9"/>
            <color indexed="81"/>
            <rFont val="Tahoma"/>
            <family val="2"/>
          </rPr>
          <t xml:space="preserve">
VERIFICAR FUENTE DE FINANCIACION</t>
        </r>
      </text>
    </comment>
    <comment ref="AG375" authorId="1" shapeId="0" xr:uid="{00000000-0006-0000-0000-000004000000}">
      <text>
        <r>
          <rPr>
            <b/>
            <sz val="9"/>
            <color indexed="81"/>
            <rFont val="Tahoma"/>
            <family val="2"/>
          </rPr>
          <t>DIRPLANEACION02:</t>
        </r>
        <r>
          <rPr>
            <sz val="9"/>
            <color indexed="81"/>
            <rFont val="Tahoma"/>
            <family val="2"/>
          </rPr>
          <t xml:space="preserve">
VERIFICAR FUENTE DE FINANCIACION</t>
        </r>
      </text>
    </comment>
    <comment ref="M469" authorId="2" shapeId="0" xr:uid="{00000000-0006-0000-0000-000005000000}">
      <text>
        <r>
          <rPr>
            <b/>
            <sz val="9"/>
            <color indexed="81"/>
            <rFont val="Tahoma"/>
            <family val="2"/>
          </rPr>
          <t>Maria Lucia :</t>
        </r>
        <r>
          <rPr>
            <sz val="9"/>
            <color indexed="81"/>
            <rFont val="Tahoma"/>
            <family val="2"/>
          </rPr>
          <t xml:space="preserve">
NO ESTA EN PLAN INDICATIVO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tc={135041B5-1C87-4349-9E25-81691D86D7B3}</author>
  </authors>
  <commentList>
    <comment ref="AD35" authorId="0" shapeId="0" xr:uid="{00000000-0006-0000-0600-000001000000}">
      <text>
        <r>
          <rPr>
            <b/>
            <sz val="9"/>
            <color indexed="81"/>
            <rFont val="Tahoma"/>
            <family val="2"/>
          </rPr>
          <t>Usuario:</t>
        </r>
        <r>
          <rPr>
            <sz val="9"/>
            <color indexed="81"/>
            <rFont val="Tahoma"/>
            <family val="2"/>
          </rPr>
          <t xml:space="preserve">
AÑO 2020 (10) Y EN EL 2021 (50)</t>
        </r>
      </text>
    </comment>
    <comment ref="T36" authorId="0" shapeId="0" xr:uid="{00000000-0006-0000-0600-000002000000}">
      <text>
        <r>
          <rPr>
            <b/>
            <sz val="9"/>
            <color indexed="81"/>
            <rFont val="Tahoma"/>
            <family val="2"/>
          </rPr>
          <t>Usuario:</t>
        </r>
        <r>
          <rPr>
            <sz val="9"/>
            <color indexed="81"/>
            <rFont val="Tahoma"/>
            <family val="2"/>
          </rPr>
          <t xml:space="preserve">
AÑO 2020 (10) Y EN EL 2021 (50)</t>
        </r>
      </text>
    </comment>
    <comment ref="AD36" authorId="0" shapeId="0" xr:uid="{00000000-0006-0000-0600-000003000000}">
      <text>
        <r>
          <rPr>
            <b/>
            <sz val="9"/>
            <color indexed="81"/>
            <rFont val="Tahoma"/>
            <family val="2"/>
          </rPr>
          <t>Usuario:</t>
        </r>
        <r>
          <rPr>
            <sz val="9"/>
            <color indexed="81"/>
            <rFont val="Tahoma"/>
            <family val="2"/>
          </rPr>
          <t xml:space="preserve">
AÑO 2020 (10) Y EN EL 2021 (50)</t>
        </r>
      </text>
    </comment>
    <comment ref="H443" authorId="1" shapeId="0" xr:uid="{00000000-0006-0000-0600-00000400000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TRANSFERENCIA DE RECURSOS</t>
        </r>
      </text>
    </comment>
  </commentList>
</comments>
</file>

<file path=xl/sharedStrings.xml><?xml version="1.0" encoding="utf-8"?>
<sst xmlns="http://schemas.openxmlformats.org/spreadsheetml/2006/main" count="11061" uniqueCount="2345">
  <si>
    <t>PLAN OPERATIVO ANUAL DE INVERSIÓN  ARMONIZACION PLAN DE DESARROLLO 2020-2023 "TÚ Y YO SOMOS QUINDIO "</t>
  </si>
  <si>
    <t xml:space="preserve">CODIGO:  </t>
  </si>
  <si>
    <t>F-PLA-42</t>
  </si>
  <si>
    <t xml:space="preserve">VERSIÓN: </t>
  </si>
  <si>
    <t xml:space="preserve">FECHA: </t>
  </si>
  <si>
    <t>Julio 30 de 2020</t>
  </si>
  <si>
    <t>PÁGINA:</t>
  </si>
  <si>
    <t>1 de 1</t>
  </si>
  <si>
    <t>UNIDAD EJECUTORA</t>
  </si>
  <si>
    <t>LÍNEA ESTRATÉGICA</t>
  </si>
  <si>
    <t>CÓDIGO DEL PROGRAMA KPT</t>
  </si>
  <si>
    <t>PROGRAMA</t>
  </si>
  <si>
    <t>INDICADOR DE RESULTADO Y/O BIENESTAR</t>
  </si>
  <si>
    <t>CODIGO DEL PRODUCTO KPT</t>
  </si>
  <si>
    <t>META PRODUCTO</t>
  </si>
  <si>
    <t>CÓDIGO INDICADOR PRODUCTO KPT</t>
  </si>
  <si>
    <t>INDICADOR DEL PRODUCTO</t>
  </si>
  <si>
    <t>TIPO DE META I/M/R</t>
  </si>
  <si>
    <t>META 2021</t>
  </si>
  <si>
    <t>CÓDIGO BPIN</t>
  </si>
  <si>
    <t>NOMBRE DEL PROYECTO</t>
  </si>
  <si>
    <t>OBJETIVO DEL PROYECTO</t>
  </si>
  <si>
    <t xml:space="preserve">ESTAMPILLAS 
PRO - CULTURA
PRO - ADULTO MAYOR
PRO - DESARROLLO
 </t>
  </si>
  <si>
    <t xml:space="preserve">CONTRIBUCION ESPECIAL
(FONDO DE SEGURIDAD 5%) 
 </t>
  </si>
  <si>
    <t xml:space="preserve">SOBRETASA AL ACPM  
</t>
  </si>
  <si>
    <t xml:space="preserve">MONOPOLIO EDUCACIÓN  51% DESTINACION ESPECIFICA
 </t>
  </si>
  <si>
    <t xml:space="preserve">SGP SALÚD PUBLICA - PRESTACIÓN DE SERVICIOS
 </t>
  </si>
  <si>
    <t>FONDO LOCAL DE SALUD  - MONOPOLIO RENTAS CEDIDAS -LOTERIAS-RIFAS-PREMIO</t>
  </si>
  <si>
    <t xml:space="preserve">SGP PRESTACIÓN DE SERVICIOS - EDUCACIÓN  - Y CONECTIVIDAD
</t>
  </si>
  <si>
    <t>SGP APORTES PATRONALES - CANCELACIÓN DE PRESTACIONES SOCIALES -EDUCACIÓN</t>
  </si>
  <si>
    <t xml:space="preserve">FONDO DE EDUCACION,  PAE, CONVENIO MEN 
</t>
  </si>
  <si>
    <t xml:space="preserve">SGP AGUA POTABLE Y SANEAMIENTO BÁSICO
</t>
  </si>
  <si>
    <t xml:space="preserve">RECURSO ORDINARIO
</t>
  </si>
  <si>
    <t xml:space="preserve">OTROS (IVA TELEFONIA MÓVIL  - REGISTRO - LEY 1816 (3% MONOPOLIO LICORES) (DEPORTES) EXTRACCION MATERIAL RIO  </t>
  </si>
  <si>
    <t>NACIÓN  - COFINANCIACIÓN
CONV ANTICONTRABANDO</t>
  </si>
  <si>
    <t xml:space="preserve">TOTAL
</t>
  </si>
  <si>
    <t>DEPENDENCIA</t>
  </si>
  <si>
    <t>RESPONSABLE</t>
  </si>
  <si>
    <t xml:space="preserve">304 -SECRETARÍA ADMINISTRATIVA </t>
  </si>
  <si>
    <t xml:space="preserve">LIDERAZGO, GOBERNABILIDAD Y TRANSPARENCIA </t>
  </si>
  <si>
    <t>Fortalecimiento de la Gestión  y Desempeño Institucional. "Quindío con una administración al servicio de la ciudadanía "</t>
  </si>
  <si>
    <t xml:space="preserve"> </t>
  </si>
  <si>
    <t>Índice de Gestión del Modelo Integrado de Planeación y de Gestión MIPG  de la Administración Departamental</t>
  </si>
  <si>
    <t>Implementación de  las Dimensiones y Políticas  del Modelo Integrado de Planeación y de Gestión MIPG</t>
  </si>
  <si>
    <t>Número de Dimensiones y Políticas   de MIPG implementadas.</t>
  </si>
  <si>
    <t>M</t>
  </si>
  <si>
    <t>202000363-0006</t>
  </si>
  <si>
    <t>Implementación del Modelo Integrado de Planeación y de Gestión MIPG  de la Administración Departamental del Quindío (Dimensiones  de Talento humano,  Información y Comunicación y Gestión del Conocimiento).</t>
  </si>
  <si>
    <t xml:space="preserve">Incrementar del Índice de Gestión y Desempeño de la Administración Departamental,  a través del fortalecimiento de las  capacidades institucionales de la Secretaría Administrativa conforme al alcance del Modelo Integrado de Planeación y Gestión, generando condiciones de gobernanza territorial eficiente y transparente </t>
  </si>
  <si>
    <t>Secretaria Administrativa</t>
  </si>
  <si>
    <t>Estrategias  de actualización, depuración, seguimiento y evaluación de las bases de datos  del Pasivo Pensional  de la Administración Departamental.</t>
  </si>
  <si>
    <t>Estrategias  de actualización, depuración, seguimiento y evaluación de las bases de datos  del Pasivo Pensional  de la Administración Departamental</t>
  </si>
  <si>
    <t>202000363-0007</t>
  </si>
  <si>
    <t xml:space="preserve">Actualización, depuración, seguimiento y evaluación del Pasivo Pensional de la Administración Departamental del Quindío </t>
  </si>
  <si>
    <t xml:space="preserve">Incrementar en Índice de Gestión y Desempeño  de la Administración Departamental ,  a Implementar los procesos y procedimientos de depuración de los expedientes administrativos pensionales, que permitan la determinación de cuotas partes pensionales, bonos pensionales y otros, con el fin de contar con información depurada y real. </t>
  </si>
  <si>
    <t xml:space="preserve">Proceso de modernización administrativa, incluido en  estudio de la viabilidad de creación de la Oficina de la Felicidad. </t>
  </si>
  <si>
    <t>Proceso de modernización administrativa implementada</t>
  </si>
  <si>
    <t>I</t>
  </si>
  <si>
    <t>202000363-0041</t>
  </si>
  <si>
    <t xml:space="preserve">Implementación de un programa de modernización  de la gestión Administrativa  de la Administración Departamental del Quindío. "TÚ y YO SOMOS QUINDÍO" </t>
  </si>
  <si>
    <t>Incrementar  Índice de Gestión y Desempeño de la Administración Departamental a través del proceso de modernización administrativa, contemplando una estructura orgánica qué corresponda a las competencias del territorio, la habilitación de la oficina para los alcaldes en la gobernación y la Casa Delegada en la ciudad de Bogotá, la  creación de la oficina de la Felicidad; con el propósito de mejorar la gestión de la administración departamental .</t>
  </si>
  <si>
    <t>Participación ciudadana y política y respeto por los derechos humanos y diversidad de creencias. "Quindío integrado y participativo"</t>
  </si>
  <si>
    <t>Porcentaje promedio  de participación de ciudadanos en los eventos de elección popular.</t>
  </si>
  <si>
    <t>Documentos de planeación</t>
  </si>
  <si>
    <t>Implementación del Plan de Acción del Sistema Departamental de Servicio a la Ciudadanía SDSC</t>
  </si>
  <si>
    <t xml:space="preserve">Plan de Acción del Sistema Departamental de Servicio a la Ciudadanía SDSC implementado. </t>
  </si>
  <si>
    <t>202000363-0005</t>
  </si>
  <si>
    <t xml:space="preserve">Implementación del Sistema Departamental de Servicio a la Ciudadanía SDSC   en la Administración Departamental. </t>
  </si>
  <si>
    <t>Aumentar en porcentaje promedio  de participación de ciudadanos en los eventos de elección popular través del desarrollo de  actividades qué permitan la interacción de la Comunidad y Estado, facilitando el acceso de los servicios qué oferta la Administración Departamental.</t>
  </si>
  <si>
    <t xml:space="preserve">305 SECRETARÍA DE PLANEACIÓN </t>
  </si>
  <si>
    <t>Porcentaje promedio  de participación de ciudadanos en los eventos de elección popular</t>
  </si>
  <si>
    <t>Servicio de promoción a la participación ciudadana</t>
  </si>
  <si>
    <t>Fortalecimiento técnico y logístico del  Consejo Territorial de Planeación Departamental, como representantes de la sociedad civil en la planeación  del desarrollo integral  de la entidad territorial</t>
  </si>
  <si>
    <t xml:space="preserve">Consejo Territorial de Planeación Departamental fortalecido.   </t>
  </si>
  <si>
    <t>202000363-0042</t>
  </si>
  <si>
    <t xml:space="preserve">Fortalecimiento  Consejo Territorial de Planeación del Departamento del Quindío. "TÚ y YO SOMOS QUINDIO" </t>
  </si>
  <si>
    <t>Incrementar la  participación de ciudadanos en los eventos de elección popular,  a través de los procesos de apoyo técnico y logístico al Consejo Territorial de Planeación Departamental, de conformidad con lo preceptuado en la Ley 152 de 1994.</t>
  </si>
  <si>
    <t xml:space="preserve">Secretaría de Planeación </t>
  </si>
  <si>
    <t>José Ignacio Rojas Sepulveda</t>
  </si>
  <si>
    <t>Eventos de Rendición Pública de Cuentas qué divulgan la gestión administrativa.</t>
  </si>
  <si>
    <t xml:space="preserve">Eventos de Rendición Públicas de Cuentas realizados. </t>
  </si>
  <si>
    <t>202000363-0043</t>
  </si>
  <si>
    <t xml:space="preserve"> Implementación  de eventos de Rendición Pública de Cuentas  de divulgación de gestión  de la Administración Departamental  "TU Y YO SOMOS QUINDIO" </t>
  </si>
  <si>
    <t>Incrementar la  participación de ciudadanos en los eventos de elección popular, a través  de la realización de la  Rendición Pública de Cuentas, con el propósito de generar un espacio de interlocución entre la sociedad civil y/o organizada.</t>
  </si>
  <si>
    <t>Fortalecimiento de la Gestión  y Desempeño Institucional. "Quindío con una administración al servicio de la ciudadanía"</t>
  </si>
  <si>
    <t>Documentos de lineamientos técnicos</t>
  </si>
  <si>
    <t>Instrumentos de planificación para en ordenamiento y la gestión territorial departamental (Plan de Desarrollo Departamental PDD, Ordenamiento Territorial, Sistema de Información Geográfica, Mecanismos de Integración, Catastro multipropósito etc.).</t>
  </si>
  <si>
    <t xml:space="preserve">Instrumentos de planificación de ordenamiento y gestión territorial departamental implementados. </t>
  </si>
  <si>
    <t>202000363-0044</t>
  </si>
  <si>
    <t xml:space="preserve"> Implementación   de instrumentos de planificación para  en  Ordenamiento y la Gestión Territorial Departamental del Quindío  "TU Y YO SOMOS QUINDIO" </t>
  </si>
  <si>
    <t>Incrementar en  Índice de Gestión y Desempeño de la  Administración Departamental a través de la Implementación de los  instrumentos de planificación para en ordenamiento y la gestión territorial departamental (Plan de Desarrollo Departamental PDD, Ordenamiento Territorial, Sistema de Información Geográfica, mecanismos de integración, catastro multipropósito etc.) para orientar  los gastos de inversión  de acuerdo al Ordenamiento  Territorial.</t>
  </si>
  <si>
    <t>Observatorio económico del departamento, con procesos de fortalecimiento</t>
  </si>
  <si>
    <t>Observatorio económico del Departamento del Quindío actualizado y dotado.</t>
  </si>
  <si>
    <t>202000363-0045</t>
  </si>
  <si>
    <t xml:space="preserve">  Implementación del Observatorio Económico  de la Administración Departamental del Quindío "TU Y YO SOMOS QUINDIO"</t>
  </si>
  <si>
    <t>Incrementar en  Índice de Gestión y Desempeño de la  Administración Departamental,  a través  de la implementación del  Observatorio Económico, con el objeto de proveer información  para la toma decisiones, facilitar en   seguimiento y monitoreo de dinámicas económicas y sociales del departamento.</t>
  </si>
  <si>
    <t>Banco de Programas y Proyectos del Departamento  con procesos de fortalecimiento.</t>
  </si>
  <si>
    <t>Banco de Programas y Proyectos del Departamento fortalecido</t>
  </si>
  <si>
    <t>202000363-0046</t>
  </si>
  <si>
    <t>Fortalecimiento del Banco de Programas y Proyectos de la administración departamental  "TÚ Y YO SOMOS QUINDIO"</t>
  </si>
  <si>
    <t>Incrementar en  Índice de Gestión y Desempeño de la  Administración Departamental, a través de  procesos de fortalecimiento del Banco de Programas y Proyectos, con el propósito de generar una mayor inversión social, qué impacte de manera positiva en las problemáticas socioeconómicas de la comunidad quindiana.</t>
  </si>
  <si>
    <t>Índice de Gestión del Modelo Integrado de Planeación y de Gestión MIPG   Departamental (Entes Territoriales Municipales)</t>
  </si>
  <si>
    <t>Servicio de asistencia técnica</t>
  </si>
  <si>
    <t xml:space="preserve">Entes territoriales  con servicio de asistencia técnica de los Instrumentos de Planificación para  en Ordenamiento y la Gestión Territorial departamental. </t>
  </si>
  <si>
    <t>Entes territoriales con procesos de asistencia técnica realizadas.</t>
  </si>
  <si>
    <t>202000363-0047</t>
  </si>
  <si>
    <t>Asistencia Técnica  en  Instrumentos de Planificación y gestión  territorial en los  municipios del Departamento del  Quindío.</t>
  </si>
  <si>
    <t>Incrementar en  Índice de Gestión y Desempeño de la  Administración Departamental,  a través de procesos de  asistencia técnica a los entes territoriales Municipales  en Instrumentos de Planificación  y  Gestión Territorial.</t>
  </si>
  <si>
    <t>Entidades territoriales asistidas técnicamente</t>
  </si>
  <si>
    <t>Entes territoriales con servicio de asistencia  técnica del Modelo Integrado de Planeación y de Gestión MIPG</t>
  </si>
  <si>
    <t>Entes Territoriales con procesos de asistencia técnica realizadas.</t>
  </si>
  <si>
    <t>Entes territoriales  con servicio de asistencia técnica en la Medición del Desempeño Municipal.</t>
  </si>
  <si>
    <t xml:space="preserve">Entes territoriales  con servicio de asistencia técnica en el Sistema de Identificación de Potenciales Beneficiarios de Programas Sociales (SISBEN). </t>
  </si>
  <si>
    <t>Instancias territoriales asistidas</t>
  </si>
  <si>
    <t>Entes territoriales con servicio de asistencia técnica en la formulación, preparación, seguimiento y evaluación de las políticas públicas.</t>
  </si>
  <si>
    <t xml:space="preserve">Entes territoriales  con servicio de asistencia técnica en Banco de Programas y Proyectos de Inversión Nacional (BPIN).  </t>
  </si>
  <si>
    <t>202000363-0008</t>
  </si>
  <si>
    <t xml:space="preserve"> Implementación  del Modelo Integrado de Planeación y de Gestión MIPG en la Administración Departamental del   Quindío</t>
  </si>
  <si>
    <t xml:space="preserve"> Aumentar en Índice de Gestión y Desempeño de la Administración Departamental considerando las dimensiones y políticas qué conforman en Modelo Integrado de Gestión y Desempeño </t>
  </si>
  <si>
    <t>307 SECREATRÍA DE HACIENDA</t>
  </si>
  <si>
    <t>Índice de Desempeño Fiscal Administración Departamental</t>
  </si>
  <si>
    <t>Estrategia para el mejoramiento del Índice de Desempeño Fiscal en la Administración Departamental.</t>
  </si>
  <si>
    <t>Estrategia  de fortalecimiento  del Índice de Desempeño  Fiscal implementadas.</t>
  </si>
  <si>
    <t>202000363-0048</t>
  </si>
  <si>
    <t>Implementación de estrategias de fortalecimiento del desempeño fiscal de la Administración departamental del Quindío</t>
  </si>
  <si>
    <t>Incrementar en Índice de Desempeño Fiscal de la Administración Departamental, a través de estrategias de autofinanciación de los gastos de funcionamiento, respaldo del servicio y mejoramiento de la deuda,  transferencias de la nación , generación de recursos propios, magnitud de la inversión y capacidad de ahorro, con el propósito de generar una mayor inversión social.</t>
  </si>
  <si>
    <t>Secretaría de Hacienda</t>
  </si>
  <si>
    <t>Maria Aleyda  Marin</t>
  </si>
  <si>
    <t xml:space="preserve">Programa para en cumplimiento de las políticas y prácticas contables para la administración departamental         </t>
  </si>
  <si>
    <t>Programa para en cumplimiento de las políticas y prácticas contables implementado</t>
  </si>
  <si>
    <t>202000363-0049</t>
  </si>
  <si>
    <t xml:space="preserve">Implementación  de  un programa para en cumplimiento de las políticas y prácticas contables de la administración departamental    del Quindío.    </t>
  </si>
  <si>
    <t>Incrementar en Índice de Desempeño Fiscal de la Administración Departamental,   a través de la implementación del programa para en cumplimiento de las políticas y prácticas contables para la administración departamental,  encaminado a la  generación de información  veraz, confiable y razonable.</t>
  </si>
  <si>
    <t xml:space="preserve">308 SECRETARÍA DE AGUAS E INFRAESTRUCTURA </t>
  </si>
  <si>
    <t xml:space="preserve">INCLUSIÓN SOCIAL Y EQUIDAD </t>
  </si>
  <si>
    <t>Promoción al acceso a la justicia. "Tú y yo con justicia"</t>
  </si>
  <si>
    <t>Tasa de homicidio por cada 100.000 habitantes
Tasa de hurto a personas  por cada 100.000 habitantes
Tasa de hurto a residencias por cada 100.000 habitantes
Tasa de hurto a comercio por cada 100.000 habitantes
Tasa de violencia intrafamiliar x cada 100.000 habitantes
Tasa  de delitos sexuales x 100.000 habitantes</t>
  </si>
  <si>
    <t>DNP</t>
  </si>
  <si>
    <t>Infraestructura de las Instituciones de Seguridad del Estado con procesos constructivos, y/o mejorados, y/o ampliados, y/o mantenidos, y/o reforzados</t>
  </si>
  <si>
    <t>Infraestructura de las Instituciones de Seguridad del Estado construida, mejorada, ampliada, mantenida, y/o reforzada</t>
  </si>
  <si>
    <t>202000363-0017</t>
  </si>
  <si>
    <t>Mantenimiento de las instituciones públicas y/o de seguridad y  justicia  del estado en el Departamento Quindío</t>
  </si>
  <si>
    <t>Mantener y/o reforzar  las Instituciones de seguridad del departamento del Quindío, con el propósito de  brindar a la  comunidad mejores condiciones de equidad y justicia.</t>
  </si>
  <si>
    <t xml:space="preserve">Secretaria de Aguas e Infraestructura </t>
  </si>
  <si>
    <t xml:space="preserve">Jhon Jaber Castro Mancera </t>
  </si>
  <si>
    <t>Prestación de servicios de salud. "Tú y yo con servicios de salud"</t>
  </si>
  <si>
    <t>Índice Departamental de Competitividad</t>
  </si>
  <si>
    <t xml:space="preserve">Infraestructura hospitalaria con procesos constructivos, mejorados, ampliados, mantenidos, y/o reforzados </t>
  </si>
  <si>
    <t>Infraestructura hospitalaria con procesos constructivos, mejorados, ampliados, mantenidos, y/o reforzados realizados</t>
  </si>
  <si>
    <t>202000363-0018</t>
  </si>
  <si>
    <t>Mejoramiento de la infraestructura física de las instituciones de salud pública y bienestar social del departamento del Quindío</t>
  </si>
  <si>
    <t>Mejorar la infraestructura hospitalaria del Departamento del Quindío, con el propósito de optimización de la prestación del servicio y en acceso incluyente y equitativo a la oferta de servicios del Estado.</t>
  </si>
  <si>
    <t>Calidad, cobertura y fortalecimiento de la educación inicial, prescolar, básica y media." Tú y yo con educación y de calidad"</t>
  </si>
  <si>
    <t>Tasa de cobertura bruta en transición
Tasa de cobertura bruta en educación básica
Tasa de cobertura en educación media
Tasa de deserción escolar intra-anual</t>
  </si>
  <si>
    <t>Infraestructura de Instituciones Educativas con procesos constructivos, mejorados, ampliados, mantenidos, y/o reforzados.</t>
  </si>
  <si>
    <t>Infraestructura de Instituciones Educativas construida, mejorada, ampliada, mantenida, y/o reforzada.</t>
  </si>
  <si>
    <t>202000363-0050</t>
  </si>
  <si>
    <t xml:space="preserve">Construcción, mantenimiento, mejoramiento y/o rehabilitación de  la infraestructura  Educativa  del Departamento del Quindío. </t>
  </si>
  <si>
    <t xml:space="preserve"> Construir, mantener, mejorar y/o rehabilitar la infraestructura educativa, con el propósito de garantizar  la permanencia y calidad  de la prestación  del servicio educativo en Departamento del Quindío.  </t>
  </si>
  <si>
    <t>Promoción y acceso efectivo a procesos culturales y artísticos. "Tú y yo somos cultura Quindiana"</t>
  </si>
  <si>
    <t>Tasa de participación en procesos y actividades artísticas y culturales.
Tasa de consumo de sustancias sicoactivas por 100.000 habitantes en el departamento del Quindío.</t>
  </si>
  <si>
    <t>3301068</t>
  </si>
  <si>
    <t>Servicio de mantenimiento de infraestructura cultural</t>
  </si>
  <si>
    <t>330106800</t>
  </si>
  <si>
    <t>Infraestructura cultural intervenida</t>
  </si>
  <si>
    <t>202000363-0051</t>
  </si>
  <si>
    <t xml:space="preserve"> Mantenimiento de la infraestructura cultural del departamento del Quindío  </t>
  </si>
  <si>
    <t xml:space="preserve"> Realizar mantenimiento de la  infraestructura cultural, para fortalecer los espacios de los artistas y gestores culturales dedicados a la creación, promoción y divulgación de actividades en el Departamento del Quindío.</t>
  </si>
  <si>
    <t>Fomento a la recreación, la actividad física y en deporte. "Tú y yo en la recreación y en deporte"</t>
  </si>
  <si>
    <t>Cobertura de municipios qué participan en programas de recreación, actividad física y deporte social y comunitario en el Departamento del Quindío.
Cobertura de ligas apoyadas en el departamento del Quindío.
Porcentaje de medallería del departamento del Quindío en los Juegos Nacionales.</t>
  </si>
  <si>
    <t xml:space="preserve">Infraestructura  deportiva y/o recreativa con procesos   constructivos ,  y/o mejorados, y/o ampliados, y/o mantenidos, y/o  reforzados </t>
  </si>
  <si>
    <t xml:space="preserve">Infraestructura   deportiva y/o recreativa construida y/o mejorada, y/o ampliada, y/o mantenida, y/o  reforzada </t>
  </si>
  <si>
    <t>202000363-0052</t>
  </si>
  <si>
    <t xml:space="preserve">Construcción, mantenimiento, mejoramiento y/o rehabilitación de  obras físicas de infraestructura deportiva y recreativa en el Departamento del Quindío  </t>
  </si>
  <si>
    <t>Construcción, mantener, mejorar y/o rehabilitar obras físicas de infraestructura deportiva y recreativa en el Departamento del Quindío con el propósito de generar espacios para la utilización del tiempo libre.</t>
  </si>
  <si>
    <t xml:space="preserve">TERRITORIO, AMBIENTE Y DESARROLLO SOSTENIBLE </t>
  </si>
  <si>
    <t>Infraestructura red vial regional. "Tú y yo con movilidad vial"</t>
  </si>
  <si>
    <t xml:space="preserve">Índice de competitividad  en el sector de infraestructura vial </t>
  </si>
  <si>
    <t>Infraestructura  en  puentes  con procesos  de construcción, mejoramiento, ampliación, mantenimiento y/o reforzamiento</t>
  </si>
  <si>
    <t>Infraestructura en puentes construida, mejorada, ampliada, mantenida y/o reforzada</t>
  </si>
  <si>
    <t>Transporte</t>
  </si>
  <si>
    <t>202000363-0053</t>
  </si>
  <si>
    <t>Mantenimiento, mejoramiento, rehabilitación y/o atención las vías  para  garantizar  la movilidad y competitividad del departamento del Quindío.</t>
  </si>
  <si>
    <t>Construir, mejorar y mantener la comunicación vehicular entre los municipios del departamento y en sector rural mediante la disposición de una infraestructura vial adecuada, mediante programas de mantenimiento y/o mejoramiento de las vías construidas y sus obras complementarias, garantizando condiciones de eficiencia, seguridad y confort a los usuarios. Para estos efectos se podrá implementar mecanismos de carácter social como “Las Camineras”, qué desde la población local contribuyan al mantenimiento vial.</t>
  </si>
  <si>
    <t>Infraestructura   vial  con procesos  de construcción, mejoramiento, ampliación, mantenimiento y/o  reforzamiento.</t>
  </si>
  <si>
    <t xml:space="preserve">Infraestructura  vial    construida, mejorada, ampliada,  mantenida, y/o  reforzada </t>
  </si>
  <si>
    <t>Estudios y diseños de infraestructura vial</t>
  </si>
  <si>
    <t>Estudios y diseños de infraestructura vial elaborado.</t>
  </si>
  <si>
    <t>202000363-0054</t>
  </si>
  <si>
    <t xml:space="preserve"> Elaboración estudios y diseños de Infraestructura vial en el Departamento de Quindío </t>
  </si>
  <si>
    <t>Realizar  estudios de pre inversión de infraestructura vial,  con el objeto de gestionar  recursos de inversión   para  la  optimización de la red vial, reducción de costos de operación y  mejoramiento de la calidad de vida se los  habitantes del  departamento del Quindío,</t>
  </si>
  <si>
    <t>Ordenamiento Ambiental Territorial. "Tú y yo planificamos con sentido ambiental"</t>
  </si>
  <si>
    <t xml:space="preserve">Porcentaje de Ecosistemas protegidos y/o en procesos de restauración en el Departamento </t>
  </si>
  <si>
    <t>Obras para estabilización de taludes</t>
  </si>
  <si>
    <t>320501000</t>
  </si>
  <si>
    <t>Obras para estabilización de taludes realizadas</t>
  </si>
  <si>
    <t>202000363-0055</t>
  </si>
  <si>
    <t>Construcción , mantenimiento y/o mejoramiento de obras  de estabilización de Taludes en el Departamento del Quindío</t>
  </si>
  <si>
    <t xml:space="preserve">Construir, mantener y/o mejorar de obras de infraestructura para la  estabilización de taludes qué presenten problemas de deslizamiento, con el propósito de establecer medidas de prevención y control para reducir los niveles de amenaza y riesgo. </t>
  </si>
  <si>
    <t>Cobertura  de municipios del departamento del Quindío  atendidos con estudios y/o construcción de obras   para mitigación y atención a desastres realizadas.</t>
  </si>
  <si>
    <t>Obras de infraestructura para mitigación y atención a desastres</t>
  </si>
  <si>
    <t xml:space="preserve">Obras de infraestructura para mitigación y atención a desastres realizadas </t>
  </si>
  <si>
    <t>202000363-0056</t>
  </si>
  <si>
    <t xml:space="preserve"> Construcción, mantenimiento y/o mejoramiento de obras de infraestructura  para la mitigación y atención de desastres en los municipios del departamento del Quindío </t>
  </si>
  <si>
    <t xml:space="preserve"> Construir, mantener y/o mejorar  obras de infraestructura para la  mitigación y atención de desastres en los municipios del departamento del Quindío, con el propósito de evitar pérdidas de vidas humanas, servicios, infraestructura y económicas, </t>
  </si>
  <si>
    <t>Acceso a soluciones de vivienda. "Tú y yo con vivienda digna"</t>
  </si>
  <si>
    <t>Déficit cualitativo de viviendas por hogares</t>
  </si>
  <si>
    <t>Viviendas de interés social urbanas mejoradas</t>
  </si>
  <si>
    <t>400101500</t>
  </si>
  <si>
    <t>Viviendas de Interés Social urbanas mejoradas</t>
  </si>
  <si>
    <t>Vivienda</t>
  </si>
  <si>
    <t>202000363-0057</t>
  </si>
  <si>
    <t xml:space="preserve">Mejoramiento de Vivienda de Interés Social en el Departamento del Quindío </t>
  </si>
  <si>
    <t>Mejoramiento  de  vivienda de interés social VIS, con el propósito de reducir el déficit cualitativo de vivienda en el departamento, permitiendo  mejorar las condiciones de  calidad de vida de los quindianos.</t>
  </si>
  <si>
    <t>Acceso de la población a los servicios de agua potable y saneamiento básico. "Tú y yo con calidad del agua"</t>
  </si>
  <si>
    <t xml:space="preserve">Cobertura de acueducto
Cobertura  de alcantarillado </t>
  </si>
  <si>
    <t>Documentos de planeación elaborados</t>
  </si>
  <si>
    <t xml:space="preserve">Adoptar e implementar la Política Pública de Producción Consumo Sostenible y Gestión Integral de Aseo  </t>
  </si>
  <si>
    <t>Política Pública de Producción Consumo Sostenible y Gestión Integral de Aseo  adoptada e implementada.</t>
  </si>
  <si>
    <t>202000363-0014</t>
  </si>
  <si>
    <t xml:space="preserve"> Implementación del plan departamental para el manejo empresarial de los servicios de agua y saneamiento básico en el Departamento del Quindío  </t>
  </si>
  <si>
    <t xml:space="preserve"> Implementar estrategias de Implementar estrategias de planeación y coordinación interinstitucional para el manejo de los esquemas de abastecimiento y prestación de los servicios de agua y saneamiento urbanos y rurales  planeación y coordinación interinstitucional para el manejo de los esquemas de abastecimiento y prestación de los servicios de agua y saneamiento urbanos y rurales </t>
  </si>
  <si>
    <t xml:space="preserve">Cobertura  de alcantarillado </t>
  </si>
  <si>
    <t>Alcantarillados construidos</t>
  </si>
  <si>
    <t>Plantas de tratamiento de aguas residuales  construidas</t>
  </si>
  <si>
    <t>Servicios de apoyo financiero para la ejecución de proyectos de acueductos y alcantarillado</t>
  </si>
  <si>
    <t>Proyectos de acueducto y alcantarillado en área urbana financiados</t>
  </si>
  <si>
    <t>Servicios de educación informal en agua potable y saneamiento básico</t>
  </si>
  <si>
    <t>Eventos de educación informal en agua y saneamiento básico realizados</t>
  </si>
  <si>
    <t>Estudios de pre inversión e inversión</t>
  </si>
  <si>
    <t xml:space="preserve">Estudios o diseños realizados </t>
  </si>
  <si>
    <t>4003026</t>
  </si>
  <si>
    <t>Servicios de apoyo financiero para la ejecución de proyectos de acueductos y de manejo de aguas residuales</t>
  </si>
  <si>
    <t>Proyectos de acueducto y de manejo de aguas residuales en área rural financiados</t>
  </si>
  <si>
    <t>4599016</t>
  </si>
  <si>
    <t>Infraestructura institucional o  de edificios públicos de atención  de servicios ciudadanos con procesos constructivos y/o mejorados, y/o ampliados, y/o mantenidos, y/o  reforzados</t>
  </si>
  <si>
    <t>Infraestructura Institucional o edificios públicos construida mejorada, ampliada, mantenida, y/o reforzada</t>
  </si>
  <si>
    <t>202000363-0058</t>
  </si>
  <si>
    <t>Construcción, mejoramiento ampliación, mantenimiento y/o reforzamiento la infraestructura institucional o de edificios públicos en el Departamento del Quindío</t>
  </si>
  <si>
    <t>Construir, mejorar, ampliar, mantener y/o reforzar la infraestructura institucional o de edificios públicos, con el propósito de propiciar un excelente servicio al ciudadano y bienestar al servidor público, con infraestructura moderna y amigable.</t>
  </si>
  <si>
    <t>Salones comunales adecuados</t>
  </si>
  <si>
    <t>202000363-0059</t>
  </si>
  <si>
    <t xml:space="preserve">Construcción y/o adecuación de casetas comunales en los diferentes barrios del departamento </t>
  </si>
  <si>
    <t>Realizar construcción y/o adecuación de casetas comunales en los diferentes barrios del departamento, qué permitan generar procesos de participación ciudadana y la implementación de buenas prácticas sociales en comunidad.</t>
  </si>
  <si>
    <t xml:space="preserve">309  SECRETARÍA DEL INTERIOR </t>
  </si>
  <si>
    <t>Servicio de asistencia técnica para la articulación de los operadores de los servicio de justicia</t>
  </si>
  <si>
    <t>202000363-0060</t>
  </si>
  <si>
    <t xml:space="preserve">Implementación de  procesos para la  articulación de los operadores de los servicios de justicia  en el Departamento del Quindío.  </t>
  </si>
  <si>
    <t>Disminuir los índice delitos  en el departamento del Quindío a través de procesos de asistencia Técnica y articulación  de acciones  con las Administraciones municipales .</t>
  </si>
  <si>
    <t>Secretario de Interior</t>
  </si>
  <si>
    <t>Eduardo Orozco Jaramillo</t>
  </si>
  <si>
    <t>Promoción de los métodos de resolución de conflictos. "Tú y yo resolvemos los conflictos"</t>
  </si>
  <si>
    <t>Servicio de asistencia técnica para la implementación de los métodos de resolución de conflictos</t>
  </si>
  <si>
    <t>Instituciones públicas y privadas asistidas técnicamente en métodos de resolución de conflictos</t>
  </si>
  <si>
    <t>202000363-0061</t>
  </si>
  <si>
    <t xml:space="preserve">  Implementación métodos  para la resolución de conflictos y en  fortalecimiento de la seguridad de los ciudadanos del Departamento del Quindío  </t>
  </si>
  <si>
    <t>Coordinar con los organismos de seguridad métodos  de intervenciones  transformadoras en zonas de miedo e impunidad</t>
  </si>
  <si>
    <t>Sistema penitenciario y carcelario en el marco de los derechos humanos. "Quindío respeta derechos penitenciarios"</t>
  </si>
  <si>
    <t>Servicio de resocialización de personas privadas de la libertad</t>
  </si>
  <si>
    <t>Personas privadas de la libertad (PPL) qué reciben Servicio de resocialización</t>
  </si>
  <si>
    <t>202000363-0062</t>
  </si>
  <si>
    <t xml:space="preserve">Implementación de  acciones de apoyo para  la  resocialización de las personas privadas de la libertad  en las Instituciones Penitenciarias  del Departamento  del Quindío. </t>
  </si>
  <si>
    <t xml:space="preserve"> Disminuir los índices de delitos en el departamento del Quindío, a través de la implementación de  acciones de apoyo para  la  resocialización de las personas privadas de la libertad en las Instituciones  Penitenciarios del departamento del Quindío.</t>
  </si>
  <si>
    <t>Cobertura de Instituciones Educativas con Planes Escolares de Gestión del Riesgo de Desastres-PEGERD</t>
  </si>
  <si>
    <t>Servicio de gestión de riesgos y desastres en establecimientos educativos</t>
  </si>
  <si>
    <t>Establecimientos educativos con acciones de gestión del riesgo implementadas</t>
  </si>
  <si>
    <t>Educación</t>
  </si>
  <si>
    <t>202000363-0063</t>
  </si>
  <si>
    <t xml:space="preserve"> Implementación  y/o fortalecimiento  de  los planes para la gestión del riesgo y desastres en las Instituciones Educativas Oficiales  del Departamento </t>
  </si>
  <si>
    <t>Aumentar la cobertura de Instituciones Educativas con Planes Escolares de Gestión del Riesgo de Desastres-PEGERD, a través de procesos de acompañamiento  a la  comunidad educativa  en la implementación y fortalecimiento de los mismos.</t>
  </si>
  <si>
    <t>Atención, asistencia y reparación integral a las víctimas. "Tú y yo con reparación integral"</t>
  </si>
  <si>
    <t>Cobertura de la población víctima atendida con procesos de atención, prevención y asistencia humanitaria</t>
  </si>
  <si>
    <t>Servicio de orientación y comunicación a las víctimas</t>
  </si>
  <si>
    <t>Solicitudes tramitadas</t>
  </si>
  <si>
    <t>202000363-0064</t>
  </si>
  <si>
    <t xml:space="preserve">Asistencia técnica, garantías, atención, ayuda humanitaria y promoción de iniciativas de memoria histórica a la población víctima del conflicto armado en el Departamento del Quindío </t>
  </si>
  <si>
    <t>Aumentar la cobertura en los procesos de atención, prevención, asistencia humanitaria,  líneas de emprendimiento,  fortalecimiento a proyectos productivos   y promoción  de iniciativas de la  memoria histórica qué beneficien  la población víctima del conflicto armado del Departamento del Quindío</t>
  </si>
  <si>
    <t>Servicio de ayuda y atención humanitaria</t>
  </si>
  <si>
    <t>Personas víctimas con ayuda humanitaria</t>
  </si>
  <si>
    <t>Servicio de asistencia técnica para la participación de las víctimas</t>
  </si>
  <si>
    <t>Eventos de participación realizados</t>
  </si>
  <si>
    <t>Cobertura de víctimas atendidas con la línea de emprendimiento y fortalecimiento.</t>
  </si>
  <si>
    <t>Servicio de apoyo para la generación de ingresos</t>
  </si>
  <si>
    <t>Hogares con asistencia técnica para la generación de ingresos</t>
  </si>
  <si>
    <t>Cobertura de Personas víctimas del conflicto beneficiadas con medidas de satisfacción (Construcción de memoria, Reparación simbólica y Construcción de lugares de memoria)</t>
  </si>
  <si>
    <t>Servicio de asistencia técnica para la realización de iniciativas de memoria histórica</t>
  </si>
  <si>
    <t>Iniciativas de memoria histórica asistidas técnicamente</t>
  </si>
  <si>
    <t>Inclusión social y productiva para la población en situación de vulnerabilidad. "Tú y yo, población vulnerable incluida"</t>
  </si>
  <si>
    <t>Cobertura de la población excombatiente atendida con procesos de atención y asistencia humanitaria</t>
  </si>
  <si>
    <t>4103052</t>
  </si>
  <si>
    <t>Servicio de atención y asistencia para la población excombatiente del Departamento del Quindío</t>
  </si>
  <si>
    <t>410305200</t>
  </si>
  <si>
    <t>Población excombatiente beneficiada</t>
  </si>
  <si>
    <t>202000363-0065</t>
  </si>
  <si>
    <t xml:space="preserve">Atención y asistencia  a la población  excombatiente del Departamento del Quindío. </t>
  </si>
  <si>
    <t xml:space="preserve"> Aumentar la cobertura de la población excombatiente atendida con procesos de atención y asistencia en el departamento del Quindío. </t>
  </si>
  <si>
    <t>Fortalecimiento de la convivencia y la seguridad ciudadana. "Tú y yo seguros"</t>
  </si>
  <si>
    <t>Fortalecimiento institucional a organismos de seguridad</t>
  </si>
  <si>
    <t>Organismos de seguridad fortalecidos</t>
  </si>
  <si>
    <t>202000363-0066</t>
  </si>
  <si>
    <t xml:space="preserve"> Fortalecimiento de los organismos de seguridad del Departamento del Quindío,  para la convivencia, preservación del orden público y la seguridad ciudadana. </t>
  </si>
  <si>
    <t xml:space="preserve"> Disminuir los índices  de delitos en el departamento del Quindío, a través de fortalecimiento de los organismos de seguridad, para el mejoramiento de la   convivencia, preservación del orden público y la seguridad ciudadana. </t>
  </si>
  <si>
    <t>Cobertura de asistencia a los municipios del departamento del Quindío en los procesos de la garantía y prevención de derechos humanos.</t>
  </si>
  <si>
    <t>Servicio de apoyo para la implementación de medidas en derechos humanos y derecho internacional humanitario</t>
  </si>
  <si>
    <t>Medidas implementadas en cumplimiento de las obligaciones internacionales en materia de Derechos Humanos y Derecho Internacional Humanitario</t>
  </si>
  <si>
    <t>202000363-0067</t>
  </si>
  <si>
    <t xml:space="preserve"> Implementación del Plan Integral de prevención de vulneraciones de los Derechos Humanos DDHH e infracciones  al Derecho Internacional Humanitario DIH en el Departamento del Quindío </t>
  </si>
  <si>
    <t>Aumentar la cobertura de asistencia a los municipios del departamento del Quindío en los procesos de la garantía y prevención de derechos humanos a través de la actualización, implementación y socialización en Plan Integral para la prevención a la vulneración de los DDHH.</t>
  </si>
  <si>
    <t>202000363-0068</t>
  </si>
  <si>
    <t xml:space="preserve"> Implementación de acciones para el fortalecimiento institucional  de los actores que intervienen en la convivencia y la seguridad ciudadana  en el departamento del Quindío  </t>
  </si>
  <si>
    <t xml:space="preserve"> Disminuir los índices de violencia intrafamiliar   a través de la implementación de acciones y gestiones para impulsar y adoptar políticas y planes qué promuevan la paz, la reconciliación, la legalidad y la convivencia en el territorio.  </t>
  </si>
  <si>
    <t>Cobertura  de municipios del departamento del Quindío  atendidos con estudios y/o construcción de obras para mitigación y atención a desastres realizadas.</t>
  </si>
  <si>
    <t>Documentos de estudios técnicos para en ordenamiento ambiental territorial</t>
  </si>
  <si>
    <t>Documentos de estudios técnicos para en conocimiento y reducción del riesgo de desastres elaborados</t>
  </si>
  <si>
    <t>202000363-0069</t>
  </si>
  <si>
    <t>Fortalecimiento de los procesos de planificación del territorio para en conocimiento  y reducción del riesgo en el Departamento del Quindío.</t>
  </si>
  <si>
    <t>Aumentar la cobertura  de municipios del departamento del Quindío  atendidos con estudios   para mitigación y atención a desastres en la   planificación del  territorio  y priorización  de  acciones de intervención.</t>
  </si>
  <si>
    <t>Prevención y atención de desastres y emergencias. "Tú y yo preparados en gestión del riesgo"</t>
  </si>
  <si>
    <t>Cobertura de   personas capacitadas en Gestión del Riesgo de Desastres  en el Departamento del Quindío, bajo en marco de Ciudades resilientes</t>
  </si>
  <si>
    <t>Servicio de educación informal</t>
  </si>
  <si>
    <t>Personas capacitadas</t>
  </si>
  <si>
    <t>202000363-0070</t>
  </si>
  <si>
    <t>Fortalecimiento de la gestión del Riesgo mediante los procesos de conocimiento, reducción del riesgo y manejo de desastres, en el Departamento del Quindío</t>
  </si>
  <si>
    <t xml:space="preserve">Aumentar cobertura de atención del Sistema Departamental de Gestión del Riesgo de Desastres del Departamento del Quindío,  a través del fortalecimiento  de los procesos de conocimiento, reducción del riesgo y manejo de desastres, con el propósito de contribuir a la seguridad, bienestar y calidad de vida de las personas. </t>
  </si>
  <si>
    <t>Cobertura de atención  del Sistema Departamental de Gestión del Riesgo de Desastres del Quindío.</t>
  </si>
  <si>
    <t>Servicio de atención a emergencias y desastres</t>
  </si>
  <si>
    <t>Centro de reserva  para la atención a emergencias y desastres dotado</t>
  </si>
  <si>
    <t>Iniciativas para la promoción de la participación ciudadana implementada.</t>
  </si>
  <si>
    <t>202000363-0071</t>
  </si>
  <si>
    <t xml:space="preserve"> Fortalecimiento de la participación ciudadana, veedurías y Organizaciones Comunales para en cumplimiento, protección y restablecimiento de los derechos contemplados en la constitución política.    </t>
  </si>
  <si>
    <t xml:space="preserve">Aumentar la participación de ciudadanos en los eventos de elección popular, a través del  fortalecimiento, difusión, promoción y gestión  de la participación ciudadana, en control social, las veedurías, los procesos de elección democrática, organizaciones comunales, libertad religiosa y de cultos. </t>
  </si>
  <si>
    <t>Implementar la Política de Libertad Religiosa</t>
  </si>
  <si>
    <t>Política de Libertad Religiosa Implementado</t>
  </si>
  <si>
    <t>Fortalecimiento de los organismos  de acción comunal (OAC)  de los doce municipios del Departamento en lo relacionado a sus procesos formativos, participativos, de organización y  gestión.</t>
  </si>
  <si>
    <t>Municipios con organismos de acción comunal fortalecidos.</t>
  </si>
  <si>
    <t xml:space="preserve">Formulación de la  Política Pública Departamental para la  Acción Comunal </t>
  </si>
  <si>
    <t>Una Política Pública formulada.</t>
  </si>
  <si>
    <t xml:space="preserve">310 SECRETARÍA DE CULTURA </t>
  </si>
  <si>
    <t>.Cobertura en formación artística y cultural
.Tasa de consumo de sustancias sicoactivas por 100.000 habitantes en el departamento del Quindío.</t>
  </si>
  <si>
    <t>Servicio de educación informal en áreas artísticas y culturales</t>
  </si>
  <si>
    <t>202000363-0021</t>
  </si>
  <si>
    <t xml:space="preserve">Implementación de la "Ruta de la felicidad y la identidad quindiana", para el fortalecimiento y visibilización de los procesos artísticos y culturales en el Departamento del Quindío  </t>
  </si>
  <si>
    <t>Fortalecer en sector cultural del departamento del Quindío incrementando las   tasas de  participación en formación y actividades  artísticos culturales, a través de la implementación de la " Ruta de  la felicidad e  identidad  quindiana en  los municipios",    con la consiguiente disminución de las tasas de consumo de sustancias psicoactivas.</t>
  </si>
  <si>
    <t xml:space="preserve">Secretaría de Cultura </t>
  </si>
  <si>
    <t xml:space="preserve">Jorge Iván Espinoza Hidalgo </t>
  </si>
  <si>
    <t>Servicio de circulación artística y cultural</t>
  </si>
  <si>
    <t>Producciones artísticas en circulación</t>
  </si>
  <si>
    <t>.Tasa de cumplimiento al Plan de Biocultura en patrimonio y del PCC.
.Tasa de consumo de sustancias sicoactivas por 100.000 habitantes en el departamento del Quindío.</t>
  </si>
  <si>
    <t>Formulación e implementación del Plan de Cultura</t>
  </si>
  <si>
    <t>Plan Decenal de cultura formulado e implementado</t>
  </si>
  <si>
    <t>Servicio de educación formal al sector artístico y cultural</t>
  </si>
  <si>
    <t>Cupos de educación formal ofertados</t>
  </si>
  <si>
    <t>Tasa de lectura
Tasa de consumo de sustancias sicoactivas por 100.000 habitantes en el departamento del Quindío.</t>
  </si>
  <si>
    <t>Servicios bibliotecarios</t>
  </si>
  <si>
    <t>330108500</t>
  </si>
  <si>
    <t>Usuarios atendidos</t>
  </si>
  <si>
    <t>202000363-0020</t>
  </si>
  <si>
    <t xml:space="preserve">Implementación del programa "Tú y Yo Somos Cultura", para el fortalecimiento a la lectura,  escritura  y bibliotecas en el Departamento del Quindío   </t>
  </si>
  <si>
    <t xml:space="preserve">Incrementar la tasa de lectura  en el departamento del Quindío, a través del fortalecimiento del Plan Departamental de Lectura y Bibliotecas, con procesos de formación, producción y circulación de contenidos literarios con el fin de lograr  mayor acceso de las población a los servicios bibliotecarios físicos y virtuales..    </t>
  </si>
  <si>
    <t>Servicio de divulgación y publicaciones</t>
  </si>
  <si>
    <t>330110000</t>
  </si>
  <si>
    <t>Publicaciones realizadas</t>
  </si>
  <si>
    <t>Servicio de asistencia técnica en gestión artística y cultural</t>
  </si>
  <si>
    <t>330109500</t>
  </si>
  <si>
    <t>Personas asistidas técnicamente</t>
  </si>
  <si>
    <t>202000363-0072</t>
  </si>
  <si>
    <t xml:space="preserve"> Apoyo artistas y gestores culturales  del departamento del Quindío con en  beneficio de la Seguridad Social.  </t>
  </si>
  <si>
    <t xml:space="preserve">Aumentar la tasa de participación en procesos y actividades artísticas y culturales de los artistas y gestores del departamento del Quindío con la  implementación de los beneficios de la seguridad Social.  </t>
  </si>
  <si>
    <t>Gestión, protección y salvaguardia del patrimonio cultural colombiano. "Tú y yo protectores del patrimonio cultural"</t>
  </si>
  <si>
    <t>Tasa de cumplimiento al Plan de Biocultura en patrimonio y del PCC.
Tasa de consumo de sustancias sicoactivas por 100.000 habitantes en el departamento del Quindío.</t>
  </si>
  <si>
    <t>Servicio de asistencia técnica en el manejo y gestión del patrimonio arqueológico, antropológico e histórico.</t>
  </si>
  <si>
    <t>330204200</t>
  </si>
  <si>
    <t xml:space="preserve">Asistencias técnicas realizadas a entidades territoriales </t>
  </si>
  <si>
    <t>202000363-0073</t>
  </si>
  <si>
    <t xml:space="preserve"> Apoyo al Paisaje, Café y Tradición mediante procesos de manejo, gestión, asistencia técnica, divulgación y publicación del patrimonio, arqueológico e histórico en el Departamento del Quindío </t>
  </si>
  <si>
    <t>Aumentar la tasa de cumplimiento del  Plan de Biocultura en patrimonio y PCC,   a través de la implementación del programa de asistencia técnica en el manejo y gestión del patrimonio arqueológico, antropológico e histórico, qué permita  la apropiación, divulgación y publicación del Patrimonio cultural y del Paisaje Cultural Cafetero</t>
  </si>
  <si>
    <t>Servicio de divulgación y publicación del Patrimonio cultural</t>
  </si>
  <si>
    <t>330207000</t>
  </si>
  <si>
    <t xml:space="preserve">311 SECRETARÍA DE TURISMO INDUSTRIA Y COMERCIO </t>
  </si>
  <si>
    <t>PRODUCTIVIDAD Y COMPETITIVIDAD</t>
  </si>
  <si>
    <t xml:space="preserve">Productividad y competitividad de las empresas colombianas. "Tú y yo con empresas competitivas" </t>
  </si>
  <si>
    <t>Índice Departamental de Competitividad
Tasa de desempleo</t>
  </si>
  <si>
    <t>Servicio de apoyo y consolidación de las Comisiones Regionales de Competitividad - CRC</t>
  </si>
  <si>
    <t>350200600</t>
  </si>
  <si>
    <t xml:space="preserve">Planes de trabajo concertados con las CRC para su consolidación </t>
  </si>
  <si>
    <t>202000363-0074</t>
  </si>
  <si>
    <t xml:space="preserve">Fortalecimiento de la competitividad y productividad del departamento del Quindío </t>
  </si>
  <si>
    <t>Incrementar en índice de competitividad en el Departamento del Quindío, a través  de la consolidación de la Comisión Regional de Competitividad e Innovación y en apoyo a  las iniciativas clúster,  vinculando en sector público,  privado y la academia.</t>
  </si>
  <si>
    <t>Secretaría de Turismo, Industria y Comercio</t>
  </si>
  <si>
    <t xml:space="preserve">Maria Teresa Ramírez León </t>
  </si>
  <si>
    <t>Servicio de asistencia técnica para el desarrollo de iniciativas Clústers</t>
  </si>
  <si>
    <t>350200700</t>
  </si>
  <si>
    <t>Clústeres asistidos en la implementación de los planes de acción</t>
  </si>
  <si>
    <t>Servicio de asistencia técnica a las Mipymes para en acceso a nuevos mercados</t>
  </si>
  <si>
    <t>350202200</t>
  </si>
  <si>
    <t>Empresas asistidas técnicamente</t>
  </si>
  <si>
    <t>202000363-0075</t>
  </si>
  <si>
    <t xml:space="preserve"> Fortalecimiento del sector empresarial del departamento del Quindío para en acceso a nuevos mercados </t>
  </si>
  <si>
    <t>Incrementar en índice de competitividad en el Departamento del Quindío,  a través de fortalecimiento del sector empresarial,  con el propósito de incrementar la competitividad para  en  acceso a nuevos mercados locales e internacionales.</t>
  </si>
  <si>
    <t>350204700</t>
  </si>
  <si>
    <t>Índice Departamental de Competitividad Turística
Tasa de desempleo</t>
  </si>
  <si>
    <t>Servicio de asistencia técnica a los entes territoriales para en desarrollo turístico</t>
  </si>
  <si>
    <t>350203900</t>
  </si>
  <si>
    <t>202000363-0076</t>
  </si>
  <si>
    <t xml:space="preserve"> Mejoramiento de la competitividad del  departamento como destino turístico  sostenible y de calidad .</t>
  </si>
  <si>
    <t>Incrementar en índice de competitividad   turística en el Departamento del Quindío, a  través de la Formulación e implementación  del Plan Estratégico de Turismo, de procesos de asistencia técnica y apoyo a los municipios  en la certificación  de las  normas técnicas sectoriales de turismo,  con el propósito de ofrecer  un destino turístico sostenible,  competitivo y de calidad a nivel nacional e internacional.</t>
  </si>
  <si>
    <t>350203910</t>
  </si>
  <si>
    <t>Proyectos de infraestructura turística apoyados</t>
  </si>
  <si>
    <t>Servicio de promoción turística</t>
  </si>
  <si>
    <t>350204600</t>
  </si>
  <si>
    <t>Campañas realizadas</t>
  </si>
  <si>
    <t>202000363-0077</t>
  </si>
  <si>
    <t xml:space="preserve"> Fortalecimiento de la promoción turística del destino Quindío a nivel  nacional e internacional </t>
  </si>
  <si>
    <t>Incrementar en índice de competitividad   turística,  a través de la promoción del departamento como destino turístico y en  fortalecimiento de las  Agencias de Inversión   con la articulación de  instituciones,  gremios y demás actores del sector.</t>
  </si>
  <si>
    <t>Generación y formalización del empleo. "Tú y yo con empleo de calidad"</t>
  </si>
  <si>
    <t>Servicios de apoyo financiero para la creación de empresas</t>
  </si>
  <si>
    <t>360201800</t>
  </si>
  <si>
    <t>Planes de negocio financiados</t>
  </si>
  <si>
    <t>202000363-0078</t>
  </si>
  <si>
    <t>Apoyo a la generación y formalización del empleo en el departamento del Quindío</t>
  </si>
  <si>
    <t>Incrementar en índice de competitividad  en el departamento del Quindío a través de la  formalización laboral y  generación de empleo con la  implementación  y promoción  del Ecosistemas de Emprendimientos  y la articulación con las entidades del sector trabajo.</t>
  </si>
  <si>
    <t>Servicio de asesoría técnica para en emprendimiento.</t>
  </si>
  <si>
    <t>360203201</t>
  </si>
  <si>
    <t>Emprendimientos fortalecidos</t>
  </si>
  <si>
    <t>Servicio de asistencia técnica para la generación y formalización del empleo</t>
  </si>
  <si>
    <t>360202904</t>
  </si>
  <si>
    <t>Talleres de oferta institucional realizados</t>
  </si>
  <si>
    <t>Servicio de información y monitoreo del mercado de trabajo</t>
  </si>
  <si>
    <t>360203000</t>
  </si>
  <si>
    <t>Reportes realizados</t>
  </si>
  <si>
    <t xml:space="preserve">312 SECRETARÍA DE AGRICULTURA, DESARROLLO RURAL Y MEDIO AMBIENTE </t>
  </si>
  <si>
    <t>Inclusión productiva de pequeños productores rurales. "Tú y yo con oportunidades para en pequeño campesino"</t>
  </si>
  <si>
    <t>Crecimiento económico del sector agropecuario (PIB)</t>
  </si>
  <si>
    <t>Servicio de asesoría para el fortalecimiento de la asociatividad</t>
  </si>
  <si>
    <t>170201100</t>
  </si>
  <si>
    <t>Asociaciones fortalecidas</t>
  </si>
  <si>
    <t>202000363-0079</t>
  </si>
  <si>
    <t xml:space="preserve">Fortalecimiento e implementación de procesos de asociatividad y emprendimiento rural en el Departamento del Quindío.  </t>
  </si>
  <si>
    <t>Aumentar en crecimiento económico del sector agropecuario (PIB), a través del  fortalecimiento de las organizaciones de  productores, mediante acciones de capacitación, acompañamiento, asesoría y seguimiento,  para el fomento de la cultura de la asociatividad.</t>
  </si>
  <si>
    <t xml:space="preserve">Secretaria de Agricultura, Desarrollo Rural y Medio Ambiente </t>
  </si>
  <si>
    <t>Julio César Cortés Pulido</t>
  </si>
  <si>
    <t>Servicio de apoyo financiero para proyectos productivos</t>
  </si>
  <si>
    <t>170200700</t>
  </si>
  <si>
    <t>Proyectos productivos cofinanciados</t>
  </si>
  <si>
    <t>Servicio de apoyo financiero para en acceso a activos productivos y de comercialización</t>
  </si>
  <si>
    <t>170200900</t>
  </si>
  <si>
    <t>Productores apoyados con activos productivos y de comercialización</t>
  </si>
  <si>
    <t>Servicio de apoyo para en fomento organizativo de la agricultura campesina, familiar y comunitaria</t>
  </si>
  <si>
    <t>170201700</t>
  </si>
  <si>
    <t>Productores agropecuarios apoyados</t>
  </si>
  <si>
    <t>202000363-0023</t>
  </si>
  <si>
    <t xml:space="preserve"> Implementación de procesos productivos agropecuarios familiares campesinos en busca de la soberanía y seguridad alimentaria en el Departamento del Quindío </t>
  </si>
  <si>
    <t>Aumentar en crecimiento económico del sector agropecuario (PIB), a través  del  acompañamiento técnico a los productores en la producción primaria ( Transferencia  de  Tecnología, financiación, Insumos, reconversión productiva, seguridad,  soberanía alimentaria, normalización de la  calidad  de  los  productos e  infraestructura  productiva  y  de  servicios),  con el propósito de consolidar en liderazgo  empresarial, la  asociatividad,  las  alianzas  estratégicas,  las  cadenas productivas y la cooperación  técnica.</t>
  </si>
  <si>
    <t>Servicio de apoyo para en acceso a maquinaria y equipos</t>
  </si>
  <si>
    <t>170201400</t>
  </si>
  <si>
    <t>Productores beneficiados con acceso a maquinaria y equipo</t>
  </si>
  <si>
    <t>Servicio de acompañamiento productivo y empresarial</t>
  </si>
  <si>
    <t>170202100</t>
  </si>
  <si>
    <t>Unidades productivas beneficiadas</t>
  </si>
  <si>
    <t>Servicio de apoyo a la comercialización</t>
  </si>
  <si>
    <t>170203800</t>
  </si>
  <si>
    <t>Organizaciones de productores formales apoyadas</t>
  </si>
  <si>
    <t>202000363-0080</t>
  </si>
  <si>
    <t xml:space="preserve"> Fortalecimiento e implementación  de procesos de mercadeo y comercialización agropecuaria  en el Departamento del Quindío.                </t>
  </si>
  <si>
    <t>Aumentar en crecimiento económico del sector agropecuario (PIB), a través de la Formulación  e implementación de  programas y proyectos  integrales sostenibles,  mejoramiento de la  gestión de la calidad,   desarrollo de nuevos productos, inteligencia de mercados, estrategias de mercadeo y comercialización, sistemas de información, infraestructura y equipamiento.</t>
  </si>
  <si>
    <t>170203801</t>
  </si>
  <si>
    <t>Productores apoyados para la participación en mercados campesinos</t>
  </si>
  <si>
    <t>170202301</t>
  </si>
  <si>
    <t>Planes de Desarrollo Agropecuario y Rural elaborados</t>
  </si>
  <si>
    <t>202000363-0022</t>
  </si>
  <si>
    <t>Implementación de procesos de extensión agropecuaria e inocuidad (estatus sanitario, BPA, BPG) alimentaria; en el Departamento del Quindío</t>
  </si>
  <si>
    <t>Aumentar en crecimiento económico del sector agropecuario (PIB),  a través del desarrollo de  lineamientos para el fortalecimiento de habilidades, competencias técnicas, humanas,  financieras y estratégicas de los productores, para fortalecer la competitividad y sostenibilidad territorial del sector agropecuario.</t>
  </si>
  <si>
    <t>Servicios de acompañamiento en la implementación de planes de desarrollo agropecuario y rural</t>
  </si>
  <si>
    <t>170202400</t>
  </si>
  <si>
    <t>Planes de Desarrollo Agropecuario y Rural acompañados</t>
  </si>
  <si>
    <t>Servicio de apoyo en la formulación y estructuración de proyectos</t>
  </si>
  <si>
    <t>170202500</t>
  </si>
  <si>
    <t>Proyectos estructurados</t>
  </si>
  <si>
    <t>202000363-0081</t>
  </si>
  <si>
    <t xml:space="preserve"> Servicio de apoyo en la formulación y estructuración de proyectos de Desarrollo Rural e inclusión productiva  campesina en el Departamento del Quindío  </t>
  </si>
  <si>
    <t>Aumentar en crecimiento económico del sector agropecuario (PIB),  a través de la Formulación  e implementación de  programas y proyectos qué permitan  en ajuste, fortalecimiento  y la  articulación  interinstitucional  pública, privada y académica, en cuanto a la  operativización de las competencias de investigación, educación,  extensión  y  asistencia  técnica  agropecuaria sostenible.</t>
  </si>
  <si>
    <t>Servicios financieros y gestión del riesgo para las actividades agropecuarias y rurales. "Tú y yo con un campo protegido"</t>
  </si>
  <si>
    <t>Servicio de apoyo a la implementación de mecanismos y herramientas para en conocimiento, reducción y manejo de riesgos agropecuarios</t>
  </si>
  <si>
    <t>170301300</t>
  </si>
  <si>
    <t>Personas beneficiadas</t>
  </si>
  <si>
    <t>202000363-0082</t>
  </si>
  <si>
    <t xml:space="preserve"> Apoyo a la Implementación de procesos para la prevención y mitigación de riesgos naturales del sector agropecuario en el Departamento del Quindío.  </t>
  </si>
  <si>
    <t>Aumentar en crecimiento económico del sector agropecuario (PIB), a través  del acompañamiento técnico, económico a los productores en la prevención y mitigación de riesgos naturales , gestionando en desarrollo y fortalecimiento de capacidades y habilidades técnicas, mediante transferencia de innovaciones tecnológicas y provisión de bienes y servicios.</t>
  </si>
  <si>
    <t>Ordenamiento social y uso productivo del territorio rural. "Tú y yo con un campo planificado"</t>
  </si>
  <si>
    <t>170400203</t>
  </si>
  <si>
    <t>Documentos de lineamientos para en ordenamiento social y productivo elaborados</t>
  </si>
  <si>
    <t>202000363-0025</t>
  </si>
  <si>
    <t>Implementación de procesos de ordenamiento productivo y social territorial</t>
  </si>
  <si>
    <t>Aumentar en crecimiento económico del sector agropecuario (PIB), a través de la formulación  e implementación  de programas y proyectos agropecuarios, sostenibles, de reconversión productiva, para ajustar en uso de la tierra acorde con su aptitud, aunando esfuerzos para mejorar la formalización de la propiedad rural, siguiendo los lineamientos del Plan de Ordenamiento Productivo y Social de la Propiedad Rural (POPSPR).</t>
  </si>
  <si>
    <t>Servicio de apoyo para el fomento de la formalidad</t>
  </si>
  <si>
    <t>170401700</t>
  </si>
  <si>
    <t xml:space="preserve">Personas sensibilizadas en la formalización </t>
  </si>
  <si>
    <t>Aprovechamiento de mercados externos. "Tú y yo a los mercados internacionales"</t>
  </si>
  <si>
    <t>Servicio de apoyo financiero para la participación en ferias nacionales e internacionales</t>
  </si>
  <si>
    <t>170600400</t>
  </si>
  <si>
    <t>Participaciones en ferias nacionales e internacionales</t>
  </si>
  <si>
    <t>202000363-0083</t>
  </si>
  <si>
    <t xml:space="preserve"> Fortalecimiento de eventos y  ferias para la competitividad productiva y empresarial del sector rural en el Departamento del Quindío </t>
  </si>
  <si>
    <t xml:space="preserve"> Aumentar en crecimiento económico del sector agropecuario (PIB),  a través del comercio interior  y exterior, inteligencia de mercados,  sistemas de información, acompañamiento  y  financiación  en mercadeo y  comercialización.</t>
  </si>
  <si>
    <t>Sanidad agropecuaria e inocuidad agroalimentaria. "Tú y yo con un agro saludable"</t>
  </si>
  <si>
    <t>Servicio de divulgación y socialización</t>
  </si>
  <si>
    <t>170706900</t>
  </si>
  <si>
    <t>Eventos realizados</t>
  </si>
  <si>
    <t>202000363-0084</t>
  </si>
  <si>
    <t xml:space="preserve"> Implementación de procesos de  sanidad e inocuidad alimentaria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</si>
  <si>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t>
  </si>
  <si>
    <t>Ciencia, tecnología e innovación agropecuaria. "Tú y yo con un agro interconectado"</t>
  </si>
  <si>
    <t>170801600</t>
  </si>
  <si>
    <t>Documentos de lineamientos técnicos elaborados</t>
  </si>
  <si>
    <t>202000363-0026</t>
  </si>
  <si>
    <t xml:space="preserve"> Implementación de procesos de innovación, ciencia y tecnología agropecuario en el Departamento del Quindío  </t>
  </si>
  <si>
    <t xml:space="preserve"> Aumentar en crecimiento económico del sector agropecuario (PIB), a través de la coordinación interinstitucional en investigación, transferencia y adopción de tecnologías, qué permitan proyectar la educación, la ciencia, la tecnología  y   la  innovación, como  potenciales de desarrollo, basados en la vocación y ventajas  comparativas  de  la  región, mediante la implementación de  sistemas de información y  metodologías del SNCCTI y SNIA, en el marco de la adopción e implementación de las Agendas de Competitividad, PEDCTI,  PECTIA, POPSPR y PDEA, entre otras.</t>
  </si>
  <si>
    <t>Servicio de información actualizado</t>
  </si>
  <si>
    <t>170805100</t>
  </si>
  <si>
    <t>Sistemas de información actualizados</t>
  </si>
  <si>
    <t>Infraestructura productiva y comercialización. "Tú y yo con agro competitivo"</t>
  </si>
  <si>
    <t>Centros logísticos agropecuarios adecuados</t>
  </si>
  <si>
    <t>170901900</t>
  </si>
  <si>
    <t>202000363-0024</t>
  </si>
  <si>
    <t xml:space="preserve"> Implementación de procesos de agro industrialización con calidad e inocuidad en el Departamento del Quindío </t>
  </si>
  <si>
    <t xml:space="preserve"> Aumentar en crecimiento económico del sector agropecuario (PIB), a través del   fortalecimiento  y la  articulación  interinstitucional  pública, privada y académica, en cuanto a la  operativización de las competencias de investigación, educación,  extensión  y  asistencia  técnica agroindustrial, así  como  en  fomento  al  crédito, a la  infraestructura  productiva y en mejoramiento  continuo   de  la  calidad  de  vida  de  los  empresarios rurales.</t>
  </si>
  <si>
    <t>Infraestructura de pos cosecha adecuada</t>
  </si>
  <si>
    <t>170903400</t>
  </si>
  <si>
    <t>Servicio de procesamiento de caña panelera</t>
  </si>
  <si>
    <t>170909300</t>
  </si>
  <si>
    <t>Trapiches paneleros con servicio de procesamiento de caña.</t>
  </si>
  <si>
    <t>Crecimiento económico del sector agropecuario (PIB)
Tasa desempleo</t>
  </si>
  <si>
    <t>Servicio de asistencia técnica para emprendedores y/o empresas en edad temprana</t>
  </si>
  <si>
    <t>350201701</t>
  </si>
  <si>
    <t xml:space="preserve">Necesidades empresariales atendidas a partir de emprendimientos </t>
  </si>
  <si>
    <t>202000363-0085</t>
  </si>
  <si>
    <t xml:space="preserve"> Fortalecimiento  de nuevos emprendimientos e iniciativas clúster de las cadenas promisorias agropecuarias en el Departamento del Quindío.                     </t>
  </si>
  <si>
    <t xml:space="preserve"> Aumentar en crecimiento económico del sector agropecuario (PIB),  a través de acciones de capacitación, acompañamiento, asesoría, y seguimiento en competencias administrativas, organizacionales, mercados, extensión, planes de negocio y coordinación interinstitucional para el fomento de la cultura de asociatividad mediante alianzas Clúster</t>
  </si>
  <si>
    <t>Servicio de asistencia técnica para el desarrollo de iniciativas clústeres</t>
  </si>
  <si>
    <t>3201</t>
  </si>
  <si>
    <t>Fortalecimiento del desempeño ambiental de los sectores productivos. "Tú y yo guardianes de la biodiversidad.</t>
  </si>
  <si>
    <t>Documentos de lineamientos técnicos para mejorar la calidad ambiental de las áreas urbanas</t>
  </si>
  <si>
    <t>320101300</t>
  </si>
  <si>
    <t>Documentos de lineamientos técnicos para para mejorar la calidad ambiental de las áreas urbanas elaborados</t>
  </si>
  <si>
    <t>202000363-0027</t>
  </si>
  <si>
    <t xml:space="preserve">Fortalecimiento  de los procesos de Gestión Ambiental Urbana y Rural para la protección del Paisaje y la Biodiversidad del departamento del   Quindío  </t>
  </si>
  <si>
    <t>Incrementar en porcentaje de ecosistemas protegidos y/o en procesos de restauración en el Departamento, a través del apoyo a los entes territoriales en la generación de lineamientos técnicos qué permitan mejorar la gestión y manejo de los relictos boscosos, los humedales y la silvicultura en áreas urbanas mejorando la calidad ambiental del Departamento. Además,   de la realización de campañas de monitoreo de calidad del aire .</t>
  </si>
  <si>
    <t>Servicio de vigilancia de la calidad del aire</t>
  </si>
  <si>
    <t>320100805</t>
  </si>
  <si>
    <t>Campaña de monitoreo de calidad del aire realizadas</t>
  </si>
  <si>
    <t>3202</t>
  </si>
  <si>
    <t>Conservación de la biodiversidad y sus servicios ecosistémicos. "Tú y yo en territorios biodiversos"</t>
  </si>
  <si>
    <t>3202005</t>
  </si>
  <si>
    <t>Servicio de restauración de ecosistemas</t>
  </si>
  <si>
    <t>320200500</t>
  </si>
  <si>
    <t>Áreas en proceso de restauración</t>
  </si>
  <si>
    <t>202000363-0086</t>
  </si>
  <si>
    <t xml:space="preserve"> Generación y desarrollo de acciones para la conservación de las áreas de importancia estratégica hídrica en el Departamento del Quindío </t>
  </si>
  <si>
    <t xml:space="preserve">Incrementar en porcentaje de ecosistemas protegidos y/o en procesos de restauración en el Departamento, a través de la  Adquisición y Mantenimiento de áreas estratégicas  de protección, en cumplimiento de las disposiciones de la Ley 99 de 1993, los instrumentos de Planeación Ambiental (POMCA del Río La Vieja) ;   promoción y recuperación de los cuerpos hídricos  mediante en enriquecimiento de especies nativas en los bosques riparios y la  promoción y desarrollo de esquemas de pago por servicios ambientales qué incentiven  la preservación de áreas de importancia estratégica para la conservación del recurso hídrico en el departamento. </t>
  </si>
  <si>
    <t>Servicio de recuperación de cuerpos de agua lénticos y lóticos</t>
  </si>
  <si>
    <t>320203704</t>
  </si>
  <si>
    <t>Bosque ripario recuperado</t>
  </si>
  <si>
    <t>Adquisición, mantenimiento y administración de áreas de importancia estratégica para la conservación y regulación del recurso hídrico.</t>
  </si>
  <si>
    <t xml:space="preserve">Número de Hectáreas intervenidas </t>
  </si>
  <si>
    <t>Servicio apoyo financiero para la implementación de esquemas de pago por servicio ambientales</t>
  </si>
  <si>
    <t xml:space="preserve">Esquemas de Pago por Servicio ambientales implementados </t>
  </si>
  <si>
    <t xml:space="preserve">Estrategia  departamental para la protección y bienestar de los animales domésticos y silvestres del Departamento </t>
  </si>
  <si>
    <t>Estrategia  para la protección y bienestar de los animales domésticos y silvestres adoptada</t>
  </si>
  <si>
    <t>202000363-0028</t>
  </si>
  <si>
    <t xml:space="preserve"> Apoyo a la generación de entornos  amigables para nuestros animales en el departamento del Quindío </t>
  </si>
  <si>
    <t>Incrementar en porcentaje de ecosistemas protegidos y/o en procesos de restauración en el Departamento, a través de la implementación de  la estrategia “Quindío libre de maltrato animal”, en asocio con los diferentes sectores e instituciones del departamento, para  la protección de la fauna silvestre y doméstica,  qué generen en la  comunidad   concientización de la  tenencia responsable de mascotas y un departamento sin tráfico de fauna.</t>
  </si>
  <si>
    <t>Realizar  campaña  de sensibilización y apropiación del patrimonio ambiental en el Departamento</t>
  </si>
  <si>
    <t>Campaña  de sensibilización y apropiación del patrimonio ambiental realizada</t>
  </si>
  <si>
    <t>202000363-0087</t>
  </si>
  <si>
    <t xml:space="preserve">Realización de campañas de sensibilización y apropiación del patrimonio ambiental  del paisaje, la biodiversidad y sus servicios ecosistémicos en el Departamento del Quindío </t>
  </si>
  <si>
    <t>Incrementar en porcentaje de ecosistemas protegidos y/o en procesos de restauración en el Departamento,  a través de la realización de  campañas educativas ambientales qué permitan la apropiación y sensibilización del patrimonio ambiental y en Paisaje Cultural Cafetero,    en  los sectores institucionales, educativos y sociales, articulados con el Comité Interinstitucional de Educación Ambiental CIDEA y los Proyectos Educativos Ambientales PRAES.</t>
  </si>
  <si>
    <t>3204</t>
  </si>
  <si>
    <t>Gestión de la información y en conocimiento ambiental. "Tú y yo conscientes con la naturaleza"</t>
  </si>
  <si>
    <t>Servicio de apoyo financiero a emprendimientos</t>
  </si>
  <si>
    <t>320401200</t>
  </si>
  <si>
    <t xml:space="preserve">Emprendimientos apoyados </t>
  </si>
  <si>
    <t>202000363-0029</t>
  </si>
  <si>
    <t xml:space="preserve">Apoyo a nuevos modelos de vida sostenibles, sustentables y eficientes en el suelo rural y urbano en el Departamento del Quindío  </t>
  </si>
  <si>
    <t xml:space="preserve"> Incrementar en porcentaje de ecosistemas protegidos y/o en procesos de restauración en el Departamento, a través del apoyo a iniciativas de emprendimientos verdes qué incorporen conceptos de eficiencia ambiental como economía circular, carbono neutral, agricultura regenerativa  entre otros.</t>
  </si>
  <si>
    <t>3205009</t>
  </si>
  <si>
    <t>Barreras rompe vientos recuperadas</t>
  </si>
  <si>
    <t>320500900</t>
  </si>
  <si>
    <t>Barreras rompe vientos</t>
  </si>
  <si>
    <t>202000363-0030</t>
  </si>
  <si>
    <t xml:space="preserve"> Implementación de acciones de Gestión del Cambio Climático en el marco del PIGCC, en el Departamento del Quindío</t>
  </si>
  <si>
    <t xml:space="preserve">Aumentar en porcentaje de ecosistemas protegidos y/o en procesos de restauración en el Departamento, a través de la implementación de  estrategias que permitan en desarrollo de acciones de adaptación y mitigación de los efectos del cambio climático con la  intervención de obras  de estabilización de taludes, control erosión  y barreras rompe vientos. </t>
  </si>
  <si>
    <t>3205014</t>
  </si>
  <si>
    <t>Obras para el control de erosión</t>
  </si>
  <si>
    <t>320501400</t>
  </si>
  <si>
    <t xml:space="preserve">Área reforestada </t>
  </si>
  <si>
    <t>3206</t>
  </si>
  <si>
    <t>Gestión del cambio climático para un desarrollo bajo en carbono y resiliente al clima. "Tú y yo preparados para en cambio climático"</t>
  </si>
  <si>
    <t>3206005</t>
  </si>
  <si>
    <t>Servicio de divulgación de la información en gestión del cambio climático para un desarrollo bajo en carbono y resiliente al clima</t>
  </si>
  <si>
    <t>320600500</t>
  </si>
  <si>
    <t xml:space="preserve">Campañas de información en gestión de cambio climático realizadas </t>
  </si>
  <si>
    <t>202000363-0088</t>
  </si>
  <si>
    <t xml:space="preserve">Implementación de un programa  de protección del  patrimonio ambiental , en paisaje, la biodiversidad y sus servicios ecosistémicos en el Departamento del Quindío  </t>
  </si>
  <si>
    <t xml:space="preserve">Aumentar en porcentaje de ecosistemas protegidos y/o en procesos de restauración en el Departamento,  a través   de  la realización de campañas educativas ambientales,  Servicios de producción de Plántulas  en viveros  e instalación de estufas ecoeficientes,   qué permitan la protección de patrimonio ambiental,  en paisaje, la biodiversidad y sus servicios ecosistémicos. </t>
  </si>
  <si>
    <t>Servicio de producción de plántulas en viveros</t>
  </si>
  <si>
    <t>320601400</t>
  </si>
  <si>
    <t>Plántulas producidas</t>
  </si>
  <si>
    <t>3206015</t>
  </si>
  <si>
    <t>Estufas ecoeficientes</t>
  </si>
  <si>
    <t>320601500</t>
  </si>
  <si>
    <t>Estufas ecoeficientes instaladas y en operación</t>
  </si>
  <si>
    <t xml:space="preserve">313 DIRECCIÓN OFICINA PRIVADA </t>
  </si>
  <si>
    <t>Fortalecimiento de la Gestión  y Desempeño Institucional</t>
  </si>
  <si>
    <t>Desarrollo de  la Política  de Transparencia, Acceso a la Información Pública y Lucha Contra la Corrupción del Modelo Integrado de Planificación y Gestión MIPG, articulada con el "Pacto por la Integridad , Transparencia y Legalidad" del Gobierno Nacional</t>
  </si>
  <si>
    <t xml:space="preserve">Política de Transparencia, Acceso a la Información Pública y Lucha Contra la Corrupción  articulada   con el "Pacto por la Integridad , Transparencia y Legalidad" del Gobierno Nacional desarrollada.                                                                                   </t>
  </si>
  <si>
    <t>202000363-0089</t>
  </si>
  <si>
    <t>Aumentar Índice de Gestión del Modelo Integrado de Planeación y de Gestión MIPG  del Departamento del Quindío, a través de desarrollo de la Política de Transparencia, Acceso a la Información Pública y Lucha Contra la Corrupción del Modelo Integrado de Planificación y Gestión MIPG, articulada con el "Pacto por la Integridad, Transparencia y Legalidad" del Gobierno Nacional, basado en la generación de cambios culturales en la institucionalidad y la ciudadanía.</t>
  </si>
  <si>
    <t xml:space="preserve">Dirección Oficina Privada </t>
  </si>
  <si>
    <t xml:space="preserve">Juan Miguel Galvis Bedoya </t>
  </si>
  <si>
    <t>Desarrollo e implementación de la estrategia de comunicaciones para la Administración Departamental</t>
  </si>
  <si>
    <t>Estrategia de comunicaciones desarrollada e implementada</t>
  </si>
  <si>
    <t>202000363-0090</t>
  </si>
  <si>
    <t>Desarrollo e implementación de  una estrategia  de comunicaciones  de la gestión institucional  de la Administración Departamental del Quindío "Hacia un  gobierno abierto".</t>
  </si>
  <si>
    <t>Aumentar Índice de Gestión del Modelo Integrado de Planeación y de Gestión MIPG  del Departamento del Quindío, a través del desarrollo e implementación de la estrategia de comunicaciones para la administración departamental,  conducente a la divulgación de la  oferta institucional a nivel departamental, nacional e internacional, con el propósito de acercar a la comunidad y en Estado, incrementado de esta forma, la participación de los diferentes actores de la gestión territorial.</t>
  </si>
  <si>
    <t xml:space="preserve">Encuentros ciudadanos en el Departamento del Quindío en aplicación de la Política de Transparencia, Acceso a la Información Pública y Lucha contra la Corrupción.  </t>
  </si>
  <si>
    <t>Encuentros  ciudadanos realizados.</t>
  </si>
  <si>
    <t>202000363-0031</t>
  </si>
  <si>
    <t>Fortalecimiento de  las capacidades institucionales de la administración departamental del Quindío, para generar condiciones de gobernanza territorial, participación, administración eficiente y transparente.</t>
  </si>
  <si>
    <t xml:space="preserve">Incrementar en porcentaje promedio  de participación de ciudadanos en los eventos de elección popular,  a través de la realización de  encuentros ciudadanos como un mecanismo de gobernabilidad para identificar los problemas y necesidades más sentidas de la comunidad, enmarcado en la generación de soluciones adecuadas, a través de la ejecución de proyectos qué propicien en desarrollo territorial participativo e incluyente </t>
  </si>
  <si>
    <t xml:space="preserve">314 SECRETARÍA DE EDUCACIÓN </t>
  </si>
  <si>
    <t>Tasa de deserción escolar intra -anual</t>
  </si>
  <si>
    <t>Servicio de fomento para la permanencia en programas de educación formal</t>
  </si>
  <si>
    <t>Personas beneficiarias de estrategias de permanencia</t>
  </si>
  <si>
    <t>202000363-0091</t>
  </si>
  <si>
    <t>Fortalecimiento de Estrategias de Acceso, Bienestar y Permanencia en el Sector Educativo del Departamento del Quindío</t>
  </si>
  <si>
    <t>Aumentar las tasas de cobertura bruta y disminuir las tasas  repitencia y deserción escolar  en la  educación inicial, preescolar, básica y media, a través  del fortalecimiento de estrategias  de acceso,  bienestar y  permanencia de los niños, niñas, adolescentes, jóvenes y adultos en el sector educativo del Departamento del Quindío, promoviendo la trayectoria educativa completa.</t>
  </si>
  <si>
    <t xml:space="preserve">Secretaría de Educación </t>
  </si>
  <si>
    <t>Liliana María Sánchez Villada</t>
  </si>
  <si>
    <t xml:space="preserve">Tasa de cobertura bruta en transición
Tasa de cobertura bruta en educación básica
Tasa de cobertura en educación media 
Tasa de deserción escolar intra-anual </t>
  </si>
  <si>
    <t>Servicio de acondicionamiento de ambientes de aprendizaje</t>
  </si>
  <si>
    <t>Ambientes de aprendizaje en funcionamiento</t>
  </si>
  <si>
    <t>Tasa de cobertura bruta en transición
Tasa de cobertura bruta en educación básica
Tasa de cobertura en educación media
Tasa de deserción escolar intra-anual
Tasa de repitencia</t>
  </si>
  <si>
    <t>Servicio de apoyo a la permanencia con alimentación escolar</t>
  </si>
  <si>
    <t>Beneficiarios de la alimentación escolar</t>
  </si>
  <si>
    <t>Servicio de apoyo a la permanencia con transporte escolar</t>
  </si>
  <si>
    <t>Beneficiarios de transporte escolar</t>
  </si>
  <si>
    <t>Estudios de preinversión</t>
  </si>
  <si>
    <t>Estudios o diseños realizados</t>
  </si>
  <si>
    <t>Tasa de cobertura bruta en transición
Tasa de cobertura bruta en educación básica
Tasa de cobertura en educación media 
Tasa de deserción escolar intra-anual 
Cobertura de Instituciones Educativas con Planes Escolares de Gestión del Riesgo de Desastres-PEGERD</t>
  </si>
  <si>
    <t>Infraestructura educativa dotada</t>
  </si>
  <si>
    <t>Sedes dotadas</t>
  </si>
  <si>
    <t>Cobertura en asistencia técnica a la educación inicial (0 a 4 años)</t>
  </si>
  <si>
    <t>Servicio de información para la gestión de la educación inicial y preescolar en condiciones de calidad</t>
  </si>
  <si>
    <t xml:space="preserve">Entidades territoriales qué hacen seguimiento a las condiciones de calidad de los prestadores de educación inicial o preescolar a través del Sistema de Información de Primera Infancia -SIPI- </t>
  </si>
  <si>
    <t>202000363-0092</t>
  </si>
  <si>
    <t>Fortalecimiento para la gestión de la educación inicial y preescolar en el marco de la atención integral a la primera infancia en el Departamento del Quindío.</t>
  </si>
  <si>
    <t>Aumentar las coberturas de asistencia técnica en educación inicial y transición en el departamento del Quindío, a través de estrategias de mejoramiento de la calidad de la educación inicial en el nivel de preescolar en los Establecimientos Educativos Oficiales del departamento con la  apropiación de  políticas  y  lineamientos pedagógicos expedidos por el Ministerio de Educación Nacional.</t>
  </si>
  <si>
    <t>Tasa de cobertura bruta en transición</t>
  </si>
  <si>
    <t>Servicio de atención integral para la primera infancia</t>
  </si>
  <si>
    <t>Porcentaje de pruebas SABER 5 Lenguaje (nivel Insuficiente) 
Porcentaje de pruebas SABER 5 Matemáticas (nivel Insuficiente) 
Porcentaje de pruebas SABER 9 Lenguaje (nivel Insuficiente)  
Porcentaje de pruebas SABER 9 Matemáticas (nivel Insuficiente) 
Porcentaje de Colegios pruebas SABER 11 con resultado A+ - A</t>
  </si>
  <si>
    <t>Servicio de evaluación de la calidad de la educación preescolar, básica o media.</t>
  </si>
  <si>
    <t>Estudiantes evaluados con pruebas de calidad educativa</t>
  </si>
  <si>
    <t>202000363-0093</t>
  </si>
  <si>
    <t>Fortalecimiento de la Calidad Educativa con inclusión y equidad para en Desarrollo Integral de niños, niñas, adolescentes y jóvenes en el Departamento del Quindío.</t>
  </si>
  <si>
    <t>Aumentar las tasas  de coberturas  brutas y de  pruebas  saber 5, 9 y 11  y disminución  de los índices de analfabetismo, deserción, repitencia  en la  educación inicial y transición,    a través del fortalecimiento de la calidad educativa con inclusión y equidad,  generando  estrategias en innovación educativa  qué promuevan   en desarrollo integral de los estudiantes y docentes de las Instituciones Educativas Oficiales del Departamento.</t>
  </si>
  <si>
    <t>Servicio de fortalecimiento a las capacidades de los docentes de educación preescolar, básica y media</t>
  </si>
  <si>
    <t>Docentes de educación inicial, preescolar, básica y media beneficiados con estrategias de mejoramiento de sus capacidades</t>
  </si>
  <si>
    <t>Servicio de fortalecimiento a las capacidades de los docentes y agentes educativos en educación inicial o preescolar de acuerdo a los referentes nacionales</t>
  </si>
  <si>
    <t>Docentes y agentes educativos beneficiarios de Servicio de fortalecimiento a sus capacidades de acuerdo a los referentes nacionales</t>
  </si>
  <si>
    <t xml:space="preserve">Tasa de cobertura bruta en educación básica
Tasa de cobertura en educación media
</t>
  </si>
  <si>
    <t>Servicio de apoyo para la implementación de la estrategia educativa del sistema de responsabilidad penal para adolescentes</t>
  </si>
  <si>
    <t>Entidades Territoriales certificadas con asistencia técnica para el fortalecimiento de la estrategia educativa del sistema de responsabilidad penal para adolescentes</t>
  </si>
  <si>
    <t>Tasa de cobertura bruta en educación básica
Tasa de cobertura en educación media
Tasa de Analfabetismo
Tasa de deserción escolar intra-anual
Tasa de repitencia</t>
  </si>
  <si>
    <t>Servicio educación formal por modelos educativos flexibles</t>
  </si>
  <si>
    <t>Beneficiarios atendidos con modelos educativos flexibles</t>
  </si>
  <si>
    <t xml:space="preserve">Tasa de Analfabetismo </t>
  </si>
  <si>
    <t>Servicio de alfabetización</t>
  </si>
  <si>
    <t xml:space="preserve">Personas beneficiarias con modelos de alfabetización </t>
  </si>
  <si>
    <t xml:space="preserve">Tasa de cobertura bruta en educación media 
Años promedio de estudio (población de 15 a 24 años) </t>
  </si>
  <si>
    <t>Servicio de articulación entre la educación media y en sector productivo.</t>
  </si>
  <si>
    <t xml:space="preserve">Programas y proyectos de educación pertinente articulados con el sector productivo </t>
  </si>
  <si>
    <t>Servicios de asistencia técnica en innovación educativa en la educación inicial, preescolar, básica y media</t>
  </si>
  <si>
    <t>Instituciones educativas asistidas técnicamente en innovación educativa</t>
  </si>
  <si>
    <t>Servicio de fomento para la prevención de riesgos sociales en entornos escolares</t>
  </si>
  <si>
    <t>Entidades territoriales con estrategias para la prevención de riesgos sociales en los entornos escolares implementadas</t>
  </si>
  <si>
    <t>Servicio de apoyo a proyectos pedagógicos productivos</t>
  </si>
  <si>
    <t>Proyectos apoyados</t>
  </si>
  <si>
    <t>Servicio de orientación vocacional</t>
  </si>
  <si>
    <t>Estudiantes vinculados a procesos de orientación vocacional</t>
  </si>
  <si>
    <t>Servicio de apoyo para el fortalecimiento de escuelas de padres</t>
  </si>
  <si>
    <t>Escuelas de padres apoyadas</t>
  </si>
  <si>
    <t>Tasa de cobertura bruta en transición
Tasa de cobertura bruta en educación básica
Tasa de cobertura en educación media
Tasa de Analfabetismo
Tasa de deserción escolar intra-anual
Tasa de repitencia</t>
  </si>
  <si>
    <t>Servicio de asistencia técnica en educación inicial, preescolar, básica y media</t>
  </si>
  <si>
    <t>Entidades y organizaciones asistidas técnicamente</t>
  </si>
  <si>
    <t>202000363-0016</t>
  </si>
  <si>
    <t>Fortalecimiento territorial para una gestión educativa integral en la Secretaría de Educación Departamental del Quindío</t>
  </si>
  <si>
    <t>Aumentar las tasas de cobertura bruta y disminuir las tasas  repitencia y deserción escolar, a través del fortalecimiento  del seguimiento y evaluación de la gestión institucional, buscando potenciar en los diferentes equipos de trabajo, las capacidades para ejecutar procesos de gestión integrales y articulados en la prestación del servicio educativo de calidad</t>
  </si>
  <si>
    <t>Servicio de monitoreo y seguimiento a la gestión del sector educativo</t>
  </si>
  <si>
    <t>Entidades territoriales con seguimiento y evaluación a la gestión.</t>
  </si>
  <si>
    <t>Servicios de atención psicosocial a estudiantes y docentes</t>
  </si>
  <si>
    <t xml:space="preserve">Personas atendidas </t>
  </si>
  <si>
    <t xml:space="preserve">Tasa de cobertura bruta en transición
Tasa de cobertura bruta en educación básica
Tasa de cobertura en educación media
</t>
  </si>
  <si>
    <t>Servicio educativo</t>
  </si>
  <si>
    <t>Establecimientos educativos en operación</t>
  </si>
  <si>
    <t>Servicio de accesibilidad a contenidos web para fines pedagógicos</t>
  </si>
  <si>
    <t>Estudiantes con acceso a contenidos web en el establecimiento educativo</t>
  </si>
  <si>
    <t>202000363-0094</t>
  </si>
  <si>
    <t>Fortalecimiento de las  Tecnologías de Información y Comunicación TIC,  para una innovación educativa de calidad en el departamento del Quindío.</t>
  </si>
  <si>
    <t>Aumentar las tasas de cobertura bruta y disminuir las tasas  repitencia y deserción escolar a través de la implementación de  estrategias basadas en las Tecnologías de la Información para los Establecimientos  Educativos y la  Secretaria de Educación Departamental, permitiendo dar una respuesta pertinente a las necesidades en los diferentes recursos tecnológicos, propiciando una Gestión Educativa Integral.</t>
  </si>
  <si>
    <t>Establecimientos educativos conectados a internet</t>
  </si>
  <si>
    <t>Documentos de planeación para la educación inicial, preescolar, básica y media emitidos</t>
  </si>
  <si>
    <t>Documento para la planeación estratégica en TI</t>
  </si>
  <si>
    <t>Planes de Mejoramiento de los sistemas de información de las secretarías de educación implementados</t>
  </si>
  <si>
    <t>Porcentaje de estudiantes de grado 11 con dominio de inglés a nivel B1 (preintermedio)</t>
  </si>
  <si>
    <t>Servicio educativos de promoción del bilingüismo</t>
  </si>
  <si>
    <t>Estudiantes beneficiados con estrategias de promoción del bilingüismo</t>
  </si>
  <si>
    <t>202000363-0015</t>
  </si>
  <si>
    <t>Fortalecimiento de las competencias comunicativas en lengua extranjera en estudiantes y docentes de las instituciones educativas oficiales del Departamento del Quindío.</t>
  </si>
  <si>
    <t>Aumentar en porcentaje de estudiantes de grado 11 con dominio de inglés a nivel B1 (preintermedio) a través del fortalecimiento del nivel de inglés de los niños, niñas y jóvenes qué asisten a las Instituciones Educativas Oficiales del Departamento del Quindío.</t>
  </si>
  <si>
    <t>Servicios educativos de promoción del bilingüismo</t>
  </si>
  <si>
    <t>Instituciones educativas fortalecidas en competencias comunicativas en un segundo idioma</t>
  </si>
  <si>
    <t>Servicio educativo de promoción del bilingüismo para docentes</t>
  </si>
  <si>
    <t>Docentes beneficiados con estrategias de promoción del bilingüismo</t>
  </si>
  <si>
    <t>202000363-0095</t>
  </si>
  <si>
    <t>Implementación del observatorio de educación, con el fin de recopilar y producir información del sector educativo con enfoque territorial.</t>
  </si>
  <si>
    <t>Aumentar las tasas de cobertura bruta y disminuir las tasas  repitencia y deserción escolar, a través del diseño e implementación en   Observatorio de Investigación, Innovación y Documentación Educativa del Departamento del Quindío.</t>
  </si>
  <si>
    <t>Servicios de información en materia educativa</t>
  </si>
  <si>
    <t>Observatorio implementado</t>
  </si>
  <si>
    <t>Fortalecimiento de la educación media para la articulación con la educación superior o terciaria. "Tú y yo preparados para la educación superior"</t>
  </si>
  <si>
    <t>Tasa de cobertura en educación superior</t>
  </si>
  <si>
    <t>Servicio de apoyo para en acceso y la permanencia a la educación superior o terciaria</t>
  </si>
  <si>
    <t>Estrategias o programas de  fomento para  acceso y  permanencia a la educación superior o terciaria implementados</t>
  </si>
  <si>
    <t>202000363-0096</t>
  </si>
  <si>
    <t>Fortalecimiento de estrategias para en acceso y la permanencia  de los estudiantes egresados de los Establecimientos Educativos Oficiales a la educación superior o terciaria en el Departamento del Quindío.</t>
  </si>
  <si>
    <t>Aumentar la tasa de cobertura en educación superior,  a través del fortalecimiento del acceso y la permanencia de los estudiantes egresados de los Establecimientos Educativos Oficiales   adscritos a la Secretaría de Educación Departamental a la educación técnica, tecnológica o superior.</t>
  </si>
  <si>
    <t>Generación de una cultura qué valora y gestiona en conocimiento y la innovación.</t>
  </si>
  <si>
    <t xml:space="preserve">
Tasa de cobertura bruta en educación básica
Tasa de cobertura en educación media
</t>
  </si>
  <si>
    <t>Servicio para el fortalecimiento de capacidades institucionales para el fomento de vocación científica</t>
  </si>
  <si>
    <t>Instituciones educativas qué participan en programas qué fomentan la cultura de la Ciencia, la Tecnología y la Innovación fortalecidas</t>
  </si>
  <si>
    <t>202000363-0097</t>
  </si>
  <si>
    <t>Implementación  y fortalecimiento de  las estrategias qué fomenten la ciencia, la tecnología y la innovación en las Instituciones Educativas Oficiales del Departamento.</t>
  </si>
  <si>
    <t xml:space="preserve">Aumentar las tasas de cobertura bruta en educación  básica y media, a través de la  Promoción  de  la investigación en los estudiantes  matriculados en las Instituciones Educativas Oficiales del Departamento del Quindío, a través de la Ciencia, Tecnología y la Innovación. </t>
  </si>
  <si>
    <t>316 SECRETARÍA DE FAMILIA</t>
  </si>
  <si>
    <t>Salud Pública, "Tú y yo con salud de calidad"</t>
  </si>
  <si>
    <t>Razón de mortalidad materna (por 100.000 nacidos vivos)
Porcentaje de atención institucional del parto.
Tasa  de mujeres de 10 a 14 años qué han sido madres o están en embarazo.
Tasa de mujeres de 15 a 19 años qué han sido madres o están en embarazo.
Prevalencia de VIH/SIDA en población de 15 a 49 años de edad.
Tasa de mortalidad asociada a VIH/SIDA.
Porcentaje transmisión materno -infantil del VIH.
Cobertura de tratamiento antirretroviral</t>
  </si>
  <si>
    <t xml:space="preserve">Servicio de gestión del riesgo en temas de salud sexual y reproductiva </t>
  </si>
  <si>
    <t>Campañas de gestión del riesgo en temas de salud sexual y reproductiva implementadas.</t>
  </si>
  <si>
    <t xml:space="preserve"> 202000363-0011</t>
  </si>
  <si>
    <t xml:space="preserve">  Diseño e implementación de campañas para la promoción de la vida y prevención del consumo de sustancias psicoactivas "TU Y YO UNIDOS POR LA VIDA".  </t>
  </si>
  <si>
    <t xml:space="preserve"> Disminuir las tasas  de mortalidad materna, embarazos, violencia y suicidios en el Departamento del Quindío, a través del fomento de  hábitos de vida saludables y derechos sexuales y reproductivos. </t>
  </si>
  <si>
    <t xml:space="preserve">Secretaría de Familia </t>
  </si>
  <si>
    <t xml:space="preserve">Alba Johana Quejada Torres </t>
  </si>
  <si>
    <t>Tasa de violencia de género.
Tasa de Suicidio  x 100.000 Habitantes en el Departamento del Quindío.
Tasa de suicidios en niños y niñas ( 6 a 11 años)
Tasa de suicidios en adolescentes (12 a 17 años)
Tasa de suicidios (18 - 28 años)Tasa de Consumo de Sustancias Psicoactivas  x 100.000 Habitantes en el Departamento del Quindío.</t>
  </si>
  <si>
    <t xml:space="preserve">Servicio de gestión del riesgo en temas de trastornos mentales </t>
  </si>
  <si>
    <t>Campañas de gestión del riesgo en temas de trastornos mentales implementadas</t>
  </si>
  <si>
    <t>Cobertura  de municipios   con  jóvenes en riesgo psicosocial impactados en los  Barrios vulnerables del Departamento del Quindío</t>
  </si>
  <si>
    <t>Servicio de educación informal al sector artístico y cultural</t>
  </si>
  <si>
    <t>Capacitaciones de educación informal realizadas</t>
  </si>
  <si>
    <t>202000363-0098</t>
  </si>
  <si>
    <t xml:space="preserve"> Implementación acciones de fortalecimiento  de los entornos protectores de los jóvenes en barrios vulnerables de los municipio, del Departamento del Quindío. </t>
  </si>
  <si>
    <t>Aumentar la cobertura  de municipios con jóvenes en riesgo psicosocial impactados en los barrios vulnerables del Departamento del Quindío, a través de la implementación de acciones que permitan fortalecer los entornos protectores de los jóvenes en riesgo psicosocial por consumo de sustancias psicoactivas, comportamiento suicida, Violencia Intrafamiliar, en barrios vulnerables, de los municipios, del Departamento del Quindío.</t>
  </si>
  <si>
    <t>Desarrollo Integral de Niños, Niñas, Adolescentes y sus Familias. "Tú y yo niños, niñas y adolescentes con desarrollo integral"</t>
  </si>
  <si>
    <t xml:space="preserve">Cobertura en la  implementación del  Modelo de entornos protectores y atención integral de   la primera infancia </t>
  </si>
  <si>
    <t xml:space="preserve">Diseñar e implementar un modelo de atención integral en entornos protectores para la primera infancia </t>
  </si>
  <si>
    <t>Modelo de atención integral de entornos protectores implementado</t>
  </si>
  <si>
    <t>202000363-0099</t>
  </si>
  <si>
    <t>Diseño e implementación de un  Modelo de  Atención Integral a la Primera Infancia  a través de las Rutas Integrales de Atención  RIAS en departamento del Quindío</t>
  </si>
  <si>
    <t>Aumentar la cobertura en la implementación del Modelo de Entornos Protectores y Atención Integral de la Primera Infancia, a través de la atención integral a los niños y niñas, promoviendo la aplicabilidad de las rutas integrales de atención y  entornos protectores seguros en el departamento Quindío.</t>
  </si>
  <si>
    <t xml:space="preserve">Cobertura  en la  implementación y seguimiento de las   Rutas integrales de atención  a la primera infancia </t>
  </si>
  <si>
    <t xml:space="preserve">Implementar y realizar seguimiento a las rutas integrales de atención </t>
  </si>
  <si>
    <t xml:space="preserve">Número de rutas integrales de atención  a la  primera infancia implementadas y con seguimiento </t>
  </si>
  <si>
    <t>Tasa de Violencia Intrafamiliar x 100.000 Habitantes en el Departamento del Quindío.
Tasa de violencia de pareja cuando la víctima está entre los 18 y 28 años 
Tasa de violencia de Género
Tasa de Suicidio  x 100.000 Habitantes en el Departamento del Quindío.
Tasa  de Niños, Niñas y Adolescentes qué participan en una actividad remunerada  o no  x cada 100.000 habitantes  en el departamento del Quindío
Tasa  de mujeres de 12 a 14 años qué han sido madres o están en embarazo X 100.000 habitantes en el Departamento del Quindío
Cobertura a los grupos de adulto mayor del departamento del Quindío en articulación con los Municipios, en el marco de garantizar estimulación física, cognitiva, emocional y social en bienestar de una vejez activa y saludable</t>
  </si>
  <si>
    <t xml:space="preserve">Implementar la  política pública para la protección, en fortalecimiento y en desarrollo integral de la familia Quindiana </t>
  </si>
  <si>
    <t>Política Pública de Familia  implementada</t>
  </si>
  <si>
    <t>202000363-0100</t>
  </si>
  <si>
    <t xml:space="preserve"> Implementación de la  política pública  de Familia para la  promoción  del desarrollo integral de la población del Departamento del Quindío. </t>
  </si>
  <si>
    <t xml:space="preserve">Disminuir las tasas de violencia intrafamiliar, suicidio y embarazos en el departamento del Quindío a través del Desarrollo de  estrategias,  programas y proyectos en el marco de la implementación y seguimiento de la Política Pública de Familia para promover en desarrollo integral de la población. </t>
  </si>
  <si>
    <t>.- Tasa de violencia contra niños y niñas o a 5 años       
.- Tasa de violencia contra niños y niñas de 6 a 11 años
.- Tasa de violencia contra niños y niñas de 12 a 17 años
-Tasa de niños, niñas y adolescentes víctimas de violencia sexual  x 100 mil habitantes   en el Departamento del Quindío
-Tasa de suicidios en adolescentes (12 a 17 años)
-Tasa  de Niños, Niñas y Adolescentes qué participan en una actividad remunerada  o no  x cada 100.000 habitantes  en el departamento del Quindío
-Tasa  de mujeres de 12 a 14 años qué han sido madres o están en embarazo X 100.000 habitantes en el Departamento del Quindío
-Tasa de Consumo de Sustancias Psicoactivas  x 100.000 Habitantes en el Departamento del Quindío.</t>
  </si>
  <si>
    <t>Revisar, ajustar e implementar  la política pública de primera infancia, infancia y adolescencia</t>
  </si>
  <si>
    <t xml:space="preserve">Política Pública de Primera Infancia, Infancia y Adolescencia, revisada, ajustada e implementada. </t>
  </si>
  <si>
    <t>202000363-0101</t>
  </si>
  <si>
    <t xml:space="preserve"> Revisión , ajuste  e implementación de  la política pública de primera infancia, infancia y adolescencia en el Departamento del Quindío  </t>
  </si>
  <si>
    <t xml:space="preserve">Disminuir las tasa de violencia  contra niños, niñas y adolescentes, embarazos a temprana edad y consumo de sustancias psicoactivas en el Departamento del Quindío, a través del desarrollo de estrategias, proyectos y programas en el marco de la implementación y seguimiento de la Política Pública de Primera Infancia, Infancia y Adolescencia, al igual que su ajuste, para promover en desarrollo integral de la población. </t>
  </si>
  <si>
    <t>Tasa de Suicidio  x 100.000 Habitantes en el Departamento del Quindío.
Tasa de violencia de pareja cuando la víctima está entre los 18 y 28 años 
Tasa de violencia de Género
Tasa de Violencia Intrafamiliar x 100.000 Habitantes en el Departamento del Quindío.
Tasa de Consumo de Sustancias Psicoactivas  x 100.000 Habitantes en el Departamento del Quindío.
Cobertura de adolescentes y jóvenes atendidos en Post egreso, en los servicios de restablecimiento en la administración de justicia.
Cobertura  de municipios   con  jóvenes en riesgo psicosocial impactados en los  Barrios vulnerables del Departamento del Quindío</t>
  </si>
  <si>
    <t xml:space="preserve">Implementar  la política pública de juventud </t>
  </si>
  <si>
    <t>Política Pública de Juventud implementada</t>
  </si>
  <si>
    <t>202000363-0102</t>
  </si>
  <si>
    <t xml:space="preserve"> Revisión , ajuste  e implementación de  la política pública de juventud en el Departamento del Quindío  </t>
  </si>
  <si>
    <t xml:space="preserve"> Disminuir las tasa de violencia intrafamiliar,  consumo de sustancias psicoactivas y suicidio en el Departamento del Quindío a través de la revisión, ajuste e implementación la política pública de juventud con el propósito de desarrollar estrategias, programas y acciones acordes  con la normatividad y las nuevas dinámicas sociales. </t>
  </si>
  <si>
    <t>Tasa de Violencia Intrafamiliar x 100.000 Habitantes en el Departamento del Quindío.
Tasa de violencia de Género</t>
  </si>
  <si>
    <t>Rutas integrales de atención en violencia intrafamiliar y  violencia de género</t>
  </si>
  <si>
    <t>Capacitación en activación de las Rutas Integrales de Atención en Violencia Intrafamiliar y de Género, a trabajadores de Supermercados y Tenderos de los Municipios realizadas</t>
  </si>
  <si>
    <t>202000363-0032</t>
  </si>
  <si>
    <t xml:space="preserve"> Diseño e implementación de programa de acompañamiento familiar y comunitario con enfoque preventivo en los tipos de violencias en el Departamento del Quindío "TU Y YO COMPROMETIDOS CON LA FAMILIA" </t>
  </si>
  <si>
    <t xml:space="preserve"> Disminuir las tasa de violencia   intrafamiliar y de género en el Departamento del Quindío , a través de la  articulación de acciones  con aliados estratégicos para capacitar a trabajadores de Supermercados y “tenderos” de los barrios, en la activación de Rutas Integrales de Atención en Violencia Intrafamiliar y Violencia de género. </t>
  </si>
  <si>
    <t>Cobertura de atención de niños y niñas en Hogar Infantil Nocturno, hijos de trabajadoras sexuales en el Departamento del Quindío</t>
  </si>
  <si>
    <t xml:space="preserve">Atención integral a niños y niñas en primera infancia en espacios socialmente no convencionales: tiempos no convencionales </t>
  </si>
  <si>
    <t xml:space="preserve">Atención integral a niños y niñas en primera infancia en espacios socialmente no convencionales implementados </t>
  </si>
  <si>
    <t>202000363-0033</t>
  </si>
  <si>
    <t xml:space="preserve"> Diseño e implementación de programa comunitario para la prevención de los derechos de niños, niñas y adolescentes y su desarrollo integral. "TU Y YO COMPROMETIDOS CON LOS SUEÑOS". </t>
  </si>
  <si>
    <t xml:space="preserve"> Disminución de la Tasa de Violencia Intrafamiliar y  aumento de la cobertura de atención de niños y niñas en Hogar Infantil Nocturno, hijos de trabajadoras sexuales en el Departamento del Quindío, a través del diseño e implementación   de un programa comunitario para la   prevención y garantía de los derechos de los niños, niñas y adolescentes  buscando disminuir la violencia intrafamiliar en el departamento del Quindío en espacios socialmente no convencionales. </t>
  </si>
  <si>
    <t>Tasa de Violencia Intrafamiliar x 100.000 Habitantes en el Departamento del Quindío.
Tasa de violencia contra niños y niñas o a 5 años       
Tasa de violencia contra niños y niñas de 6 a 11 años
Tasa de violencia contra niños y niñas de 12 a 17 años
Tasa de niños, niñas y adolescentes víctimas de violencia sexual  x 100 mil habitantes   en el Departamento del Quindío
Tasa de violencia de pareja cuando la víctima está entre los 18 y 28 años 
Tasa de violencia de Género</t>
  </si>
  <si>
    <t>Servicio de divulgación para la promoción y prevención de los derechos de los niños, niñas y adolescentes</t>
  </si>
  <si>
    <t xml:space="preserve">Eventos de divulgación realizados </t>
  </si>
  <si>
    <t>Cobertura de adolescentes y jóvenes atendidos en Post egreso, en los servicios de restablecimiento en la administración de justicia.</t>
  </si>
  <si>
    <t>Servicios dirigidos a la atención de niños, niñas, adolescentes y jóvenes, con enfoque pedagógico y restaurativo encaminados a la inclusión social</t>
  </si>
  <si>
    <t>Niños, niñas, adolescentes y jóvenes atendidos en los servicios de restablecimiento en la administración de justicia</t>
  </si>
  <si>
    <t>202000363-0034</t>
  </si>
  <si>
    <t xml:space="preserve"> Servicio de atención Post egreso de adolescentes y jóvenes, en los servicios de restablecimiento en la administración de justicia, con enfoque pedagógico y restaurativo encaminados a la inclusión social del Departamento del   Quindío.</t>
  </si>
  <si>
    <t xml:space="preserve">Aumentar la cobertura de adolescentes y jóvenes atendidos en Post egreso, en los servicios de restablecimiento en la administración de justicia,  a través del desarrollo  de acciones encaminadas a reconocer, garantizar y permitir en goce efectivo de los derechos de los adolescentes y jóvenes del departamento del Quindío, promoviendo su integralidad, realización, protección y sostenibilidad. </t>
  </si>
  <si>
    <t xml:space="preserve">Cobertura de municipios del departamento apoyados con  emprendimientos juveniles </t>
  </si>
  <si>
    <t>Servicio de asistencia técnica para fortalecimiento de unidades productivas colectivas para la generación de ingresos</t>
  </si>
  <si>
    <t>Unidades productivas colectivas con asistencia técnica</t>
  </si>
  <si>
    <t>202000363-0103</t>
  </si>
  <si>
    <t xml:space="preserve">  Fortalecimiento  de unidades productivas colectivas  juveniles para la generación de ingresos  en el departamento del Quindío  </t>
  </si>
  <si>
    <t>Aumentar la cobertura de municipios del departamento apoyados con  emprendimientos juveniles,   a través del fortalecimiento de los procesos de asistencia técnica en temas de formalización y comercialización.</t>
  </si>
  <si>
    <t>Cobertura para la atención al ciudadano migrante a través del plan de atención y de repatriación.</t>
  </si>
  <si>
    <t>Servicio de gestión de oferta social para la población vulnerable</t>
  </si>
  <si>
    <t xml:space="preserve">mecanismos de articulación implementados para la gestión de oferta social </t>
  </si>
  <si>
    <t>202000363-0104</t>
  </si>
  <si>
    <t xml:space="preserve">  Formulación  e Implementación del  programa departamental para atención al ciudadano migrante y de repatriación.  </t>
  </si>
  <si>
    <t xml:space="preserve">Aumentar la cobertura para la atención al ciudadano migrante a través del plan de atención y de repatriación </t>
  </si>
  <si>
    <t>Servicio de acompañamiento familiar y comunitario para la superación de la pobreza</t>
  </si>
  <si>
    <t>Comunidades con acompañamiento familiar.</t>
  </si>
  <si>
    <t>202000363-0105</t>
  </si>
  <si>
    <t xml:space="preserve">   Desarrollo de un  programa  de acompañamiento  familiar y comunitario  en procesos de Inclusión social y productivos para en emprendimiento de  alternativas de generación de ingresos  en el departamento del Quindío  </t>
  </si>
  <si>
    <t>Disminuir  la tasa de violencia intrafamiliar en el departamento del Quindío, a través de  procesos de acompañamiento familiar y comunitario a hogares de los doce municipios en condiciones de vulnerabilidad por “violencia intrafamiliar,” a través del desarrollo de programas de Inclusión social y productivos qué les permita emprender alternativas de generación de ingresos y   mejorar   las relaciones de convivencia en el entorno familiar y social.</t>
  </si>
  <si>
    <t xml:space="preserve">Cobertura de municipios del departamento con procesos de implementación de proyectos  productivos  para las personas con discapacidad </t>
  </si>
  <si>
    <t>Servicio de apoyo para el fortalecimiento de unidades productivas colectivas para la generación de ingresos</t>
  </si>
  <si>
    <t>Unidades productivas colectivas fortalecidas</t>
  </si>
  <si>
    <t>202000363-0106</t>
  </si>
  <si>
    <t xml:space="preserve">  Formulación e implementación   de proyectos productivos  dirigidos a  la población en condición  de  discapacidad y sus familias para la generación de  ingresos  y fortalecimiento del entorno familiar.  </t>
  </si>
  <si>
    <t>Aumentar la cobertura de municipios del departamento con procesos de implementación de proyectos  productivos  para las personas con discapacidad, a través de la  formulación e implementación  de proyectos productivos qué garanticen a las personas con discapacidad y sus familias, ingresos económicos para satisfacer sus necesidades básicas.</t>
  </si>
  <si>
    <t xml:space="preserve">Tasa planes de vida de los cabildos  indígenas construidos e implementados </t>
  </si>
  <si>
    <t xml:space="preserve">Apoyar la construcción e Implementación de los  Planes de vida de los cabildos Indígenas asentados en el Departamento del Quindío </t>
  </si>
  <si>
    <t xml:space="preserve">Planes de vida de los cabildos indígenas  construidos  e implementados </t>
  </si>
  <si>
    <t>202000363-0036</t>
  </si>
  <si>
    <t xml:space="preserve">  Apoyo en la construcción e Implementación de los Planes de Vida de los Cabildos y Resguardos indígenas  asentados en el Departamento del Quindío "TU Y YO UNIDOS CON DIGNIDAD".  </t>
  </si>
  <si>
    <t>Incrementar la tasa planes de vida de los cabildos y resguardos   indígenas construidos e implementados, por medio del apoyo en  la construcción e implementación de los  mismos, como instrumentos de planeación organización y preservación de la historia y la cultura.</t>
  </si>
  <si>
    <t>Tasa de  planes de vida de los resguardos  indígenas construidos e implementados</t>
  </si>
  <si>
    <t xml:space="preserve">Apoyar la construcción e Implementación de los  Planes de vida de los resguardos indígenas  asentados en el Departamento del Quindío </t>
  </si>
  <si>
    <t xml:space="preserve">Planes de vida de los resguardos indígenas  construidos  e implementados </t>
  </si>
  <si>
    <t>Cobertura  de población diferencial,  comunidades negras, afros raizales y Palenqueras asentadas en el departamento del Quindío con una  política pública .</t>
  </si>
  <si>
    <t>Formular e implementar la política pública para la comunidad negra, afrocolombiana, raizal y palenquera residente en el Departamento del Quindío</t>
  </si>
  <si>
    <t xml:space="preserve">Política Pública para la comunidad negra, afrocolombiana, raizal y palenquera residente en el departamento del Quindío formulada e implementada </t>
  </si>
  <si>
    <t>202000363-0037</t>
  </si>
  <si>
    <t xml:space="preserve">  Formulación e implementación de la política pública para la comunidad negra, afrocolombiana, raizal y palenquera residente en el Departamento del Quindío   </t>
  </si>
  <si>
    <t>Aumentar la cobertura  de población diferencial,  comunidades negras, afros raizales y Palenquearas asentadas en el departamento del Quindío con una  política publicación en propósito de garantizar la protección de derechos y la atención integral  con enfoque diferencial de las comunidades.</t>
  </si>
  <si>
    <t>Atención integral de población en situación permanente de desprotección social y/o familiar "Tú y yo con atención integral"</t>
  </si>
  <si>
    <t>Cobertura  de municipios del Departamento del Quindío con el Programa de Rehabilitación Basada en la Comunidad  RBC
Cobertura de municipios atendidos  con el Banco de ayudas técnicas NO POS tipo Estándar, para las personas con discapacidad .</t>
  </si>
  <si>
    <t>Servicios de atención integral a población en condición de discapacidad</t>
  </si>
  <si>
    <t xml:space="preserve">Personas atendidas con servicios integrales de atención </t>
  </si>
  <si>
    <t>202000363-0035</t>
  </si>
  <si>
    <t xml:space="preserve"> Servicio de atención integral a población en condición de discapacidad en los municipios del Departamento del Quindío "TU Y YO JUNTOS EN LA INCLUSIÓN". </t>
  </si>
  <si>
    <t xml:space="preserve">Incrementar  la cobertura  de municipios del Departamento del Quindío  con programas  y banco de ayudas  para la Rehabilitación Basada en la Comunidad  RBC, a través del fortalecimiento de la capacidad  de atención integral  a población con discapacidad del departamento del Quindío. </t>
  </si>
  <si>
    <t>Cobertura  de municipios del Departamento del Quindío  con en   Programas  de Rehabilitación Basada en la Comunidad  RBC
Cobertura de municipios atendidos  con el Banco de ayudas técnicas NO POS tipo Estándar, para las personas con discapacidad .</t>
  </si>
  <si>
    <t xml:space="preserve">Estrategia de rehabilitación basada en la comunidad implementada en los municipios  </t>
  </si>
  <si>
    <t>Cobertura de municipios del departamento del Quindío, con programas de atención a la población habitante de calle.</t>
  </si>
  <si>
    <t>Servicio de articulación de oferta social para la población habitante de calle</t>
  </si>
  <si>
    <t xml:space="preserve">Servicio de articulación habitante de calle implementado en los municipios </t>
  </si>
  <si>
    <t xml:space="preserve"> 202000363-0012</t>
  </si>
  <si>
    <t xml:space="preserve">   Apoyo en  la articulación de la  oferta social para la población habitante de calle del Departamento del Quindío  </t>
  </si>
  <si>
    <t xml:space="preserve">Aumentar la cobertura de municipios del departamento del Quindío, con programas de atención a la población habitante de calle a través de la coordinación y articulación  de la oferta social para la población en condición de calle en el departamento del Quindío. </t>
  </si>
  <si>
    <t>Tasa de Suicidio  x 100.000 Habitantes en el Departamento del Quindío.
Tasa de Violencia Intrafamiliar x 100.000 Habitantes en el Departamento del Quindío.
Tasa de Consumo de Sustancias Psicoactivas  x 100.000 Habitantes en el Departamento del Quindío.
Tasa de violencia de Género</t>
  </si>
  <si>
    <t>Implementar  la política  pública de diversidad sexual e identidad de género</t>
  </si>
  <si>
    <t>Política pública de diversidad sexual implementada.</t>
  </si>
  <si>
    <t>202000363-0107</t>
  </si>
  <si>
    <t xml:space="preserve">    Implementación de la política pública  de diversidad sexual en el Departamento del Quindío 2019-2029  </t>
  </si>
  <si>
    <t xml:space="preserve">Disminuir  las tasa de suicidio, violencia intrafamiliar  consumo de sustancias psicoactivas  y violencia de género en el departamento del Quindío, a través de la implementación en la política pública de diversidad sexual e identidad de género con la participación de los diferente actores qué contribuyen  de manera integral a garantizar la visibilización, inclusión y mejoramiento de las condiciones de calidad de vida de la personas sexualmente diversas. </t>
  </si>
  <si>
    <t xml:space="preserve">Tasa de Violencia Intrafamiliar x 100.000 Habitantes en el Departamento del Quindío.
Tasa de violencia de Género
Tasa  de mujeres de 12 a 14 años qué han sido madres o están en embarazo X 100.000 habitantes en el Departamento del Quindío
Tasa de participación femenina en cargos de elección popular en el  departamento del Quindío
Cobertura de Asociaciones de mujeres fortalecidas  </t>
  </si>
  <si>
    <t xml:space="preserve">Revisar, ajustar e implementar la política pública de equidad de género para la mujer </t>
  </si>
  <si>
    <t>Política pública de la mujer y equidad de género revisada, ajustada e implementada.</t>
  </si>
  <si>
    <t>202000363-0108</t>
  </si>
  <si>
    <t xml:space="preserve">  Implementación de la política pública de equidad de género para la mujer en el Departamento del Quindío  </t>
  </si>
  <si>
    <t>Disminuir la tasa de violencia  intrafamiliar, de género y embarazos a temprana edad, así  como en  aumento de la tasas de participación femenina en cargos de elección popular y fortalecimiento de las  asociaciones de mujeres a través de acciones encaminadas a la garantía de derechos de las mujeres,  promoción de su participación en el ámbito económico, social y cultural del departamento  Quindío.</t>
  </si>
  <si>
    <t>Tasa de Suicidio  x 100.000 Habitantes en el Departamento del Quindío.
Tasa de Violencia Intrafamiliar x 100.000 Habitantes en el Departamento del Quindío.
Cobertura a los grupos de adulto mayor del departamento del Quindío en articulación con los Municipios, en el marco de garantizar estimulación física, cognitiva, emocional y social en bienestar de una vejez activa y saludable 
Cobertura  de  centros vida y centros de bienestar del adulto mayor (Legalmente constituidos)  apoyados con los recursos  de la  Estampilla Pro adulto Mayor .</t>
  </si>
  <si>
    <t xml:space="preserve">Formular e implementar la política pública de adulto mayor </t>
  </si>
  <si>
    <t xml:space="preserve">Política Pública de Adulto Mayor  formulada e implementada </t>
  </si>
  <si>
    <t>202000363-0109</t>
  </si>
  <si>
    <t xml:space="preserve"> Servicio  de atención integral e inclusión para el bienestar de los adultos mayores del departamento del Quindío </t>
  </si>
  <si>
    <t>Disminuir Tasa de Suicidio  y Violencia Intrafamiliar , además del aumento de la Cobertura a los grupos de adulto mayor en programas  de estimulación física, cognitiva, emocional y social en bienestar de una vejez activa y saludable  y  en apoyo  a los   centros vida y de bienestar  con  recursos  de la  Estampilla Pro adulto Mayor  en el Departamento del Quindío.</t>
  </si>
  <si>
    <t xml:space="preserve">Cobertura a los grupos de adulto mayor del departamento del Quindío en articulación con los Municipios, en el marco de garantizar estimulación física, cognitiva, emocional y social en bienestar de una vejez activa y saludable </t>
  </si>
  <si>
    <t>Servicios de atención y protección integral al adulto mayor</t>
  </si>
  <si>
    <t xml:space="preserve">Adultos mayores atendidos con servicios integrales </t>
  </si>
  <si>
    <t>Cobertura  de  centros vida y centros de bienestar del adulto mayor (Legalmente constituidos)  apoyados con los recursos de la  Estampilla Pro adulto Mayor .</t>
  </si>
  <si>
    <t>Transferencia estampilla para el bienestar del adulto mayor</t>
  </si>
  <si>
    <t>Municipios con recursos transferidos con la estampilla Departamental para el bienestar del adulto mayor</t>
  </si>
  <si>
    <t>Tasa de Suicidio  x 100.000 Habitantes en el Departamento del Quindío.
Tasa de Violencia Intrafamiliar x 100.000 Habitantes en el Departamento del Quindío.
Cobertura de municipios del departamento con procesos de implementación de proyectos  productivos  para las personas con discapacidad</t>
  </si>
  <si>
    <t>Revisar, ajustar e implementar  la política pública de  discapacidad</t>
  </si>
  <si>
    <t xml:space="preserve">Política Pública de  Discapacidad  , revisada, ajustada e implementada. </t>
  </si>
  <si>
    <t>202000363-0110</t>
  </si>
  <si>
    <t xml:space="preserve">  Revisar, ajustar e implementar  la política pública de  discapacidad del departamento del Quindío  </t>
  </si>
  <si>
    <t>Disminuir  la tasa de suicidio, violencia intrafamiliar, además de aumentar la Cobertura de los  municipios del departamento con procesos de implementación de proyectos  productivos  para las personas con discapacidad,  a través de la participación de los diferentes actores qué contribuyen de manera integral a garantizar una mejor calidad de vida de las personas objeto de intervención.</t>
  </si>
  <si>
    <t xml:space="preserve">Mejorar las condiciones de calidad de vida de la población, en acceso incluyente y equitativo a la oferta de servicios del Estado y la ampliación de oportunidades para los Quindianos. </t>
  </si>
  <si>
    <t>Casa de la Mujer Empoderada implementada</t>
  </si>
  <si>
    <t>202000363-0111</t>
  </si>
  <si>
    <t xml:space="preserve">Implementación de la Casa  de la Mujer Empoderada para la promoción a la participación ciudadana  de Mujeres en escenarios sociales, políticos y en fortalecimiento de la asociatividad  en el departamento del Quindío " TU Y YO CON LAS MUJERES EMPODERADAS." </t>
  </si>
  <si>
    <t>Mejorar las condiciones de calidad de vida de la población, en acceso incluyente y equitativo a la oferta de servicios del Estado y la ampliación de oportunidades para los Quindianos a través de la Implementación de la Casa de la Mujer Empoderada, para la  participación  y promoción de la  mujeres en escenarios sociales, políticos y productivos en el departamento del Quindío.</t>
  </si>
  <si>
    <t>Casa Refugio de la Mujer implementada</t>
  </si>
  <si>
    <t>202000363-0112</t>
  </si>
  <si>
    <t>Implementación de la Casa Refugio de la Mujer del Departamento del Quindío</t>
  </si>
  <si>
    <t xml:space="preserve">Mejorar las condiciones de calidad de vida de la población, en acceso incluyente y equitativo a la oferta de servicios del Estado y la ampliación de oportunidades para los Quindianos a través de la implementación de la  Casa Refugia para la protección de la mujer víctima del departamento del Quindío. </t>
  </si>
  <si>
    <t xml:space="preserve">Cobertura de Asociaciones de mujeres fortalecidas  </t>
  </si>
  <si>
    <t>Servicio de asesoría para el fortalecimiento de la Asociatividad</t>
  </si>
  <si>
    <t>170201102</t>
  </si>
  <si>
    <t>Asociaciones de mujeres fortalecidas</t>
  </si>
  <si>
    <t>202000363-0113</t>
  </si>
  <si>
    <t xml:space="preserve"> Implementación de  estrategias de acompañamiento y asesoría a las asociaciones de mujeres del departamento del Quindío</t>
  </si>
  <si>
    <t xml:space="preserve">Aumentar la cobertura de Asociaciones de mujeres fortalecidas a través de la Implementación de  estrategias de acompañamiento y asesoría a las asociaciones de mujeres del departamento del Quindío con el propósito de brindar fortalecimiento  </t>
  </si>
  <si>
    <t>Derechos fundamentales del trabajo y fortalecimiento del diálogo social. "Tú y yo con una niñez protegida"</t>
  </si>
  <si>
    <t>Tasa  de Niños, Niñas y Adolescentes qué participan en una actividad remunerada  o no  x cada 100.000 habitantes  en el departamento del Quindío</t>
  </si>
  <si>
    <t>Servicio de educación informal para la prevención integral del trabajo infantil</t>
  </si>
  <si>
    <t>360400600</t>
  </si>
  <si>
    <t>202000363-0114</t>
  </si>
  <si>
    <t>Desarrollo de jornadas de capacitación, sensibilización y prevención del  trabajo infantil  y protección del adolescente en el departamento del Quindío.</t>
  </si>
  <si>
    <t xml:space="preserve">Disminuir la Tasa  de Niños, Niñas y Adolescentes qué participan en una actividad remunerada  o no  x cada 100.000 habitantes  en el departamento del Quindío a través de jornadas de capacitación, sensibilización y prevención del  trabajo infantil  y protección del adolescente en el departamento del Quindío. </t>
  </si>
  <si>
    <t>Tasa de participación femenina en cargos de elección popular en el departamento del Quindío</t>
  </si>
  <si>
    <t>Iniciativas para la promoción de la participación femenina en escenarios sociales y políticos implementada.</t>
  </si>
  <si>
    <t>202000363-0115</t>
  </si>
  <si>
    <t xml:space="preserve"> Implementación del  programa de liderazgo  para la participación femenina en escenarios sociales y políticos del departamento del Quindío</t>
  </si>
  <si>
    <t xml:space="preserve">Aumentar la tasa de participación femenina en cargos de elección popular en el departamento del Quindío a través de la Implementación de un programa de liderazgo enfocado a las mujeres , con el propósito de incrementar la participación femenina en escenarios sociales y políticas </t>
  </si>
  <si>
    <t xml:space="preserve">318 SECRETARIA DE SALUD </t>
  </si>
  <si>
    <t xml:space="preserve">Inspección, vigilancia y control. "Tú y yo con salud certificada" </t>
  </si>
  <si>
    <t>Mortalidad por diarreica aguda (EDA) menores 5 años (número de muertes anual)</t>
  </si>
  <si>
    <t>Servicio de concepto sanitario</t>
  </si>
  <si>
    <t>Conceptos sanitarios expedidos</t>
  </si>
  <si>
    <t>202000363-0116</t>
  </si>
  <si>
    <t xml:space="preserve">Fortalecimiento de la autoridad sanitaria en el Departamento del Quindío                                                                                           </t>
  </si>
  <si>
    <t>Consolidar  y desarrollar en Sistema de  vigilancia en salud pública integrado  control sanitario y de inspección vigilancia y control del sistema de salud, a través de visitas de IVC con el fin de escalar en el posicionamiento de la entidad territorial y dar cumplimiento efectivo a su misionalidad</t>
  </si>
  <si>
    <t>Secretaría  de Salud</t>
  </si>
  <si>
    <t>Yenny Alexandra Trujillo Alzate</t>
  </si>
  <si>
    <t>Tasa de mortalidad en menores de 1 año (por 1000 nacidos vivos).</t>
  </si>
  <si>
    <t>Servicio de información de vigilancia epidemiológica</t>
  </si>
  <si>
    <t>Informes de evento generados en la vigencia</t>
  </si>
  <si>
    <t>Prevalencia de niños menores de 5 años con desnutrición aguda</t>
  </si>
  <si>
    <t>Servicio de asistencia técnica en inspección, vigilancia y control</t>
  </si>
  <si>
    <t>Asistencias técnica en Inspección, Vigilancia y Control realizadas</t>
  </si>
  <si>
    <t>Mortalidad por infección respiratoria aguda (IRA) menores 5 años (número de muertes anual)</t>
  </si>
  <si>
    <t>Realizar la vigilancia epidemiológica de plaguicidas en el marco del programa veo (vigilancia epidemiológica de organofosforados y carba matos) en los municipios de competencia departamental.</t>
  </si>
  <si>
    <t>Municipios con procesos de vigilancia epidemiológica de plaguicidas organofosforados y carbamatos realizados.</t>
  </si>
  <si>
    <t xml:space="preserve">Implementación del modelo operativo de Inspección, Vigilancia y Control IVC sanitario en los municipios de competencia departamental. </t>
  </si>
  <si>
    <t xml:space="preserve">Modelo de IVC sanitario operando </t>
  </si>
  <si>
    <t>Mortalidad por dengue (casos)</t>
  </si>
  <si>
    <t>Servicio de promoción, prevención, vigilancia y control de vectores y zoonosis</t>
  </si>
  <si>
    <t>Municipios categorías 4, 5 y 6 qué formulen y ejecuten real y efectivamente acciones de promoción, prevención, vigilancia y control de vectores y zoonosis realizados</t>
  </si>
  <si>
    <t>Servicio de evaluación, aprobación y seguimiento de planes de gestión integral del riesgo</t>
  </si>
  <si>
    <t>Informes de evaluación, aprobación y seguimiento de Planes de Gestión Integral de Riesgo realizados</t>
  </si>
  <si>
    <t>Tasa mortalidad en menores de 5 años (por 1.000 nacidos vivos).</t>
  </si>
  <si>
    <t>Servicio de inspección, vigilancia y control</t>
  </si>
  <si>
    <t>visitas realizadas</t>
  </si>
  <si>
    <t>Porcentaje de población asegurada al SGSSS
Oportunidad en la presunción diagnóstica y tratamiento oncológico en menores de 18 años (alta y media)</t>
  </si>
  <si>
    <t>Documentos técnicos publicados y/o socializados</t>
  </si>
  <si>
    <t>202000363-0117</t>
  </si>
  <si>
    <t xml:space="preserve"> Implementación de programas de promoción social en poblaciones  especiales en el Departamento del Quindío </t>
  </si>
  <si>
    <t>Fortalecer la gestión intersectorial en salud de los grupos con alta vulnerabilidad</t>
  </si>
  <si>
    <t>Tasa de violencia de género</t>
  </si>
  <si>
    <t>Servicio de adopción y seguimiento de acciones y medidas especiales</t>
  </si>
  <si>
    <t>Acciones y medidas especiales ejecutadas</t>
  </si>
  <si>
    <t>Mortalidad por diarreica aguda (EDA) menores 5 años (número de muertes anual)
Prevalencia de niños menores de 5 años con desnutrición aguda
Índice de riesgo de la calidad de agua para consumo humano IRCA</t>
  </si>
  <si>
    <t>Servicio de análisis de laboratorio</t>
  </si>
  <si>
    <t>Análisis realizados</t>
  </si>
  <si>
    <t>202000363-0118</t>
  </si>
  <si>
    <t xml:space="preserve"> Fortalecimiento de las actividades de vigilancia y control del laboratorio de salud pública en el Departamento del Quindío  
</t>
  </si>
  <si>
    <t>Mejorar la capacidad analítica del LSP Departamental  para dar respuesta  a las necesidades del Sistema de Vigilancia en Salud Pública</t>
  </si>
  <si>
    <t>Tasa ajustada por edad de mortalidad asociada a cáncer de cuello uterino (por 100.000 mujeres).</t>
  </si>
  <si>
    <t>Servicio de auditoría y visitas inspectivas</t>
  </si>
  <si>
    <t>Auditorías y visitas inspectivas realizadas</t>
  </si>
  <si>
    <t xml:space="preserve">Informes de los resultados obtenidos en la vigilancia sanitaria </t>
  </si>
  <si>
    <t>Asistencias técnicas realizadas</t>
  </si>
  <si>
    <t>202000363-0119</t>
  </si>
  <si>
    <t xml:space="preserve"> Asistencia técnica para el fortalecimiento de la gestión de las entidades territoriales del Departamento del Quindío  </t>
  </si>
  <si>
    <t xml:space="preserve">Fortalecer los procesos de articulación y competencias territoriales en el sistema general de seguridad social en salud </t>
  </si>
  <si>
    <t>Oportunidad en la presunción diagnóstica y tratamiento oncológico en menores de 18 años (alta y media)</t>
  </si>
  <si>
    <t>Servicio de información para la gestión de la inspección, vigilancia y control sanitario</t>
  </si>
  <si>
    <t>Usuarios del sistema</t>
  </si>
  <si>
    <t>202000363-0120</t>
  </si>
  <si>
    <t>Asesoría y apoyo al proceso del sistema obligatorio de garantía de calidad de los prestadores de salud en el Departamento del Quindío</t>
  </si>
  <si>
    <t>Asegurar la implementación y cumplimiento de la totalidad de los estándares de Habilitación de acuerdo al nivel de complejidad.</t>
  </si>
  <si>
    <t>Razón de mortalidad materna (por 100.000 nacidos vivos)</t>
  </si>
  <si>
    <t>Servicio de certificaciones en buenas prácticas</t>
  </si>
  <si>
    <t>Certificaciones expedidas</t>
  </si>
  <si>
    <t>Porcentaje de atención institucional del parto por personal calificado.</t>
  </si>
  <si>
    <t>Porcentaje de población asegurada al SGSSS</t>
  </si>
  <si>
    <t>Servicios de comunicación y divulgación en inspección, vigilancia y control</t>
  </si>
  <si>
    <t>Eventos de rendición de cuentas realizados</t>
  </si>
  <si>
    <t>202000363-0121</t>
  </si>
  <si>
    <t xml:space="preserve"> Apoyo operativo a la inversión social en salud en el Departamento del Quindío </t>
  </si>
  <si>
    <t xml:space="preserve">Fortalecer los procesos estratégicos, administrativos y misionales del sector salud en el departamento del Quindío  </t>
  </si>
  <si>
    <t>Porcentaje de nacidos vivos con 4 o más controles prenatales</t>
  </si>
  <si>
    <t>Servicio del ejercicio del procedimiento administrativo sancionatorio</t>
  </si>
  <si>
    <t xml:space="preserve">Procesos con aplicación del procedimiento administrativo sancionatorio tramitados </t>
  </si>
  <si>
    <t>Porcentaje transmisión materno -infantil del VIH.</t>
  </si>
  <si>
    <t>Servicio de gestión de peticiones, quejas, reclamos y denuncias</t>
  </si>
  <si>
    <t>Preguntas Quejas Reclamos y Denuncias Gestionadas</t>
  </si>
  <si>
    <t>Servicio de implementación de estrategias para el fortalecimiento del control social en salud</t>
  </si>
  <si>
    <t>Estrategias para el fortalecimiento del control social en salud implementadas</t>
  </si>
  <si>
    <t>Servicio de gestión del riesgo para temas de consumo, aprovechamiento biológico, calidad e inocuidad de los alimentos.</t>
  </si>
  <si>
    <t>Campañas de gestión del riesgo para temas de consumo, aprovechamiento biológico, calidad e inocuidad de los alimentos implementadas</t>
  </si>
  <si>
    <t>202000363-0122</t>
  </si>
  <si>
    <t xml:space="preserve"> Aprovechamiento biológico y consumo de  alimentos inocuos  en el Departamento del Quindío </t>
  </si>
  <si>
    <t>Disminuir o mantener la proporción de niños menores de 5 años en riesgo de desnutrición moderada o severa aguda</t>
  </si>
  <si>
    <t>Servicios de promoción de la salud y prevención de riesgos asociados a condiciones no transmisibles</t>
  </si>
  <si>
    <t>Campañas de promoción de la salud y prevención de riesgos asociados a condiciones no transmisibles implementadas</t>
  </si>
  <si>
    <t>Tasa de mortalidad por malaria.</t>
  </si>
  <si>
    <t xml:space="preserve">Servicio de educación informal en temas de salud pública </t>
  </si>
  <si>
    <t>202000363-0123</t>
  </si>
  <si>
    <t>Control en Salud Ambiental para la consecución de un estado de vida saludable de la población  del  Departamento del Quindío.</t>
  </si>
  <si>
    <t>Disminuir  los factores de riesgo sanitarios y ambientales asociados a eventos de interés en salud pública relacionados con la salud ambiental como en aumento de la carga contaminante del agua, entre otros.</t>
  </si>
  <si>
    <t>Tasa  de mujeres de 10 a 14 años qué han sido madres o están en embarazo.
Tasa de mujeres de 15 a 19 años qué han sido madres o están en embarazo.</t>
  </si>
  <si>
    <t xml:space="preserve">Realizar seguimiento y monitoreo a las Entidades Administradoras de Planes Básicos EAPB en la implementación de la Ruta Integral de Atención para la Promoción y Mantenimiento de la Salud y Materno Perinatal en el Departamento  </t>
  </si>
  <si>
    <t>Entidades Administradoras de Planes Básicos EAPB con Rutas de obligatorio cumplimiento Implementadas</t>
  </si>
  <si>
    <t>Letalidad por dengue.</t>
  </si>
  <si>
    <t>Formular en Plan de Fortalecimiento de Capacidades en Salud Ambiental en coordinación con el Consejo Territorial de Salud Ambiental COTSA</t>
  </si>
  <si>
    <t xml:space="preserve"> Plan de Fortalecimiento de Capacidades en Salud Ambiental FORMULADO </t>
  </si>
  <si>
    <t>Implementar en protocolo de vigilancia sanitaria y ambiental de los efectos en salud relacionados con la contaminación del aire en los 11 municipios de competencia departamental.</t>
  </si>
  <si>
    <t>Protocolo implementado</t>
  </si>
  <si>
    <t>Mortalidad por dengue (casos)
Letalidad por dengue.</t>
  </si>
  <si>
    <t>Formulación e implementación del Plan Departamental en Salud Ambiental de adaptación al cambio climático.</t>
  </si>
  <si>
    <t>Plan Departamental en Salud Ambiental de adaptación al cambio climático implementado</t>
  </si>
  <si>
    <t>Implementar la estrategia de entornos saludables en articulación intersectorial y sectorial en los entornos de vivienda, educativo, institucional y comunitario con énfasis en la Atención Primaria en Salud Ambiental APSA.</t>
  </si>
  <si>
    <t xml:space="preserve">Estrategia de entornos saludables en articulación intersectorial y sectorial implementada </t>
  </si>
  <si>
    <t xml:space="preserve">Implementación de la estrategia de movilidad saludable, segura y sostenible </t>
  </si>
  <si>
    <t xml:space="preserve">Estrategia de movilidad saludable, segura y sostenible   implementada </t>
  </si>
  <si>
    <t>202000363-0124</t>
  </si>
  <si>
    <t xml:space="preserve">Fortalecimiento de acciones propias a los derechos sexuales y reproductivos en el Departamento del Quindío. </t>
  </si>
  <si>
    <t xml:space="preserve">Disminuir de los eventos de interés en salud pública relacionados con la salud sexual y reproductiva en especial de la mortalidad materna  </t>
  </si>
  <si>
    <t xml:space="preserve">Realizar seguimiento y Monitoreo a las Entidades Administradoras de Planes Básicos EAPB en la implementación de la Ruta Integral de Atención para la Promoción y Mantenimiento de la Salud y Materno Perinatal en el Departamento  </t>
  </si>
  <si>
    <t>Servicio de gestión del riesgo en temas de consumo de sustancias psicoactivas</t>
  </si>
  <si>
    <t>Campañas de gestión del riesgo en temas de consumo de sustancias psicoactivas implementadas</t>
  </si>
  <si>
    <t>202000363-0125</t>
  </si>
  <si>
    <t>Consolidación de acciones de promoción de la salud y prevención primaria en salud mental en el Departamento del Quindío.</t>
  </si>
  <si>
    <t>Disminuir la morbimortalidad asociada a la salud mental principalmente de la violencia intrafamiliar</t>
  </si>
  <si>
    <t>Adaptar e implementar la política pública de salud mental para en Departamento del Quindío</t>
  </si>
  <si>
    <t xml:space="preserve">Política pública en Salud Mental adaptada e Implementada  </t>
  </si>
  <si>
    <t>Tasa ajustada por edad de mortalidad asociada a cáncer de cuello uterino (por 100.000 mujeres).
Oportunidad en la presunción diagnóstica y tratamiento oncológico en menores de 18 años (alta y media)</t>
  </si>
  <si>
    <t>Servicio de gestión del riesgo para abordar condiciones crónicas prevalentes</t>
  </si>
  <si>
    <t>Campañas de gestión del riesgo para abordar condiciones crónicas prevalentes implementadas</t>
  </si>
  <si>
    <t>202000363-0126</t>
  </si>
  <si>
    <t>Proyecto de promoción de estilos de vida saludable y control y vigilancia en la gestión del riesgo de condiciones no transmisibles en el Departamento del Quindío.</t>
  </si>
  <si>
    <t>Disminuir la carga de la enfermedad asociada a las enfermedades crónicas no trasmisibles</t>
  </si>
  <si>
    <t>Cobertura de vacunación con DPT en menores de 1 año
Cobertura de vacunación con Triple Viral en niños de 1 año
Cobertura útil con esquema completo de vacunación para la edad (triple viral a los 5 años)</t>
  </si>
  <si>
    <t>Cuartos fríos adecuados</t>
  </si>
  <si>
    <t>202000363-0127</t>
  </si>
  <si>
    <t xml:space="preserve">Fortalecimiento de acciones de promoción, prevención y protección específica para la población infantil en el Departamento del Quindío.  </t>
  </si>
  <si>
    <t>Reducir la exposición a condiciones y factores de riesgo ambientales, sanitarios y biológicos, de las contingencias y daños producidos por las enfermedades transmisibles</t>
  </si>
  <si>
    <t>Cobertura útil con esquema completo de vacunación para la edad (triple viral a los 5 años)
Mortalidad por infección respiratoria aguda (IRA) menores 5 años (número de muertes anual)
Mortalidad por diarreica aguda (EDA) menores 5 años (número de muertes anual)
Tasa de mortalidad por malaria.</t>
  </si>
  <si>
    <t>Servicio de gestión del riesgo para enfermedades emergentes, reemergentes y desatendidas</t>
  </si>
  <si>
    <t>Campañas de gestión del riesgo para enfermedades emergentes, reemergentes y desatendidas implementadas.</t>
  </si>
  <si>
    <t>Servicio de gestión del riesgo para enfermedades inmunoprevenibles</t>
  </si>
  <si>
    <t>Campañas de gestión del riesgo para enfermedades inmunoprevenibles  implementadas</t>
  </si>
  <si>
    <t>Mortalidad por dengue (casos) 
Letalidad por dengue.</t>
  </si>
  <si>
    <t>Formulación e implementación del plan departamental en salud Ambiental de adaptación al cambio climático.</t>
  </si>
  <si>
    <t>202000363-0128</t>
  </si>
  <si>
    <t xml:space="preserve">Difusión de la estrategia de gestión integral y de control en vectores, zoonosis y cambio climático del Departamento del Quindío.   </t>
  </si>
  <si>
    <t xml:space="preserve"> Disminuir en índice de enfermedades trasmisión vectorial y zoonosis en la población   </t>
  </si>
  <si>
    <t>202000363-0129</t>
  </si>
  <si>
    <t xml:space="preserve"> Fortalecimiento de la inclusión social para la disminución del riesgo de contraer enfermedades transmisibles en el Departamento del Quindío.  </t>
  </si>
  <si>
    <t xml:space="preserve"> Aumentar la adherencia al tratamiento de los pacientes con diagnóstico de tuberculosis  </t>
  </si>
  <si>
    <t>Servicio de gestión del riesgo para enfermedades emergentes, reemergentes y desatendidas.</t>
  </si>
  <si>
    <t>202000363-0130</t>
  </si>
  <si>
    <t xml:space="preserve">Implementación de acciones para la contención de la pandemia Tú y Yo contra COVID </t>
  </si>
  <si>
    <t>Eficiente gestión integral del riesgo en eventos de interés en salud pública, ante la pandemia por COVID-19</t>
  </si>
  <si>
    <t>Servicios de atención en salud pública en situaciones de emergencias y desastres</t>
  </si>
  <si>
    <t>Personas en capacidad de ser atendidas</t>
  </si>
  <si>
    <t>202000363-0131</t>
  </si>
  <si>
    <t xml:space="preserve"> Prevención, preparación, contingencia, mitigación y superación de emergencias y contingencias por eventos relacionados con la salud pública en el Departamento del Quindío.  </t>
  </si>
  <si>
    <t>Coordinar acciones  para la gestión integral  del riesgo en  situaciones de emergencias y desastres  en las IPS y autoridad sanitaria del departamento</t>
  </si>
  <si>
    <t>Servicio de gestión del riesgo para abordar situaciones prevalentes de origen laboral</t>
  </si>
  <si>
    <t>Campañas de gestión del riesgo para abordar situaciones prevalentes de origen laboral implementadas</t>
  </si>
  <si>
    <t>202000363-0132</t>
  </si>
  <si>
    <t xml:space="preserve"> Prevención vigilancia y control de eventos en el ámbito laboral en el Departamento del Quindío.  </t>
  </si>
  <si>
    <t xml:space="preserve">Disminuir los eventos de origen laboral en los trabajadores del sector formal del Departamento del Quindío </t>
  </si>
  <si>
    <t xml:space="preserve">Documentos de planeación en epidemiología y demografía elaborados </t>
  </si>
  <si>
    <t>202000363-0133</t>
  </si>
  <si>
    <t xml:space="preserve"> Fortalecimiento del sistema de vigilancia en salud pública en el Departamento del Quindío. </t>
  </si>
  <si>
    <t xml:space="preserve"> Aumentar los índices de cumplimiento en los indicadores de calidad, cobertura y  oportunidad del sistema de vigilancia en salud pública departamental </t>
  </si>
  <si>
    <t>Porcentaje de atención institucional del parto.</t>
  </si>
  <si>
    <t xml:space="preserve">1905009
</t>
  </si>
  <si>
    <t>Centros reguladores de urgencias, emergencias y desastres funcionando y dotados</t>
  </si>
  <si>
    <t xml:space="preserve">190500900
</t>
  </si>
  <si>
    <t>Centros reguladores de urgencias, emergencias y desastres dotados y funcionando.</t>
  </si>
  <si>
    <t>202000363-0134</t>
  </si>
  <si>
    <t xml:space="preserve">Fortalecimiento de la red de urgencias y emergencias en el Departamento del Quindío. </t>
  </si>
  <si>
    <t>Fortalecer en la integración de la red hospitalaria del departamento del Quindío.</t>
  </si>
  <si>
    <t>202000363-0135</t>
  </si>
  <si>
    <t>Fortalecimiento de las intervenciones colectivas y prioridades en salud pública del Departamento del Quindío- PIC</t>
  </si>
  <si>
    <t>Disminuir la morbimortalidad asociada  a la carga de la enfermedad por los determinantes sociales fortaleciendo  las acciones de complementariedad  a los municipios</t>
  </si>
  <si>
    <t>Servicio de promoción de afiliaciones al régimen contributivo del Sistema General de Seguridad Social de las personas con capacidad de pago</t>
  </si>
  <si>
    <t>Personas con capacidad de pago afiliadas</t>
  </si>
  <si>
    <t>202000363-0136</t>
  </si>
  <si>
    <t xml:space="preserve">Subsidio y cofinanciación al régimen subsidiado del Sistema General de Seguridad Social en Salud en el Departamento del Quindío.  </t>
  </si>
  <si>
    <t>Aumentar la cobertura universal en aseguramiento al sistema de atención integral y para la población del Departamento del Quindío</t>
  </si>
  <si>
    <t>Cobertura de tratamiento antirretroviral</t>
  </si>
  <si>
    <t>Servicio de cofinanciación para la continuidad del  régimen subsidiado en salud en 11 municipios del departamento</t>
  </si>
  <si>
    <t>Personas afiliadas</t>
  </si>
  <si>
    <t>Servicio de apoyo con tecnologías para prestación de servicios en salud</t>
  </si>
  <si>
    <t>Población inimputable atendida</t>
  </si>
  <si>
    <t>202000363-0137</t>
  </si>
  <si>
    <t xml:space="preserve">Prestación de Servicios a la Población no Afiliada al Sistema General de Seguridad Social en Salud y en los no POS a la Población del Régimen Subsidiado.  
 </t>
  </si>
  <si>
    <t xml:space="preserve">Mejoramiento en la prestación de los servicios de salud para la atención de la población no afiliada </t>
  </si>
  <si>
    <t>Servicios de reconocimientos para en cumplimiento de metas de calidad, financiera, producción y transferencias especiales.</t>
  </si>
  <si>
    <t>Porcentaje de recursos transferidos</t>
  </si>
  <si>
    <t>Servicios de reconocimientos de deuda</t>
  </si>
  <si>
    <t>Porcentaje de recursos pagados</t>
  </si>
  <si>
    <t>Tasa de mujeres de 15 a 19 años qué han sido madres o están en embarazo.</t>
  </si>
  <si>
    <t>Servicio de asistencia técnica a Instituciones prestadoras de servicios de salud</t>
  </si>
  <si>
    <t>Instituciones Prestadoras de Servicios de salud asistidas técnicamente</t>
  </si>
  <si>
    <t>202000363-0138</t>
  </si>
  <si>
    <t xml:space="preserve">Fortalecimiento de la red de prestación de servicios pública del Departamento del Quindío.   </t>
  </si>
  <si>
    <t>Aumento en la calidad del proceso de reporte, vigilancia y control del manejo de los recursos de salud en el Departamento del Quindío</t>
  </si>
  <si>
    <t>Cobertura útil con esquema completo de vacunación para la edad (triple viral a los 5 años)
Porcentaje de nacidos vivos con 4 o más controles prenatales</t>
  </si>
  <si>
    <t>Hospitales de primer nivel de atención dotados</t>
  </si>
  <si>
    <t>Servicio de apoyo a la prestación del servicio de transporte de pacientes</t>
  </si>
  <si>
    <t>Entidades de la red pública en salud apoyadas en la adquisición de ambulancias</t>
  </si>
  <si>
    <t>Servicio de apoyo con tecnologías para la prestación de los servicios en salud</t>
  </si>
  <si>
    <t>Pacientes atendidos</t>
  </si>
  <si>
    <t>324  SECRETARÍA TECNOLÓGIAS DE LA INFORMACIÓN Y COMUNICACIÓN</t>
  </si>
  <si>
    <t>Facilitar el acceso y uso de las Tecnologías de la Información y las Comunicaciones en todo en departamento del Quindío. "Tú y yo somos ciudadanos TIC"</t>
  </si>
  <si>
    <t>Tasa de crecimiento de puntos de acceso a internet gratis 
Índice Departamental de Competitividad
Tasa de Desempleo</t>
  </si>
  <si>
    <t>Servicio de acceso y uso de tecnologías de la información y las comunicaciones</t>
  </si>
  <si>
    <t>Centros de acceso comunitario en zonas urbanas funcionando</t>
  </si>
  <si>
    <t>202000363-0038</t>
  </si>
  <si>
    <t xml:space="preserve"> Fortalecimiento  y apoyo a las tecnologías de la información y las comunicaciones en el departamento del Quindío.</t>
  </si>
  <si>
    <t xml:space="preserve"> Incrementar  la Tasa de crecimiento de puntos de acceso a internet gratis  y del Índice de competitividad en el departamento del Quindío, mediante en mejoramiento de los servicio de acceso a las tecnologías de la información  y las comunicaciones </t>
  </si>
  <si>
    <t>Secretaría Información</t>
  </si>
  <si>
    <t>John Mario Liévano Fernández</t>
  </si>
  <si>
    <t>Soluciones de conectividad en instituciones públicas instaladas</t>
  </si>
  <si>
    <t>Servicio de acceso Zonas Wifi</t>
  </si>
  <si>
    <t>Zonas Wifi en áreas rurales instaladas</t>
  </si>
  <si>
    <t>Servicio de apoyo en tecnologías de la información y las comunicaciones para la educación básica, primaria y secundaria</t>
  </si>
  <si>
    <t>Relación de estudiantes por terminal de cómputo en sedes educativas oficiales</t>
  </si>
  <si>
    <t>R</t>
  </si>
  <si>
    <t>Nivel de avance alto en el Índice de Gobierno digital
Índice Departamental de Competitividad
Tasa de Desempleo</t>
  </si>
  <si>
    <t>Servicio de educación informal en tecnologías de la información y las comunicaciones.</t>
  </si>
  <si>
    <t>Personas capacitadas en tecnologías de la información y las comunicaciones</t>
  </si>
  <si>
    <t>202000363-0139</t>
  </si>
  <si>
    <t>Apoyo a la apropiación tecnológica y generacional en el Departamento del Quindío</t>
  </si>
  <si>
    <t>Incrementar  en  Índice de Gobierno digital y de competitividad, además de disminuir la tasa de desempleo en el Departamento de Quindío, a través del fortalecimiento de la apropiación tecnológica, mediante estrategias de asistencia técnica, pedagógicas qué permitan lograr el empoderamiento TIC en el Departamento</t>
  </si>
  <si>
    <t>Servicio de asistencia técnica para proyectos en Tecnologías de la Información y las Comunicaciones</t>
  </si>
  <si>
    <t>Municipios asistidos en diseño, implementación, ejecución y/ o liquidación  de proyectos</t>
  </si>
  <si>
    <t>Servicio de educación para en trabajo en temas de uso pedagógico de tecnologías de la información y las comunicaciones.</t>
  </si>
  <si>
    <t>Docentes formados en uso pedagógico de tecnologías de la información y las comunicaciones.</t>
  </si>
  <si>
    <t>Servicio de telecomunicaciones para el envío de alertas tempranas a la población.</t>
  </si>
  <si>
    <t xml:space="preserve">Disponibilidad del servicio  de telecomunicaciones para el envío de alertas tempranas a la población. </t>
  </si>
  <si>
    <t>Fomento del desarrollo de aplicaciones, software y contenidos para impulsar la apropiación de las Tecnologías de la Información y las Comunicaciones (TIC) "Quindío paraiso empresarial TIC-Quindío TIC"</t>
  </si>
  <si>
    <t>Servicio de promoción de la industria de tecnologías de la información</t>
  </si>
  <si>
    <t xml:space="preserve">Eventos para  promoción  de productos y Servicio de la industria TI realizados </t>
  </si>
  <si>
    <t>202000363-0039</t>
  </si>
  <si>
    <t xml:space="preserve"> Fortalecimiento del sector empresarial del departamento del Quindío </t>
  </si>
  <si>
    <t xml:space="preserve">Incrementar la Tasa de crecimiento de puntos de acceso a internet gratis,  en Índice Departamental de Competitividad y la Tasa de Desempleo  a través de la potencialización  del Sector Empresarial del departamento del Quindío con la  apropiación y uso de las tecnologías de la información y las comunicaciones  </t>
  </si>
  <si>
    <t>Servicio de asistencia técnica a empresas de la industria de Tecnologías de la Información para mejorar sus capacidades de comercialización e innovación</t>
  </si>
  <si>
    <t>Empresas beneficiadas con actividades de fortalecimiento  de la industria TI</t>
  </si>
  <si>
    <t>Servicio de asistencia técnica a emprendedores y empresas</t>
  </si>
  <si>
    <t>Emprendedores y empresas asistidas técnicamente</t>
  </si>
  <si>
    <t xml:space="preserve">Tasa de crecimiento de puntos de acceso a internet gratis </t>
  </si>
  <si>
    <t>Servicio de educación informal en Teletrabajo</t>
  </si>
  <si>
    <t xml:space="preserve">Personas y/o entidades (públicas y privadas) de la comunidad capacitadas en teletrabajo </t>
  </si>
  <si>
    <t>Servicio de educación informal para aumentar la calidad y cantidad de talento humano para la industria TI</t>
  </si>
  <si>
    <t>Personas capacitadas en programas informales de Tecnologías de la Información</t>
  </si>
  <si>
    <t>3903</t>
  </si>
  <si>
    <t xml:space="preserve">Desarrollo tecnológico e innovación para en crecimiento empresarial </t>
  </si>
  <si>
    <t>Tasa de crecimiento de empresas en el sector productivo transformadas digitalmente</t>
  </si>
  <si>
    <t>Servicio de apoyo para la transferencia de conocimiento y tecnología</t>
  </si>
  <si>
    <t>390300501</t>
  </si>
  <si>
    <t>Nuevas tecnologías adoptadas</t>
  </si>
  <si>
    <t>202000363-0140</t>
  </si>
  <si>
    <t xml:space="preserve">   Implementación de la transformación digital del sector empresarial en el Departamento del Quindío  </t>
  </si>
  <si>
    <t xml:space="preserve">Incrementar la tasa de crecimiento de empresas en el sector productivo transformadas digitalmente,  a través de  la apropiación de herramientas digitales, qué les  permitan ser competitivos en los diferentes sectores </t>
  </si>
  <si>
    <t>390300507</t>
  </si>
  <si>
    <t>Start up generadas</t>
  </si>
  <si>
    <t>390300511</t>
  </si>
  <si>
    <t>Conocimiento tecnológico adquirido</t>
  </si>
  <si>
    <t>Incremento de emprendimientos y/o empresas de base tecnológica</t>
  </si>
  <si>
    <t>Servicios de comunicación con enfoque en ciencia tecnología y sociedad</t>
  </si>
  <si>
    <t>Juguetes, juegos o videojuegos para la comunicación de la ciencia, tecnología e innovación producidos</t>
  </si>
  <si>
    <t>202000363-0040</t>
  </si>
  <si>
    <t xml:space="preserve">  Implementación  y  divulgación de la estrategia    "Quindío innovador y competitivo"   </t>
  </si>
  <si>
    <t xml:space="preserve"> Incrementar  los  emprendimientos y/o empresas de base tecnológica a través de la implementación de una estrategia de  promoción de la  cultura  de la innovación  y gestión del  conocimiento. </t>
  </si>
  <si>
    <t>Nivel de avance alto en el Índice de Gobierno digital</t>
  </si>
  <si>
    <t>Desarrollos digitales</t>
  </si>
  <si>
    <t>Productos digitales desarrollados</t>
  </si>
  <si>
    <t>202000363-0141</t>
  </si>
  <si>
    <t xml:space="preserve"> Fortalecimiento de la estrategia de gobierno digital  en la Administración Departamental y los Entes Territoriales del departamento del  Quindío  </t>
  </si>
  <si>
    <t xml:space="preserve">Incrementar  Índice de Gobierno digital de la Administración departamental  y los Entes territoriales del Quindío generando condiciones de gobernanza, participación comunitaria y administraciones  eficientes </t>
  </si>
  <si>
    <t>Servicio de educación informal para la implementación de la estrategia de gobierno digital</t>
  </si>
  <si>
    <t>Personas capacitadas para la implementación de la Estrategia de Gobierno digital</t>
  </si>
  <si>
    <t>Servicio de educación informal en Gestión TI y en Seguridad y Privacidad de la Información</t>
  </si>
  <si>
    <t>Personas capacitadas para en Gestión TI y en Seguridad y Privacidad de la Información</t>
  </si>
  <si>
    <t>Documentos de evaluación</t>
  </si>
  <si>
    <t>Documentos de evaluación de programas enfocados en generar competencias TIC</t>
  </si>
  <si>
    <t>Documentos metodológicos</t>
  </si>
  <si>
    <t>Documento metodológico del modelo de acompañamiento para la implementación de la Estrategia de Gobierno digital elaborado</t>
  </si>
  <si>
    <t>TOTAL ADMINISTRACIÓN CENTRAL:</t>
  </si>
  <si>
    <t>TECHOS HACIENDA</t>
  </si>
  <si>
    <t>ESTAP. PROCULTURA</t>
  </si>
  <si>
    <t>ESTA. ADULTO MAYO</t>
  </si>
  <si>
    <t>ESTAMP. PRODESARROLLO</t>
  </si>
  <si>
    <t>DIFERENCIA</t>
  </si>
  <si>
    <t xml:space="preserve">319 INDEPORTES QUINDÍO </t>
  </si>
  <si>
    <t>Cobertura de municipios qué participan en programas de recreación, actividad física y deporte social y comunitario en el Departamento del Quindío.
Tasa de consumo de sustancias psicoactivas X100.000 habitantes en el Departamento del Quindío</t>
  </si>
  <si>
    <t>Servicio de Escuelas Deportivas</t>
  </si>
  <si>
    <t>Municipios con Escuelas Deportivas</t>
  </si>
  <si>
    <t>Fortalecimiento, hábitos y estilos de vida saludable como instrumento SALVAVIDAS en el departamento del Quindío</t>
  </si>
  <si>
    <t xml:space="preserve">Incrementar la cobertura de municipios qué participan en programas de recreación, actividad física, deporte social y comunitario, además de la  disminución de las tasas de sustancias psicoactivas en el Departamento del Quindío,  a través   participación y promoción de actividades físicas, deportivas y recreativas. </t>
  </si>
  <si>
    <t>Servicio de promoción de la actividad física, la recreación y en deporte</t>
  </si>
  <si>
    <t>Municipios vinculados al programa Supérate-Intercolegiados</t>
  </si>
  <si>
    <t>430103704</t>
  </si>
  <si>
    <t>Municipios implementando  programas de recreación, actividad física y deporte social comunitario</t>
  </si>
  <si>
    <t>Formular e  implementar una  política pública para en desarrollo y acceso al deporte, la recreación, la actividad física, la educación física y en uso adecuado del tiempo libre, como ejes de transformación humana y social en el departamento del Quindío</t>
  </si>
  <si>
    <t>Política pública formulada e implementada</t>
  </si>
  <si>
    <t>Formación y preparación de deportistas. "Tú y yo campeones"</t>
  </si>
  <si>
    <t xml:space="preserve">Cobertura de ligas apoyadas en el departamento del Quindío.
Tasa de consumo de sustancias psicoactivas X100.000 habitantes en el Departamento del Quindío
</t>
  </si>
  <si>
    <t>Servicio de asistencia técnica para la promoción del deporte</t>
  </si>
  <si>
    <t xml:space="preserve">Organismos deportivos asistidos </t>
  </si>
  <si>
    <t>Fortalecimiento al deporte competitivo y de altos logros "TU Y    YO SOMOS SALVAVIDAS POR UN QUINDIO GANADOR" en el Departamento del Quindío</t>
  </si>
  <si>
    <t xml:space="preserve">Incrementar la cobertura de municipios qué participan en programas de recreación, actividad física , deporte social y comunitario, además de la  disminución de las tasas de sustancias psicoactivas en el Departamento del Quindío, a través  de  la definición de  nuevas metodologías para el desarrollo del deporte formativo y competitivo  </t>
  </si>
  <si>
    <t>Porcentaje de medallería del departamento del Quindío en los Juegos Nacionales.
Tasa de consumo de sustancias psicoactivas X100.000 habitantes en el Departamento del Quindío</t>
  </si>
  <si>
    <t>Juegos Deportivos Realizados</t>
  </si>
  <si>
    <t>Desarrollo de los  XXII JUEGOS DEPORTIVOS NACIONALES Y VI JUEGOS PARANACIONALES   2023</t>
  </si>
  <si>
    <t xml:space="preserve">Incrementar la cobertura de municipios qué participan en programas de recreación, actividad física , deporte social y comunitario, además de la  disminución de las tasas de sustancias psicoactivas en el Departamento del Quindío, a través de la participación deportiva y organización de eventos multideportivos  </t>
  </si>
  <si>
    <t xml:space="preserve">320 PROMOTORA DE VIVIENDA </t>
  </si>
  <si>
    <t>202000363-0142</t>
  </si>
  <si>
    <t>Construcción, mejoramiento, rehabilitación y/o mantenimiento de obras complementarias de la infraestructura  deportiva y recreativa en el Departamento del Quindío.</t>
  </si>
  <si>
    <t>Incrementar la cobertura de municipios qué participan en programas de recreación, actividad física y deporte social y comunitario en el Departamento del Quindío, a través de la construcción, mejoramiento, rehabilitación y/o mantenimiento de obras complementarias de infraestructura deportiva y recreativa en el Departamento del Quindío con el propósito de generar espacio para la utilización del tiempo libre.</t>
  </si>
  <si>
    <t>202000363-0143</t>
  </si>
  <si>
    <t>Construcción, mejoramiento, rehabilitación y/o mantenimiento de obras complementarias en la Infraestructura educativa en el Departamento del Quindío.</t>
  </si>
  <si>
    <t>Incrementar las tasas de cobertura bruta en preescolar, educación básica y media, a través de esfuerzos interinstitucionales para realizar  obras complementarias en  Infraestructura educativa construida, mejorada, ampliada, reforzada y/o mantenida, en el Departamento del Quindío.</t>
  </si>
  <si>
    <t xml:space="preserve">índice de competitividad  en el sector de infraestructura vial </t>
  </si>
  <si>
    <t>202000363-0144</t>
  </si>
  <si>
    <t>Construcción, mejoramiento, rehabilitación y/o mantenimiento de obras complementarias a la infraestructura vial en el Departamento del Quindío</t>
  </si>
  <si>
    <t>Incrementar en índice de competitividad  en el sector de infraestructura vial, a través de la construcción y mejoramiento, rehabilitación y/o mantenimiento,  a través de obras físicas complementarias, garantizando condiciones de eficiencia, seguridad y confort a los a sus usuarios</t>
  </si>
  <si>
    <t xml:space="preserve">Servicio de asistencia técnica y jurídica en saneamiento y titulación de predios </t>
  </si>
  <si>
    <t>400100100</t>
  </si>
  <si>
    <t>Entidades territoriales asistidas técnica y jurídicamente</t>
  </si>
  <si>
    <t>202000363-0145</t>
  </si>
  <si>
    <t xml:space="preserve">Apoyo en la formulación y ejecución de proyectos de vivienda en el Departamento del Quindío  </t>
  </si>
  <si>
    <t>Disminuir en déficit cualitativo cuantitativo  de viviendas por hogares, a través de procesos de apoyo  en la formulación y ejecución de proyectos de vivienda,  con el ánimo de garantizar el derecho a la salud, a entornos saludables de los hogares de menores ingresos y a mejorar la calidad de vida de los quindianos.</t>
  </si>
  <si>
    <t>Déficit cuantitativo de viviendas por hogares</t>
  </si>
  <si>
    <t xml:space="preserve">Viviendas de Interés Prioritario urbanas construidas </t>
  </si>
  <si>
    <t>400101700</t>
  </si>
  <si>
    <t>Viviendas de Interés Prioritario urbanas construidas</t>
  </si>
  <si>
    <t xml:space="preserve">Viviendas de Interés Prioritario urbanas mejoradas </t>
  </si>
  <si>
    <t>400101800</t>
  </si>
  <si>
    <t>Viviendas de Interés Prioritario urbanas mejoradas</t>
  </si>
  <si>
    <t>Estudios de preinversión e inversión</t>
  </si>
  <si>
    <t>400103000</t>
  </si>
  <si>
    <t>Servicio de apoyo financiero para adquisición de vivienda</t>
  </si>
  <si>
    <t>Equipamientos construidos</t>
  </si>
  <si>
    <t>4001014</t>
  </si>
  <si>
    <t>Viviendas de Interés Social urbanas construidas</t>
  </si>
  <si>
    <t>400101400</t>
  </si>
  <si>
    <t>4001015</t>
  </si>
  <si>
    <t>321 INSTITUTO DEPARTAMENTAL DE TRANSITO</t>
  </si>
  <si>
    <t>Seguridad de Transporte. "Tú y yo seguros en la vía"</t>
  </si>
  <si>
    <t>Tasa de lesionados por siniestros viales por cada 100 habitantes.
Tasa de fallecidos por siniestros viales por cada 100 habitantes.</t>
  </si>
  <si>
    <t>Formular e Implementar una estrategia de movilidad saludable, segura y sostenible.</t>
  </si>
  <si>
    <t xml:space="preserve">Estrategia de movilidad saludable, segura y sostenible  formulada e implementada </t>
  </si>
  <si>
    <t>202000363-0146</t>
  </si>
  <si>
    <t>Disminuir las tasa de lesionados por siniestros viales y fallecidos por siniestros viales  a través de acciones de fortalecimiento de la seguridad vial en el Departamento del Quindío.</t>
  </si>
  <si>
    <t>Formular e Implementar un programa de formación en normas de tránsito y fomento de cultura  de la seguridad en la vía.</t>
  </si>
  <si>
    <t>Programa de formación cultural  de la seguridad en la vía formulado e implementado.</t>
  </si>
  <si>
    <t>Formular e Implementar un programa de control, prevención y atención del tránsito y en transporte en los municipios y vías de jurisdicción del IDTQ.</t>
  </si>
  <si>
    <t>Programa de control y atención del tránsito y en transporte formulado e implementado</t>
  </si>
  <si>
    <t>Diseñar e Implementar un programa de señalización y demarcación en los municipios y vías de jurisdicción del IDTQ.</t>
  </si>
  <si>
    <t>Programa de Señalización y demarcación en los municipios y vías de jurisdicción del IDTQ diseñado e Implementado</t>
  </si>
  <si>
    <t>TOTAL ENTIDADES DESCENTRALIZADAS</t>
  </si>
  <si>
    <t xml:space="preserve"> TECHOS HACIENDA E.D.</t>
  </si>
  <si>
    <t>DIFERENCIAS</t>
  </si>
  <si>
    <t>TOTAL POAI:</t>
  </si>
  <si>
    <t>CODIGO</t>
  </si>
  <si>
    <t>TOTAL PRESUPUESTADO</t>
  </si>
  <si>
    <t>POAI</t>
  </si>
  <si>
    <t>RECURSO ORDINARIO</t>
  </si>
  <si>
    <t>COFINANCIACION NACION</t>
  </si>
  <si>
    <t>TOTAL RECURSOS</t>
  </si>
  <si>
    <t>ESTAMILLA 
PRO DESARROLLO</t>
  </si>
  <si>
    <t>SGP APSB</t>
  </si>
  <si>
    <t>RECURSOS ORDINARIO</t>
  </si>
  <si>
    <t>FONDO DE SEGURIDAD</t>
  </si>
  <si>
    <t>ESTAMPILLA 
PRO CULTURA</t>
  </si>
  <si>
    <t>IVA TELEFONIA</t>
  </si>
  <si>
    <t>IMPUESTO AL REGISTRO</t>
  </si>
  <si>
    <t>MONOPOLIO</t>
  </si>
  <si>
    <t>SGP EDUCACION PS</t>
  </si>
  <si>
    <t>SGP EDUCACION AP</t>
  </si>
  <si>
    <t>FONDO RECURSO PAE</t>
  </si>
  <si>
    <t>ESTAMPILLA PRO 
ADULTO MAYOR</t>
  </si>
  <si>
    <t>SGP SALUD</t>
  </si>
  <si>
    <t>RENTAS CEDIDAS 
MONOPOLIO</t>
  </si>
  <si>
    <t>RECURSOS
NACION</t>
  </si>
  <si>
    <t>OTROS RECURSOS</t>
  </si>
  <si>
    <t>ESTAMPILLA 
PRODESARROLLO</t>
  </si>
  <si>
    <t>PROPIOS</t>
  </si>
  <si>
    <t xml:space="preserve">  John Harold Valencia Rodríguez </t>
  </si>
  <si>
    <t xml:space="preserve"> John Harold Valencia Rodríguez </t>
  </si>
  <si>
    <t>Fernando  Augusto Paneso Zuluaga</t>
  </si>
  <si>
    <t xml:space="preserve">Gerente </t>
  </si>
  <si>
    <t xml:space="preserve"> Gerente </t>
  </si>
  <si>
    <t>Pablo César Herrera Correa</t>
  </si>
  <si>
    <t>Instituciones educativas oficiales que implementan en nivel preescolar en el marco de la atención integral</t>
  </si>
  <si>
    <t>CODIGO SECTOR KPT</t>
  </si>
  <si>
    <t>NOMBRE SECTOR KPT</t>
  </si>
  <si>
    <t>Gobierno territorial</t>
  </si>
  <si>
    <t>Justicia y del derecho</t>
  </si>
  <si>
    <t>Salud y protección social</t>
  </si>
  <si>
    <t>Cultura</t>
  </si>
  <si>
    <t>Deporte, recreación …</t>
  </si>
  <si>
    <t>Ambiente y desarrollo sostenible</t>
  </si>
  <si>
    <t>Inclusión social</t>
  </si>
  <si>
    <t>Comercio, Industria y Turismo</t>
  </si>
  <si>
    <t>Trabajo</t>
  </si>
  <si>
    <t>Agricultura y desarrollo rural</t>
  </si>
  <si>
    <t>Ciencia, Tecnolgía e Innovación</t>
  </si>
  <si>
    <t>Gobierno Territorial</t>
  </si>
  <si>
    <t>Tecnologías de la información y las comunicaciones</t>
  </si>
  <si>
    <t>307 SECRETARÍA DE HACIENDA</t>
  </si>
  <si>
    <t xml:space="preserve">
190501502</t>
  </si>
  <si>
    <t xml:space="preserve">
190501501</t>
  </si>
  <si>
    <t xml:space="preserve">
1905015</t>
  </si>
  <si>
    <t xml:space="preserve">PLANEACIÓN </t>
  </si>
  <si>
    <t xml:space="preserve">AGUAS E INFRAESTRUCTURA </t>
  </si>
  <si>
    <t xml:space="preserve">DIRECCIÓN OFICINA PRIVADA </t>
  </si>
  <si>
    <t xml:space="preserve">TOTAL </t>
  </si>
  <si>
    <t>SECRETARIAS</t>
  </si>
  <si>
    <t xml:space="preserve">CUANTIA </t>
  </si>
  <si>
    <t>%</t>
  </si>
  <si>
    <t xml:space="preserve">ADMINISTRATIVA </t>
  </si>
  <si>
    <t>HACIENDA</t>
  </si>
  <si>
    <t xml:space="preserve">TURISMO INDUSTRIA Y COMERCIO </t>
  </si>
  <si>
    <t xml:space="preserve"> CULTURA </t>
  </si>
  <si>
    <t xml:space="preserve">  INTERIOR </t>
  </si>
  <si>
    <t xml:space="preserve"> EDUCACIÓN </t>
  </si>
  <si>
    <t xml:space="preserve"> DE FAMILIA</t>
  </si>
  <si>
    <t xml:space="preserve"> SALUD</t>
  </si>
  <si>
    <t>TIC</t>
  </si>
  <si>
    <t xml:space="preserve">AGRICULTURA </t>
  </si>
  <si>
    <t>No. CONSECUTIVO</t>
  </si>
  <si>
    <t>PRODUCTO</t>
  </si>
  <si>
    <t>CODIGO PRODUCTO</t>
  </si>
  <si>
    <t xml:space="preserve">CÓDIGO DE INDICADOR </t>
  </si>
  <si>
    <t xml:space="preserve">INDICADOR </t>
  </si>
  <si>
    <t xml:space="preserve">CÓDIGO DE PROGRAMA </t>
  </si>
  <si>
    <t>OBSERVACIÓN DNP</t>
  </si>
  <si>
    <t>No se acepta. No es claro el producto generado y entregado. Las acciones no son un producto. Se refiere a la gestión de la entidad.</t>
  </si>
  <si>
    <t>No se acepta. Producto/Indicador existentes. Usar producto 4599032-Documentos de política. Adicionalmente tener en cuenta que no es claro lo que se pretende medir ya que aparecen tres acciones para la política: Revisarla, Ajustarla e Implementarla.</t>
  </si>
  <si>
    <t>No se acepta. Producto/Indicador existentes. Usar producto 4599032-Documentos de política</t>
  </si>
  <si>
    <t>Usar  este  código 450202400</t>
  </si>
  <si>
    <t xml:space="preserve">En atención a su solicitud de incluir el producto “Servicio de apoyo con tecnologías para prestación de servicios en salud” en el Catálogo de Productos de la MGA, de manera atenta nos permitimos informarle que ya se encuentra con un producto que satisface su necesidad el cual se denomina “Servicio de tecnologías en salud financiadas con la unidad de pago por capitación - UPC”, el cual cuenta con dos indicadores disponibles para su uso “Pacientes atendidos con tecnologías en salud financiados con cargo a los recursos de la UPC del Régimen Subsidiado y Pacientes atendidos con medicamentos en salud financiados con cargo a los recursos de la UPC del Régimen Subsidiado.   </t>
  </si>
  <si>
    <t xml:space="preserve">En atención a su solicitud de incluir el producto “Servicios de reconocimientos para el cumplimiento de metas de calidad, financiera, producción y transferencias especiales.” en el Catálogo de Productos de la MGA, de manera atenta nos permitimos informarle que el reconocimiento para el cumplimiento de metas no constituye un servicio, recuerde que la entrega de bienes o servicios se hace de manera directa a la población y son esos los que se incluyen dentro de los proyectos de inversión, se sugiere la revisión de la guía de cadena de valor disponible en : https://colaboracion.dnp.gov.co/CDT/Inversiones%20y%20finanzas%20pblicas/Guia%20Cadena%20de%20valor%202019.pdf. </t>
  </si>
  <si>
    <t xml:space="preserve">En atención a su solicitud de incluir el producto “Servicios de reconocimientos de deuda” en el Catálogo de Productos de la MGA, de manera atenta nos permitimos informarle que el reconocimiento de deuda no constituye un servicio, recuerde que la entrega de bienes o servicios se hace de manera directa a la población y son esos los que se incluyen dentro de los proyectos de inversión, se sugiere la revisión de la guía de cadena de valor disponible en : https://colaboracion.dnp.gov.co/CDT/Inversiones%20y%20finanzas%20pblicas/Guia%20Cadena%20de%20valor%202019.pdf. Es importante validar si esta es una actividad o gestión a realzarse en el marco de la prestación del servicio de salud el cual cuenta con el producto “Servicio de atención en salud a la población”.  </t>
  </si>
  <si>
    <t>CÓDIGO</t>
  </si>
  <si>
    <t>NIVEL</t>
  </si>
  <si>
    <t>TIPO</t>
  </si>
  <si>
    <t>NOMBRE CUENTA</t>
  </si>
  <si>
    <t>ATRIBUTOS</t>
  </si>
  <si>
    <t>OBSERVACIÓN  DNP</t>
  </si>
  <si>
    <t xml:space="preserve">MOVIEMIENTO PRESUPUESTAL </t>
  </si>
  <si>
    <t>FUENTE DE FINANCIAMIENTO</t>
  </si>
  <si>
    <t xml:space="preserve">EJECUCIÓN </t>
  </si>
  <si>
    <t>PROGRAMÁTICO INVERSIÓN</t>
  </si>
  <si>
    <t>CÓDIGO - CPC-DANE
CLASIFICACIÓN CENTRAL DE PRODUCTOS
(17)</t>
  </si>
  <si>
    <t>UNIDAD</t>
  </si>
  <si>
    <t>NOMBRE</t>
  </si>
  <si>
    <t xml:space="preserve">PRESUPUESTO INICIAL  (1) </t>
  </si>
  <si>
    <t>ADICIONES (2)</t>
  </si>
  <si>
    <t xml:space="preserve">REDUCCIONES(3) </t>
  </si>
  <si>
    <t xml:space="preserve">PRESUPUESTO DEFINITIVO (4) </t>
  </si>
  <si>
    <t>FUENTE DE FINANCIAMIENTO (5)</t>
  </si>
  <si>
    <t xml:space="preserve">COMPROMISOS </t>
  </si>
  <si>
    <t xml:space="preserve">OBLIGACIONES </t>
  </si>
  <si>
    <t xml:space="preserve">PAGOS </t>
  </si>
  <si>
    <t>SECTOR
(12)</t>
  </si>
  <si>
    <t xml:space="preserve">PROGRAMA (13) </t>
  </si>
  <si>
    <t>ELEMENTO CONSTITUTIVO
(14)</t>
  </si>
  <si>
    <t xml:space="preserve">PRODUCTO (15) </t>
  </si>
  <si>
    <t>NOMBRE DEL PROYECTO
(16)</t>
  </si>
  <si>
    <t xml:space="preserve">CODIGO  DEFINITIVO </t>
  </si>
  <si>
    <t xml:space="preserve">C.S.F (6) </t>
  </si>
  <si>
    <t>S.S.F(7)</t>
  </si>
  <si>
    <t xml:space="preserve">C.S.F (8) </t>
  </si>
  <si>
    <t>S.S.F(9)</t>
  </si>
  <si>
    <t xml:space="preserve">C.S.F (10) </t>
  </si>
  <si>
    <t>S.S.F(11)</t>
  </si>
  <si>
    <t xml:space="preserve">NOMBRE </t>
  </si>
  <si>
    <t>TITULO CPC</t>
  </si>
  <si>
    <t>Secretaría Administrativa</t>
  </si>
  <si>
    <t>Liderazgo, Gobernabilidad y Transparencia</t>
  </si>
  <si>
    <t xml:space="preserve">•	Gestión y desempeño institucional: gestión y desempeño institucional: incluye la implementación y el mejoramiento de la prestación de los servicios, desarrollo de procedimientos y la implementación de programas específicos del proceso de gestión documental, y el Modelo Integrado de Planeación y Gestión. Adicionalmente, incluye la elaboración de documentos que contribuyen a mejorar la gestión y el desempeño institucional.
</t>
  </si>
  <si>
    <t xml:space="preserve">Implementación del  Modelo Integrado de Planeación y de Gestión MIPG  de la  Administración Departamental del Quindío (Dimensiones  de Talento humano,  Información y Comunicación y Gestión del Conocimiento). </t>
  </si>
  <si>
    <t>Otros servicios de la administración pública n.c.p.</t>
  </si>
  <si>
    <t xml:space="preserve"> Actualización, depuración, seguimiento y evaluación   del  Pasivo Pensional  de la Administración Departamental del Quindío </t>
  </si>
  <si>
    <t xml:space="preserve">•	Gestión y desempeño institucional: gestión y desempeño institucional: incluye la implementación y el mejoramiento de la prestación de los servicios, desarrollo de procedimientos y la implementación de programas específicos del proceso de gestión documental, y el Modelo Integrado de Planeación y Gestión. Adicionalmente, incluye la elaboración de documentos que contribuyen a mejorar la gestión y el desempeño institucional.
 </t>
  </si>
  <si>
    <t xml:space="preserve"> Implementación de un programa de modernización  de la gestión Administrativa  de la Administración Departamental del Quindío. "TÚ y YO SOMOS QUINDIO" </t>
  </si>
  <si>
    <t>Secretaría de Planeación</t>
  </si>
  <si>
    <t>2.3.2.02.02.009</t>
  </si>
  <si>
    <t>C</t>
  </si>
  <si>
    <t>Servicios para la comunidad, sociales y personales.</t>
  </si>
  <si>
    <t xml:space="preserve">Ordinarios </t>
  </si>
  <si>
    <t xml:space="preserve"> •	Promoción de la participación ciudadana: recursos destinados a socializar, promover e incentivar los mecanismos y la interlocución con los espacios de participación ciudadana.
 </t>
  </si>
  <si>
    <t xml:space="preserve">•	Promoción de la participación ciudadana: recursos destinados a socializar, promover e incentivar los mecanismos y la interlocución con los espacios de participación ciudadana.
</t>
  </si>
  <si>
    <t xml:space="preserve"> •	Fortalecimiento de las capacidades institucionales: incluye las acciones de capacitación, entrenamiento, inducción y reinducción, acordes con las necesidades identificadas en los diagnósticos realizados, encaminadas al mejoramiento de las capacidades, conocimientos, competencias y habilidades de los funcionarios públicos en aras de la creación de valor público.</t>
  </si>
  <si>
    <t>Servicios de planificación económica, social y estadística de la administración publica</t>
  </si>
  <si>
    <t>ORDINARIOS</t>
  </si>
  <si>
    <t xml:space="preserve">•	Tecnologías de la información y las comunicaciones: incluye el diseño, implementación, mejoramiento y asistencia operativa de los sistemas de información para la gestión administrativa, financiera, tributaria y en general, de los procesos de apoyo a la gestión y dirección del gobierno.
</t>
  </si>
  <si>
    <t xml:space="preserve">•	Tecnologías de la información y las comunicaciones: incluye el diseño, implementación, mejoramiento y asistencia operativa de los sistemas de información para la gestión administrativa, financiera, tributaria y en general, de los procesos de apoyo a la gestión y dirección del gobierno.
</t>
  </si>
  <si>
    <t>• Fortalecimiento de las capacidades institucionales: incluye las acciones de capacitación, entrenamiento, inducción y reinducción, acordes con las necesidades identificadas en los diagnósticos realizados, encaminadas al mejoramiento de las capacidades, conocimientos, competencias y habilidades de los funcionarios públicos en aras de la creación de valor público.</t>
  </si>
  <si>
    <t xml:space="preserve">ORDINARIOS </t>
  </si>
  <si>
    <t>•	Fortalecimiento de las capacidades institucionales: incluye las acciones de capacitación, entrenamiento, inducción y reinducción, acordes con las necesidades identificadas en los diagnósticos realizados, encaminadas al mejoramiento de las capacidades, conocimientos, competencias y habilidades de los funcionarios públicos en aras de la creación de valor público.</t>
  </si>
  <si>
    <t xml:space="preserve">Secretaría de Hacienda </t>
  </si>
  <si>
    <t>91113</t>
  </si>
  <si>
    <t>Servicios financieros y fiscales de la administración pública</t>
  </si>
  <si>
    <t>Secretaría Agua e infraestructura</t>
  </si>
  <si>
    <t>Inclusión Social y Equidad</t>
  </si>
  <si>
    <t>1202</t>
  </si>
  <si>
    <t xml:space="preserve">
•	Infraestructura para el acceso: incluye la construcción y operación de iniciativas y mecanismos para acercar la justicia al ciudadano. </t>
  </si>
  <si>
    <t>No procede la solicitud, ya que  el marco de desempeño del programa 1202 esta orientado a formular e implementar de manera coordinada, politicas publicas dirigidas a superar las distintas barreras que impiden la tutela efectiva de los derechos y acceso de toda persona a la justicia. de acuerdo a lo anterior el indicador propuesto no es viable puesto que no atiende infraestructura para la prestacion de seguridad en ese sentido se recomienda revisar  el programa 1206  el cual ya cuenta con productos relacionados a su solicitud.</t>
  </si>
  <si>
    <t>•	Infraestructura para la prestación de servicios de salud: incluye la construcción, adquisición, intervención física a infraestructuras existentes, y la dotación inicial de edificaciones en las que se prestan los servicios en salud a la población</t>
  </si>
  <si>
    <t xml:space="preserve">Con respecto a su solicitud de creación del producto “Infraestructura Hospitalaria  con procesos constructivos, mantenidos, reforzados, ampliados y/o mejorados” se informa que el programa 1906, ya cuenta con una amplia gama de productos que satisfacen su solicitud como lo son: Hospitales de primer nivel de atención adecuados; Hospitales de primer nivel de atención ampliados; Hospitales de primer nivel de atención con reforzamiento estructural; Hospitales de primer nivel de atención construidos y dotados; Hospitales de primer nivel de atención dotados; Hospitales de primer nivel de atención modificados; Hospitales de primer nivel de atención restaurados; Hospitales de segundo nivel de atención adecuados; Hospitales de segundo nivel de atención ampliados; Hospitales de segundo nivel de atención con reforzamiento estructural; Hospitales de segundo nivel de atención construidos y dotados; Hospitales de segundo nivel de atención dotados; Hospitales de segundo nivel de atención modificados; Hospitales de segundo nivel de atención restaurados; Hospitales de tercer nivel de atención adecuados; Hospitales de tercer nivel de atención ampliados; Hospitales de tercer nivel de atención con reforzamiento estructural; Hospitales de tercer nivel de atención construidos y dotados; Hospitales de tercer nivel de atención dotados; Hospitales de tercer nivel de atención modificados; Hospitales de tercer nivel de atención restaurados. De acuerdo con lo anterior se sugiere revisar los productos disponibles y hacer uso de los que describan mejor los productos a ejecutar con los proyectos de inversión según corresponda. </t>
  </si>
  <si>
    <t>2201</t>
  </si>
  <si>
    <t xml:space="preserve">•	Capacidad instalada infraestructura educativa: incluye la construcción de nueva infraestructura, el mantenimiento, reparación o mejora de la existente; así como la adquisición de dotación e insumos para la prestación del servicio educativo.
</t>
  </si>
  <si>
    <t xml:space="preserve">•	Fortalecimiento de la infraestructura cultural: incluye construcción, adecuación y/o dotación de infraestructura cultural en el país.
</t>
  </si>
  <si>
    <t xml:space="preserve">•	Infraestructura en parques recreativos y/o espacios lúdicos: incluye infraestructura municipal, que implica la construcción de escenarios adecuados para la práctica de la actividad física, la recreación y el deporte, procurando que en lo posible sea una infraestructura multimodal que permita la práctica de diversos deportes y actividades.
</t>
  </si>
  <si>
    <t>Territorio, Ambiente y Desarrollo Sostenible</t>
  </si>
  <si>
    <t xml:space="preserve">•	Infraestructura de la red vial secundaria: incluye el inventario de la red vial, la construcción, mantenimiento, mejoramiento, rehabilitación y operación. 
</t>
  </si>
  <si>
    <t>La solicitud se refiere a varios productos independientes en el catálogo que dan cuenta de procesos constructivos diferentes por lo que lo procedente es hacer uso de cada producto por separado. Lo anteiror no obsta, que en el mismo proyecto de inversión contemple todos los productos asociados a la gestión de la infraestructura vial de acuerdo a las competencias de la entidad territorial así: orden de la vía (secundaria, terciaria, urbana) y tipo de intervención (construida -vía nueva-, mejorada, con mantenimiento, rehabilitada).</t>
  </si>
  <si>
    <t xml:space="preserve">•	Gestión integral del riesgo de desastres: incluye la incorporación efectiva de la gestión de riesgo de desastres en los procesos de ordenamiento territorial, y el fortalecimiento de la participación del Ministerio de Ambiente y Desarrollo Sostenible, de las autoridades ambientales y de los actores del Sistema Nacional Ambiental en el marco del Sistema Nacional para la Gestión del Riesgo de Desastres.
</t>
  </si>
  <si>
    <t>•	Soluciones de vivienda: incluye los procesos relacionados a la construcción de vivienda de interés social y/o prioritario nueva o en sitio propio y el mejoramiento de vivienda (VIS y estructural).
•	Subsidio familiar de vivienda: apoyo en dinero o especie e instrumentos financieros, en las modalidades de adquisición de vivienda nueva y usada, construcción en sitio propio, mejoramiento de vivienda (VIS y estructural) y arrendamiento</t>
  </si>
  <si>
    <t xml:space="preserve">•	Gestión para el acceso al agua potable: incluye las acciones para buscar la cobertura, calidad y continuidad en el acceso de la población a agua potable, en las zonas urbanas y rurales del país.
•	Gestión para el saneamiento básico: incluye las acciones para buscar la cobertura, calidad y continuidad en el acceso de la población a saneamiento básico, en las zonas urbanas y rurales del país.
</t>
  </si>
  <si>
    <t xml:space="preserve">•	Gestión para el saneamiento básico: incluye las acciones para buscar la cobertura, calidad y continuidad en el acceso de la población a saneamiento básico, en las zonas urbanas y rurales del país.
</t>
  </si>
  <si>
    <t xml:space="preserve"> •	Infraestructura y equipamiento administrativo: incluye la adecuación, mejoramiento, ampliación construcción y dotación de la infraestructura administrativa.
 </t>
  </si>
  <si>
    <t xml:space="preserve"> •	Promoción de la participación ciudadana: recursos destinados a socializar, promover e incentivar los mecanismos y la interlocución con los espacios de participación ciudadana.
 </t>
  </si>
  <si>
    <t>Secretaría del Interior</t>
  </si>
  <si>
    <t xml:space="preserve">•	Formulación y coordinación de la política: incluye la expedición de lineamientos de política pública con enfoque de derechos, en materia de acceso a la justicia, la articulación de operadores de justicia formal, no formal y étnica; así como la gestión de la información respectiva, y el relacionamiento entre la rama ejecutiva y judicial.
 </t>
  </si>
  <si>
    <t xml:space="preserve"> •	Resocialización: incluye las acciones relacionadas con el tratamiento penitenciario para la resocialización de las personas privadas de la libertad, que incida en la reducción de los índices de reincidencia.
 </t>
  </si>
  <si>
    <t>•	Estrategias para garantizar el acceso y la permanencia: incluye todas aquellas estrategias educativas para garantizar el acceso y la permanencia a la educación preescolar básica y media; como son el servicio de alimentación escolar, transporte escolar, contratación del servicio educativo con terceros, entre otros.
•	Inspección y vigilancia: incluye la inspección, vigilancia y control de la prestación del servicio educativo, así como la coordinación de procesos de vigilancia entre las entidades que ejercen tal función. 
•	Fortalecimiento de los procesos de aprendizaje: incluye los gastos en proyectos orientados a mejorar la formación y evaluación de docentes, el uso pedagógico y educativo de las TIC, el diseño de contenidos curriculares (incluyendo las necesidades educativas especiales) así como los demás gastos relacionados con el proyecto pedagógico y curricular.
•	Operación de instituciones educativas: corresponde a todos los gastos efectuados por las entidades territoriales y las instituciones educativas para garantizar la operación y el funcionamiento de las sedes de cada institución. Incluye el pago de servicios públicos domiciliarios y demás gastos administrativos en los que se incurra.
•	Capacidad instalada infraestructura educativa: incluye la construcción de nueva infraestructura, el mantenimiento, reparación o mejora de la existente; así como la adquisición de dotación e insumos para la prestación del servicio educativo.
•	Recurso humano del sector: incluye los gastos para el personal docente, directivo docente y administrativo, necesarios para la prestación del servicio educativo</t>
  </si>
  <si>
    <t xml:space="preserve">
•	Sistemas de información y registro de víctimas: incluye lo relacionado a los sistemas de información y la administración de bases de datos y sistemas que se utilizan para tener información actualizada y confiable de las víctimas del conflicto a nivel nacional.
</t>
  </si>
  <si>
    <t xml:space="preserve">
•	Transferencias condicionadas: incluye gestionar y realizar la entrega de transferencias monetarias y no monetarias como mecanismos para superar la condición de vulnerabilidad de la población.</t>
  </si>
  <si>
    <t>•	Seguridad ciudadana: corresponde al conjunto de acciones integrales que buscan proteger de manera efectiva a los ciudadanos, tanto de los delitos como de los comportamientos que afectan su integridad física y material, dentro del marco del respeto a las normas establecidas.</t>
  </si>
  <si>
    <t xml:space="preserve">
•	Planificación ambiental territorial: incluye la definición de la estructura ecológica, la implementación del estatuto de uso adecuado del territorio, la inserción de los modelos de ordenamiento ambiental territorial que aporten a la construcción de paz, y la implementación de las dimensiones ambientales en los procesos de planificación de los territorios (Planes de desarrollo, Planes de Ordenamiento Territorial, Esquemas de Ordenamiento Territorial, Plan Básico de Ordenamiento Territorial, Planes de comunidades).</t>
  </si>
  <si>
    <t xml:space="preserve">
•	Fortalecimiento en la prevención del riesgo de emergencias: recursos dirigidos a la puesta en marcha de planes estratégicos, así como la definición de lineamientos para la gestión del riesgo de desastres a través del conocimiento del riesgo, la reducción de este y el manejo de desastres asociados con fenómenos de origen natural, socio natural, tecnológico y humano no intencional.</t>
  </si>
  <si>
    <t>•	Fortalecimiento en la prevención del riesgo de emergencias: recursos dirigidos a la puesta en marcha de planes estratégicos, así como la definición de lineamientos para la gestión del riesgo de desastres a través del conocimiento del riesgo, la reducción de este y el manejo de desastres asociados con fenómenos de origen natural, socio natural, tecnológico y humano no intencional.</t>
  </si>
  <si>
    <t>•	Atención y recuperación ante situaciones de desastre, emergencias y declaratorias de calamidad pública: recursos encaminados a la reacción oportuna de las entidades territoriales ante situaciones de emergencia, desastre y declaratorias de calamidad pública, así como para las actividades y proyectos relacionados con la rehabilitación y la reconstrucción post desastres.</t>
  </si>
  <si>
    <t>•	Fortalecimiento de la prevención integral y rutas de protección: orientado a la formulación e implementación de planes, programas, proyectos, estrategias y acciones para generar condiciones que permitan el libre y pleno ejercicio de los derechos humanos, en particular derechos a la vida, libertad, integridad, seguridad y defensa de los derechos humanos.
•	Promoción de la participación ciudadana: recursos destinados a socializar, promover e incentivar los mecanismos y la interlocución con los espacios de participación ciudadana.
•	Promoción de la veeduría y el control social: orientado a fortalecer programas y proyectos destinados a la rendición de cuentas, las sanas prácticas, actitudes y valores que permitan el buen desarrollo del orden establecido en el territorio</t>
  </si>
  <si>
    <t xml:space="preserve">•	Fortalecimiento de la prevención integral y rutas de protección: orientado a la formulación e implementación de planes, programas, proyectos, estrategias y acciones para generar condiciones que permitan el libre y pleno ejercicio de los derechos humanos, en particular derechos a la vida, libertad, integridad, seguridad y defensa de los derechos humanos.
</t>
  </si>
  <si>
    <t xml:space="preserve">•	Promoción de la participación ciudadana: recursos destinados a socializar, promover e incentivar los mecanismos y la interlocución con los espacios de participación ciudadana.
</t>
  </si>
  <si>
    <t xml:space="preserve">•	Fortalecimiento de la prevención integral y rutas de protección: orientado a la formulación e implementación de planes, programas, proyectos, estrategias y acciones para generar condiciones que permitan el libre y pleno ejercicio de los derechos humanos, en particular derechos a la vida, libertad, integridad, seguridad y defensa de los derechos humanos.
•	Promoción de la participación ciudadana: recursos destinados a socializar, promover e incentivar los mecanismos y la interlocución con los espacios de participación ciudadana.
</t>
  </si>
  <si>
    <t>Secretaría de Cultura</t>
  </si>
  <si>
    <t>•	Estímulos a los procesos, proyectos y actividades culturales: incluye procesos, líneas de acción y actividades relacionadas con la formación y cualificación de los agentes del sector, con el propósito de reconocer, valorar e incentivar su quehacer y el de la ciudadanía, a través de becas, pasantías, premios, reconocimientos y residencias en programas de
•	educación artística y cultural.
•	Fomento a la gestión cultural territorial: incluye acciones de asesoría y acompañamiento a la institucionalidad cultural, espacios de participación y gestores culturales de los departamentos y municipios del país, en temas relacionados con procesos de planeación, formulación de proyectos, fuentes de financiación, formación y participación ciudadana. También incluye la coordinación de la Red Nacional de Bibliotecas Públicas y la promoción de su crecimiento, modernización y sostenibilidad.
•	Innovación y emprendimiento de industrias culturales: incluye acciones para el fortalecimiento del emprendimiento cultural, a través de formación, asistencia técnica y acompañamiento a los emprendedores por parte de organizaciones que incuben y aceleren las ideas de negocio, el acceso a créditos y recursos de capital semilla.
•	Prácticas artísticas y culturales: incluye todas las estrategias encaminadas al desarrollo de los procesos de investigación, formación, experimentación, creación, producción, circulación, comunicación, difusión y apropiación de prácticas artísticas y culturales.</t>
  </si>
  <si>
    <t xml:space="preserve"> •	Fomento al acceso y la promoción de la lectura y la escritura: incluye acciones para fortalecer la oferta y el acceso a libros y otros contenidos y medios para la lectura, el desarrollo de estrategias y programas de lectura y la promoción y estímulo a la escritura creativa, el uso y apropiación de TIC en las bibliotecas públicas, las familias y los espacios no convencionales.
</t>
  </si>
  <si>
    <t xml:space="preserve"> •	Fomento al acceso y la promoción de la lectura y la escritura: incluye acciones para fortalecer la oferta y el acceso a libros y otros contenidos y medios para la lectura, el desarrollo de estrategias y programas de lectura y la promoción y estímulo a la escritura creativa, el uso y apropiación de TIC en las bibliotecas públicas, las familias y los espacios no convencionales.
 </t>
  </si>
  <si>
    <t>Secretaría de Turismo Industria y Comercio</t>
  </si>
  <si>
    <t>Productividad y Competitividad</t>
  </si>
  <si>
    <t>•	Financiamiento a la innovación: incluye mecanismos de apoyo financiero a la innovación y el emprendimiento.
•	Instrumentos de política de desarrollo productivo: herramientas para el aumento de productividad a nivel regional y nacional. De igual manera, incluye instrumentos para la competitividad de los sectores de servicios: promoción de formalización y capacitación, mejora de la información del sector servicios, entre otros.
•	Instrumentos para mejorar la capacidad técnica y metrológica en los diferentes sectores productivos: incluye instrumentos de transferencia tecnología para el desarrollo de capacidades empresariales y gerenciales de adopción y adaptación del conocimiento y tecnología existente.</t>
  </si>
  <si>
    <t xml:space="preserve"> •	Instrumentos de política de desarrollo productivo: herramientas para el aumento de productividad a nivel regional y nacional. De igual manera, incluye instrumentos para la competitividad de los sectores de servicios: promoción de formalización y capacitación, mejora de la información del sector servicios, entre otros.
•	Instrumentos para mejorar la capacidad técnica y metrológica en los diferentes sectores productivos: incluye instrumentos de transferencia tecnología para el desarrollo de capacidades empresariales y gerenciales de adopción y adaptación del conocimiento y tecnología existente.</t>
  </si>
  <si>
    <t xml:space="preserve">
•	Instrumentos de política de desarrollo productivo: herramientas para el aumento de productividad a nivel regional y nacional. De igual manera, incluye instrumentos para la competitividad de los sectores de servicios: promoción de formalización y capacitación, mejora de la información del sector servicios, entre otros.
•	Instrumentos para mejorar la capacidad técnica y metrológica en los diferentes sectores productivos: incluye instrumentos de transferencia tecnología para el desarrollo de capacidades empresariales y gerenciales de adopción y adaptación del conocimiento y tecnología existente.</t>
  </si>
  <si>
    <t xml:space="preserve">
•	Programas de generación de empleo (trabajadores dependientes): incluye la generación de oportunidades para fortalecer los programas de generación de empleo, el empleo rural y el primer empleo.
•	Promoción del emprendimiento: incluye la promoción de la asociatividad, el emprendimiento, el emprenderismo y el desarrollo empresarial.
•	Servicios de apoyo al emprendimiento, capacitación y financiación: incluye servicios de capacitación y estrategias de financiación para promover el emprendimiento.</t>
  </si>
  <si>
    <t>•	Programas de generación de empleo (trabajadores dependientes): incluye la generación de oportunidades para fortalecer los programas de generación de empleo, el empleo rural y el primer empleo.
•	Promoción del emprendimiento: incluye la promoción de la asociatividad, el emprendimiento, el emprenderismo y el desarrollo empresarial.
•	Servicios de apoyo al emprendimiento, capacitación y financiación: incluye servicios de capacitación y estrategias de financiación para promover el emprendimiento.</t>
  </si>
  <si>
    <t>Secretaría de Agricultura, Desarrollo Rural</t>
  </si>
  <si>
    <t>•	Fortalecimiento de capacidades productivas, asociativas y de negociación: generación de conocimientos y capacidades de los productores rurales para fortalecer su interdependencia, capacidades administrativas, y de gestión financiera de tal manera que les permita mejorar sus posibilidades de acceso a activos y su posición en el mercado.
•	Fortalecimiento de capacidades y acompañamiento técnico integral: acciones en acompañamiento técnico a pequeños productores rurales. El acompañamiento técnico incluye además de la capacitación en temas productivos, el acompañamiento en el eslabón de comercialización y buenas prácticas agropecuarias.
•	Provisión y fortalecimiento de activos rurales: disposición de activos (capital semilla, insumos, maquinaria, infraestructura productiva de cosecha y postcosecha) básicos para iniciar un proceso productivo agropecuario</t>
  </si>
  <si>
    <t>•	Desarrollo y aplicación de lineamientos e instrumentos para la regularización del mercado de tierras: generación y gestión de información e instrumentos para regular el funcionamiento del mercado de tierras (evaluación de política del mercado de tierras, observatorio de tierras rurales, sistema nacional de gestión de tierras, catastro multipropósito, entre otros).
•	Planificación del ordenamiento social de la propiedad rural: acceso ordenado a la tierra, es decir que incluya la formulación de planes de ordenamiento social de la propiedad, ordenamiento territorial, distribución equitativa y seguridad jurídica de la propiedad. Se concreta a través de procesos de administración de tierras de la nación, procedimientos agrarios, titulación de baldíos, constitución y ampliación de resguardos, titulaciones colectivas para grupos étnicos, dotación de tierras y procesos de formalización de la propiedad</t>
  </si>
  <si>
    <t>Acuerdos de competitividad: orientado a la promoción de alianzas acuerdos productivos y comerciales que permitan a los productores rurales generar oportunidades de aumento de su participación en los mercados internos y externos.
- Estudios de mercado: incluye las acciones que permitan el conocimiento de los mercados externos de interés de los pequeños productores rurales. 
- Promoción de productos en nuevos mercados: orientado a la generación de estrategias de marketing y presentación de nuevos productos a mercados nacionales e internacionales.</t>
  </si>
  <si>
    <t xml:space="preserve"> 
-	Inocuidad en la producción primaria: incluye actividades para garantizar la inocuidad en la producción primaria, a través de la disminución de riesgos químicos (medicamentos veterinarios, plaguicidas, entre otros), físicos, microbiológicos y contaminantes ambientales, mediante la implementación de buenas prácticas de producción agrícolas, buenas prácticas de producción pecuarias y autorizaciones sanitarias y de inocuidad.
-	Prevención, inspección, vigilancia y control de plagas y enfermedades: incluye las acciones para mejorar las condiciones de sanidad e inocuidad de las cadenas productivas. Además, contempla estrategias para prevención del ingreso y salida de enfermedades y plagas del territorio nacional.</t>
  </si>
  <si>
    <t>•	Extensionismo agropecuario rural integral: orientado a la transferencia de información y conocimiento, tendiente a promover el desarrollo de las capacidades de los productores relativas a sus proyectos productivos, lo cual debe abarcar no solo las capacidades técnicas (agronómicas) sino también los conocimientos en materias de empresarización, financiamiento y gestión ambiental.
-	Soluciones tecnológicas para el desarrollo productivo del sector: desarrollo, promoción, transferencia y adopción de nuevos conocimientos y tecnologías para el desarrollo productivo del sector.</t>
  </si>
  <si>
    <t>•	Extensionismo agropecuario rural integral: orientado a la transferencia de información y conocimiento, tendiente a promover el desarrollo de las capacidades de los productores relativas a sus proyectos productivos, lo cual debe abarcar no solo las capacidades técnicas (agronómicas) sino también los conocimientos en materias de empresarización, financiamiento y gestión ambiental.
 -	Soluciones tecnológicas para el desarrollo productivo del sector: desarrollo, promoción, transferencia y adopción de nuevos conocimientos y tecnologías para el desarrollo productivo del sector.</t>
  </si>
  <si>
    <t xml:space="preserve">
- Fortalecimiento de la producción y comercialización del sector agropecuario y forestal: comprende los apoyos directos, incentivos, generación de instrumentos de política y estrategias de planificación para las cadenas agrícolas, forestales, pecuarias, acuícolas y pesqueras.
</t>
  </si>
  <si>
    <t>•	Instrumentos de política de desarrollo productivo: herramientas para el aumento de productividad a nivel regional y nacional. De igual manera, incluye instrumentos para la competitividad de los sectores de servicios: promoción de formalización y capacitación, mejora de la información del sector servicios, entre otros.
•	Instrumentos para mejorar la capacidad técnica y metrológica en los diferentes sectores productivos: incluye instrumentos de transferencia tecnología para el desarrollo de capacidades empresariales y gerenciales de adopción y adaptación del conocimiento y tecnología existente.</t>
  </si>
  <si>
    <t xml:space="preserve">•	Energías renovables y negocios verdes: incluye la promoción de acciones dirigidas a los sectores económicos para la oferta de bienes o servicios que generen impactos ambientales positivos; y la promoción de actividades de innovación y eco innovación.
•	Gestión sostenible del suelo: incluye la promoción de la gestión integral para la conservación del suelo, en un contexto en el que confluyan la conservación de la biodiversidad y la calidad del agua y del aire, el ordenamiento del territorio y la gestión de riesgo.
•	Producción limpia: incluye la promoción de iniciativas para el manejo integrado de la contaminación, y de cadenas industriales eficientes; y el apoyo a actividades para la reconversión a tecnologías limpias. </t>
  </si>
  <si>
    <t>•	Áreas protegidas: incluye la conservación de la biodiversidad y la permanencia cultural de las comunidades étnicas relacionadas con las áreas protegidas, el ordenamiento ambiental del territorio, la reglamentación del uso y manejo de los recursos naturales. 
•	Biotecnología y bioprospección: incluye el desarrollo sostenible del potencial económico de la biodiversidad, y el aporte de información en el conocimiento y la conservación de esta. 
•	Sostenibilidad del capital natural y la biodiversidad: incluye el desarrollo de acciones y estrategias para la reforestación de bosques, la conservación y preservación de ecosistemas; la delimitación, zonificación y la restauración de ecosistemas estratégicos terrestres; y la prevención y control del tráfico ilegal de especies silvestres.</t>
  </si>
  <si>
    <t>El producto propuesto no aplica para el sector de Ambiente y Desarrollo sostenible, el tema propuesto se aborda a través del sector 45 Gobierno territorial mediante el programa 4501</t>
  </si>
  <si>
    <t>•	Gestión de información ambiental: incluye el apoyo a las autoridades ambientales en la gestión de la información ambiental para la toma de decisiones.
•	Información científica: incluye el diseño y la implementación de estrategias de investigación ambiental, la realización de estudios científicos de investigación aplicada y de estudios científicos de investigación Básica, la caracterización del conocimiento tradicional asociado a la biodiversidad y los servicios ecosistémicos, y la construcción y el manejo de colecciones.
•	Infraestructura y equipamiento para el desarrollo de actividades de investigación: incluye el fortalecimiento de los espacios, sistemas y subsistemas de información, aplicativos y herramientas de registro de datos e información, redes de monitoreo, estudios y evaluaciones de las investigaciones.</t>
  </si>
  <si>
    <t>•	Gestión integral del riesgo de desastres: incluye la incorporación efectiva de la gestión de riesgo de desastres en los procesos de ordenamiento territorial, y el fortalecimiento de la participación del Ministerio de Ambiente y Desarrollo Sostenible, de las autoridades ambientales y de los actores del Sistema Nacional Ambiental en el marco del Sistema Nacional para la Gestión del Riesgo de Desastres.
•	Planificación ambiental territorial: incluye la definición de la estructura ecológica, la implementación del estatuto de uso adecuado del territorio, la inserción de los modelos de ordenamiento ambiental territorial que aporten a la construcción de paz, y la implementación de las dimensiones ambientales en los procesos de planificación de los territorios (Planes de desarrollo, Planes de Ordenamiento Territorial, Esquemas de Ordenamiento Territorial, Plan Básico de Ordenamiento Territorial, Planes de comunidades).</t>
  </si>
  <si>
    <t>•	Acompañamiento técnico: incluye el desarrollo de lineamientos para la incorporación del cambio climático en instrumentos de planificación del desarrollo y del ordenamiento territorial, así como de la gestión ambiental. A su vez incluye la asistencia a entidades territoriales y autoridades ambientales en la formulación e implementación de acciones de mitigación de gases de efecto invernadero y de adaptación al cambio climático.
•	Conocimiento en cambio climático: incluye el diseño y la difusión de las herramientas de comunicación, capacitación, sensibilización y formación al público en cambio climático. 
•	Instrumentos de planificación: incluye el fortalecimiento de la Estrategia Nacional de Reducción de Emisiones de la Deforestación y Degradación de Bosques (ENREDD), la implementación de la estrategia financiera de cambio climático, y el desarrollo de los Lineamientos técnicos para la adaptación al cambio climático, y de los Lineamientos para la mitigación de gases efecto invernadero. A su vez, incluye la generación de herramientas para facilitar la toma de decisiones climáticas y la identificación de los mecanismos financieros complementarios para la implementación de Estrategias de Desarrollo Bajo en Carbono.</t>
  </si>
  <si>
    <t>Dirección Oficina Privada</t>
  </si>
  <si>
    <t>Fortalecimiento de la Calidad Educativa con inclusión y equidad para en Desarrollo Integral de niños, niñas, adolescentes y jóvenes en eln Departamento del Quindío.</t>
  </si>
  <si>
    <t>•	Apropiación social de la CTeI: incluye el apoyo al desarrollo de procesos intencionados de comprensión e intervención en las relaciones entre ciencia, tecnología y sociedad, para ampliar las dinámicas de generación, circulación y uso del conocimiento científico-tecnológico entre los sectores académicos, productivos, estatales, incluyendo activamente a las comunidades y grupos de interés de la sociedad civil, con el fin de dar sentido y usar la CTeI en sus contextos, y así propiciar procesos de transformación social.
•	Divulgación y comunicación pública de la CTeI: incluye el apoyo para el desarrollo de procesos de divulgación y comunicación pública d la ciencia, que sean reflexivos y contextualizados para la comprensión y la formación de opinión sobre las relaciones entre ciencia, tecnología e innovación y sociedad. Comunicación masiva de contenidos de CTeI acorde a los intereses de distintos públicos y la circulación y uso del conocimiento científico y tecnológico, articulando la ciudadanía con los investigadores.
•	Fortalecimiento de capacidades para la apropiación social de la CTeI: incluye la construcción, mejoramiento, dotación y/o adecuación de infraestructura y equipamiento para la generación de una cultura que valora y gestiona el conocimiento y la innovación como los centros de ciencia, entre otros.
•	Vocaciones científicas: incluye el desarrollo de procesos, promoción y/o fortalecimiento de habilidades, capacidades y/o vocaciones científicas y creativas en niños, niñas, adolescentes y jóvenes.</t>
  </si>
  <si>
    <t>Secretaría de Familia</t>
  </si>
  <si>
    <t>•	Gestión de la salud pública: mediante el cual se fortalece la autoridad sanitaria con el fin de modificar el riesgo primario o la probabilidad de pérdida de la salud.
•	Gestión del riesgo en salud: orientado a disminuir la probabilidad de ocurrencia de eventos no deseables para la población. Incluye acciones de: análisis de riesgo de la población con enfoque diferencial; planeación de la atención según riesgos con enfoque diferencial; modificación del riesgo; monitoreo a la gestión del riesgo; gestión de la calidad de la atención; y coordinación administrativa y técnica de los servicios y planes de riesgo en salud.
•	Promoción de la salud: orientado a la construcción o generación de condiciones, capacidades y medios necesarios para que los individuos, las familias y la sociedad en su conjunto logren intervenir y modificar los determinantes sociales de la salud.</t>
  </si>
  <si>
    <t>inclusión social</t>
  </si>
  <si>
    <t>•	Articulación y coordinación del Sistema Nacional de Bienestar Familiar: incluye generar sinergias y evitar la duplicidad de esfuerzos entre las acciones que realizan las diferentes entidades del Estado, las organizaciones civiles y las instituciones privadas, a nivel nacional, departamental, distrital y municipal, las cuales son responsables de garantizar los derechos de niños, niñas y adolescentes, la prevención de su vulneración, la protección y el restablecimiento de los mismos, así como las entidades que ejecutan y evalúan políticas públicas de infancia, adolescencia y familia.
•	Atención integral a primera infancia: incluye definir e implementar acciones continuas y permanentes que brinden a los niños y niñas menores de 5 años y 11 meses, su desarrollo integral a través de las modalidades de atención preventiva o de atención especial.
•	Desarrollo de estrategias de recuperación y complementación nutricional: incluye implementar, supervisar, controlar y evaluar acciones que permitan generar condiciones adecuadas de nutrición y alimentación en los niños y niñas. Estas acciones deben estar ajustadas a las necesidades, condiciones y recursos de cada región.
•	Intervenciones de promoción de derechos y prevención de su vulneración para la niñez y adolescencia: incluye determinar e implementar acciones de prevención de la amenaza o vulneración de los derechos de los niños, niñas y adolescentes, así como a generar el fortalecimiento familiar.
•	Intervenciones para el restablecimiento de derechos de los Niños Niñas y Adolescentes: incluye las acciones encaminadas al desarrollo del Proceso Administrativo de Restablecimiento de Derechos y la implementación del Sistema de Responsabilidad Penal Adolescente.
•	Servicios de atención y apoyo a la familia: incluye diseñar y ejecutar acciones continuas de orientación, educación, tratamiento y asesoría nutricional y socio-jurídica a las familias.</t>
  </si>
  <si>
    <t xml:space="preserve">No se acepta. No es claro el producto generado y entregado. Las acciones definidas son gestión. Se recomienda revisar producto 4102041-Servicio de asistencia técnica en el ciclo de políticas públicas de familia y otras relacionadas </t>
  </si>
  <si>
    <t xml:space="preserve">•	Articulación y coordinación del Sistema Nacional de Bienestar Familiar: incluye generar sinergias y evitar la duplicidad de esfuerzos entre las acciones que realizan las diferentes entidades del Estado, las organizaciones civiles y las instituciones privadas, a nivel nacional, departamental, distrital y municipal, las cuales son responsables de garantizar los derechos de niños, niñas y adolescentes, la prevención de su vulneración, la protección y el restablecimiento de los mismos, así como las entidades que ejecutan y evalúan políticas públicas de infancia, adolescencia y familia.
 </t>
  </si>
  <si>
    <t xml:space="preserve">No se acepta. No es claro el producto generado y entregado. La realización de acciones no es un producto. Son gestión de las entidades. No es clara la forma de medición. </t>
  </si>
  <si>
    <t>•	Articulación y coordinación del Sistema Nacional de Bienestar Familiar: incluye generar sinergias y evitar la duplicidad de esfuerzos entre las acciones que realizan las diferentes entidades del Estado, las organizaciones civiles y las instituciones privadas, a nivel nacional, departamental, distrital y municipal, las cuales son responsables de garantizar los derechos de niños, niñas y adolescentes, la prevención de su vulneración, la protección y el restablecimiento de los mismos, así como las entidades que ejecutan y evalúan políticas públicas de infancia, adolescencia y familia.
•	Servicios de atención y apoyo a la familia: incluye diseñar y ejecutar acciones continuas de orientación, educación, tratamiento y asesoría nutricional y socio-jurídica a las familias.</t>
  </si>
  <si>
    <t xml:space="preserve">No se acepta. Producto/Indicador existentes. Usar producto 4599030-Servicio de educación informal </t>
  </si>
  <si>
    <t>Inclusión Social</t>
  </si>
  <si>
    <t>No se acepta. Producto/Indicador existentes. Revisar producto 4102001-Servicio de atención integral a la primera infancia. No es claro que se pretende medir: ¿ número de niños y niñas con la atención?, ¿número de espacios no convencionales implementados?. La implementación de una política o estrategia no es un producto. Para nueva solicitud se solicita amplial la información del programa o producto en el campo de observaciones.</t>
  </si>
  <si>
    <t>•	Seguridad alimentaria: incluye definir e implementar programas de educación nutricional y alimentaria con el fin de mejorar los hábitos, costumbres, tradiciones, creencias y prácticas de la comunidad en esta materia.
•	Transferencias condicionadas: incluye gestionar y realizar la entrega de transferencias monetarias y no monetarias como mecanismos para superar la condición de vulnerabilidad de la población.</t>
  </si>
  <si>
    <t>Traslado a Sec 37, Sep 16</t>
  </si>
  <si>
    <t xml:space="preserve">
•	Atención integral a población discapacitada: incluye la definición de las intervenciones, la infraestructura y los servicios mediante los cuales se ofrece atención, protección y cuidado a la población en condición de discapacidad de alto grado, permanente, irreversible y que impide su autonomía.
</t>
  </si>
  <si>
    <t xml:space="preserve">•	Atención integral a población discapacitada: incluye la definición de las intervenciones, la infraestructura y los servicios mediante los cuales se ofrece atención, protección y cuidado a la población en condición de discapacidad de alto grado, permanente, irreversible y que impide su autonomía.
</t>
  </si>
  <si>
    <t>•	Atención integral a población habitante de calle: incluye la definición de las intervenciones, la infraestructura y los servicios mediante los cuales se ofrece alojamiento, vestuario, alimentación, formación para el trabajo, salud, entre otras atenciones, para personas que se encuentran en riesgo de habitar la calle o que ya viven en esa condición.</t>
  </si>
  <si>
    <t>No se acepta. Producto/Indicador existentes. Usar producto 4599031-Servicio de asistencia técnica</t>
  </si>
  <si>
    <t>•	Atención integral al adulto mayor: incluye la definición de las intervenciones, la infraestructura y los servicios mediante los cuales se ofrece atención, protección y cuidado al adulto mayor que se encuentra en condiciones de descuido, abandono o víctimas de violencia intrafamiliar, mediante alojamiento, vestuario, alimentación, salud, recreación, actividades productivas, entre otros.
•	Atención integral a población discapacitada: incluye la definición de las intervenciones, la infraestructura y los servicios mediante los cuales se ofrece atención, protección y cuidado a la población en condición de discapacidad de alto grado, permanente, irreversible y que impide su autonomía.
•	Atención integral a población habitante de calle: incluye la definición de las intervenciones, la infraestructura y los servicios mediante los cuales se ofrece alojamiento, vestuario, alimentación, formación para el trabajo, salud, entre otras atenciones, para personas que se encuentran en riesgo de habitar la calle o que ya viven en esa condición.</t>
  </si>
  <si>
    <t xml:space="preserve">•	Atención integral al adulto mayor: incluye la definición de las intervenciones, la infraestructura y los servicios mediante los cuales se ofrece atención, protección y cuidado al adulto mayor que se encuentra en condiciones de descuido, abandono o víctimas de violencia intrafamiliar, mediante alojamiento, vestuario, alimentación, salud, recreación, actividades productivas, entre otros.
</t>
  </si>
  <si>
    <t>•	Atención integral al adulto mayor: incluye la definición de las intervenciones, la infraestructura y los servicios mediante los cuales se ofrece atención, protección y cuidado al adulto mayor que se encuentra en condiciones de descuido, abandono o víctimas de violencia intrafamiliar, mediante alojamiento, vestuario, alimentación, salud, recreación, actividades productivas, entre otros.</t>
  </si>
  <si>
    <t>Consulta con Sector y Dirección Técnica DNP</t>
  </si>
  <si>
    <t xml:space="preserve"> 
•	Atención integral a población discapacitada: incluye la definición de las intervenciones, la infraestructura y los servicios mediante los cuales se ofrece atención, protección y cuidado a la población en condición de discapacidad de alto grado, permanente, irreversible y que impide su autonomía.
 </t>
  </si>
  <si>
    <t xml:space="preserve">Implementación de la Casa  de la Mujer Empoderada para la promoción a la participación ciudadana  de Mujeres en escenarios sociales, políticos y en fortalecimiento de la asociatividad  en en departamento del Quindío " TU Y YO CON LAS MUJERES EMPODERADAS." </t>
  </si>
  <si>
    <t>Servicio de asesoría para en fortalecimiento de la Asociatividad</t>
  </si>
  <si>
    <t xml:space="preserve"> Implementación de  estrategias de acompañamiento y asesoria a las asociaciones de mujeres del departamento del Quindío</t>
  </si>
  <si>
    <t>•	Inclusión laboral: incluye las acciones orientadas a la promoción de la inclusión laboral a través del teletrabajo</t>
  </si>
  <si>
    <t>Desarrollo de jornadas de capacitación, sensibilización y prevención del  trabajo infantil  y protección del adolescente en en departamento del Quindío.</t>
  </si>
  <si>
    <t>Salud</t>
  </si>
  <si>
    <t xml:space="preserve">•	Inspección, vigilancia y control en salud pública: incluye gastos en vigilancia epidemiológica y salud pública; responsabilidad sanitaria; provisión de bienes y servicios esenciales en salud pública; investigación en Salud Pública; así como el control de medicamentos, alimentos y bebidas, dispositivos médicos, cosméticos, aseo, plaguicidas, productos de higiene cosmética y demás afines a su naturaleza.
 </t>
  </si>
  <si>
    <t xml:space="preserve">Fortalecimiento de la autoridad sanitaria en en Departamento del Quindío                                                                                           </t>
  </si>
  <si>
    <t xml:space="preserve">•	Inspección, vigilancia y control en salud pública: incluye gastos en vigilancia epidemiológica y salud pública; responsabilidad sanitaria; provisión de bienes y servicios esenciales en salud pública; investigación en Salud Pública; así como el control de medicamentos, alimentos y bebidas, dispositivos médicos, cosméticos, aseo, plaguicidas, productos de higiene cosmética y demás afines a su naturaleza.
</t>
  </si>
  <si>
    <t>•	Inspección, vigilancia y control en salud pública: incluye gastos en vigilancia epidemiológica y salud pública; responsabilidad sanitaria; provisión de bienes y servicios esenciales en salud pública; investigación en Salud Pública; así como el control de medicamentos, alimentos y bebidas, dispositivos médicos, cosméticos, aseo, plaguicidas, productos de higiene cosmética y demás afines a su naturaleza.
•	Supervisión del Sistema General de Seguridad Social en Salud (SGSSS): incluye las acciones de Inspección, vigilancia y control a los actores del  Sistema General de Seguridad Social en Salud (SGSSS) y la inspección y vigilancia sobre el cumplimiento de los derechos en salud y la debida atención y protección a los usuarios.</t>
  </si>
  <si>
    <t xml:space="preserve"> Implementación de programas de promoción social en poblaciones  especiales en en Departamento del Quindío </t>
  </si>
  <si>
    <t xml:space="preserve"> Fortalecimiento de las actividades de vigilancia y control del laboratorio de salud pública en en Departamento del Quindío  
</t>
  </si>
  <si>
    <t xml:space="preserve"> Asistencia técnica para en fortalecimiento de la gestión de las entidades territoriales del Departamento del Quindío  </t>
  </si>
  <si>
    <t>Asesoria y apoyo al proceso del sistema obligatorio de garantía de calidad de los prestadores de salud en en Departamento del Quindío</t>
  </si>
  <si>
    <t xml:space="preserve"> Apoyo operativo a la inversión social en salud en en Departamento del Quindío </t>
  </si>
  <si>
    <t xml:space="preserve"> Aprovechamiento biológico y consumo de  alimentos inocuos  en en Departamento del Quindío </t>
  </si>
  <si>
    <t xml:space="preserve">Fortalecimiento de acciones propias a los derechos sexuales y reproductivos en en Departamento del Quindío. </t>
  </si>
  <si>
    <t>Consolidación de acciones de promoción de la salud y prevención primaria en salud mental en en Departamento del Quindío.</t>
  </si>
  <si>
    <t>Proyecto de promoción de estilos de vida saludable y control y vigilancia en la gestión del riesgo de condiciones no transmisibles en en  Departamento del Quindío.</t>
  </si>
  <si>
    <t xml:space="preserve">Fortalecimiento de acciones de promoción, prevención y protección específica para la población infantil en en Departamento del Quindío.  </t>
  </si>
  <si>
    <t xml:space="preserve"> Fortalecimiento de la inclusión social para la disminución del riesgo de contraer enfermedades transmisibles en en Departamento del Quindío.  </t>
  </si>
  <si>
    <t xml:space="preserve"> Prevención, preparación, contingencia, mitigación y superación de emergencias y contingencias por eventos relacionados con la salud pública en en Departamento del Quindío.  </t>
  </si>
  <si>
    <t xml:space="preserve"> Prevención vigilancia y control de eventos en en ámbito laboral en en Departamento del Quindío.  </t>
  </si>
  <si>
    <t xml:space="preserve"> Fortalecimiento del sistema de vigilancia en salud pública en en Departamento del Quindío. </t>
  </si>
  <si>
    <t xml:space="preserve">Fortalecimiento de la red de urgencias y emergencias en en Departamento del Quindío. </t>
  </si>
  <si>
    <t xml:space="preserve">Subsidio y cofinanciación al régimen subsidiado del Sistema General de Seguridad Social en Salud en en Departamento del Quindío.  </t>
  </si>
  <si>
    <t xml:space="preserve">•	Atención en salud: incluye el aseguramiento y la prestación de servicios de salud a la población en el marco del Sistema General de Seguridad Social en Salud (SGSSS).
 </t>
  </si>
  <si>
    <t xml:space="preserve">En atención a su solicitud de incluir el producto “Servicio de cofinanciación para la continuidad del régimen subsidiado en salud.” en el Catálogo de Productos de la MGA, de manera atenta nos permitimos informarle que ya se encuentra con un producto que satisface su necesidad el cual se denomina “Servicio de atención en salud a la población”, el cual cuenta con dos indicadores disponibles para su uso “Personas atendidas con servicio de salud y Personas afiliadas en servicio de salud”, la cofinanciación está implícita ya que esto esta dado dentro de las transferencias condicionadas que realiza la nación a través del SGP y que están destinadas al servicio de atención en salud.   </t>
  </si>
  <si>
    <t>•	Atención en salud: incluye el aseguramiento y la prestación de servicios de salud a la población en el marco del Sistema General de Seguridad Social en Salud (SGSSS).
•	Desarrollo del talento humano en salud: incluye la preparación adecuada del talento humano que atiende los servicios en salud.
•	Infraestructura para la prestación de servicios de salud: incluye la construcción, adquisición, intervención física a infraestructuras existentes, y la dotación inicial de edificaciones en las que se prestan los servicios en salud a la población</t>
  </si>
  <si>
    <t xml:space="preserve">•	Atención en salud: incluye el aseguramiento y la prestación de servicios de salud a la población en el marco del Sistema General de Seguridad Social en Salud (SGSSS).
</t>
  </si>
  <si>
    <t>Facilitar en acceso y uso de las Tecnologías de la Información y las Comunicaciones en todo en departamento del Quindío. "Tú y yo somos ciudadanos TIC"</t>
  </si>
  <si>
    <t xml:space="preserve">•	Infraestructura de tecnologías de la información y las comunicaciones: incluye todas las acciones relacionadas con el despliegue y uso de la infraestructura para la provisión de servicios de telecomunicaciones.
•	Masificación de acceso a las TIC: incluye la implementación de estrategias para incentivar la oferta y la demanda de bienes y servicios TIC, buscando soluciones que permitan a la población el acceso y uso a los servicios TIC.
•	Promoción de los servicios de tecnologías de la información y las comunicaciones: incluye el diseño, formulación e implementación de políticas para promover y divulgar la oferta TIC y la asistencia técnica a las entidades territoriales en la creación de institucionalidad para la promoción, difusión y desarrollo de las políticas en materia de TIC.
 </t>
  </si>
  <si>
    <t xml:space="preserve"> Fortalecimiento  y apoyo a las tecnologías de la información y las comunicaciones en en departamento del Quindío.</t>
  </si>
  <si>
    <t>Apoyo a la apropiación tecnologíca y generacional en en Departamento del Quindío</t>
  </si>
  <si>
    <t xml:space="preserve">•	Infraestructura de tecnologías de la información y las comunicaciones: incluye todas las acciones relacionadas con el despliegue y uso de la infraestructura para la provisión de servicios de telecomunicaciones.
•	Masificación de acceso a las TIC: incluye la implementación de estrategias para incentivar la oferta y la demanda de bienes y servicios TIC, buscando soluciones que permitan a la población el acceso y uso a los servicios TIC.
•	Promoción de los servicios de tecnologías de la información y las comunicaciones: incluye el diseño, formulación e implementación de políticas para promover y divulgar la oferta TIC y la asistencia técnica a las entidades territoriales en la creación de institucionalidad para la promoción, difusión y desarrollo de las políticas en materia de TIC.
</t>
  </si>
  <si>
    <t xml:space="preserve">•	Investigación, desarrollo e innovación en TIC: incluye todas las acciones que fomenten la investigación, desarrollo e innovación en modelos sectoriales y temáticos que generen soluciones, conocimiento, avances tecnológicos y aprovechamiento de las tecnologías emergentes, para la mejora y creación de procesos productivos, logrando impactar la competitividad institucional y empresarial, a nivel regional y nacional.
•	Apropiación de las tecnologías de la información y las comunicaciones: incluye las acciones orientadas a la generación de herramientas, estrategias, metodologías, acompañamiento y gestión que permitan aprovechar mejor las oportunidades que brindan las TIC, buscando que los grupos de interés las puedan usar y apropiar en sus actividades cotidianas y con esto colaborar al cierre de la brecha digital y mejorar su calidad de vida.
•	Fomento de los contenidos de televisión pública: acciones orientadas a la difusión, producción y coproducción de contenidos convergentes desarrollados por operadores públicos y privados (productores independientes, operadores sin ánimo de lucro, y grupos étnicos), y al desarrollo de metodologías de medición y análisis de contenidos de televisión abierta.
 •	Industria y emprendimiento digital: incluye el diseño e implementación de instrumentos de acompañamiento al emprendimiento digital, que promuevan el desarrollo de negocios digitales sostenibles y escalables en cada una de sus etapas (temprana o avanzada). Así mismo incluye los componentes de cofinanciación y asistencia técnica para el fortalecimiento de la industria TI y la industria creativa digital.
 </t>
  </si>
  <si>
    <t>•	Investigación, desarrollo e innovación en TIC: incluye todas las acciones que fomenten la investigación, desarrollo e innovación en modelos sectoriales y temáticos que generen soluciones, conocimiento, avances tecnológicos y aprovechamiento de las tecnologías emergentes, para la mejora y creación de procesos productivos, logrando impactar la competitividad institucional y empresarial, a nivel regional y nacional.
•	Apropiación de las tecnologías de la información y las comunicaciones: incluye las acciones orientadas a la generación de herramientas, estrategias, metodologías, acompañamiento y gestión que permitan aprovechar mejor las oportunidades que brindan las TIC, buscando que los grupos de interés las puedan usar y apropiar en sus actividades cotidianas y con esto colaborar al cierre de la brecha digital y mejorar su calidad de vida.
•	Fomento de los contenidos de televisión pública: acciones orientadas a la difusión, producción y coproducción de contenidos convergentes desarrollados por operadores públicos y privados (productores independientes, operadores sin ánimo de lucro, y grupos étnicos), y al desarrollo de metodologías de medición y análisis de contenidos de televisión abierta.
•	Gobierno digital: incluye las acciones para la formulación, socialización, seguimiento y evaluación de políticas de transformación digital pública, gobierno y seguridad digitales. Así mismo, incluye la implementación de los servicios ciudadanos digitales, la generación de capacidades en TIC para el Gobierno, y la dinamización del ecosistema de innovación pública digital. 
•	Industria y emprendimiento digital: incluye el diseño e implementación de instrumentos de acompañamiento al emprendimiento digital, que promuevan el desarrollo de negocios digitales sostenibles y escalables en cada una de sus etapas (temprana o avanzada). Así mismo incluye los componentes de cofinanciación y asistencia técnica para el fortalecimiento de la industria TI y la industria creativa digital.
•	Patrimonio digital de la radio y la televisión pública nacional: orientado a la recuperación, conservación, almacenamiento, digitalización, catalogación, acceso y divulgación de los archivos audiovisuales y sonoros de la radio y la televisión pública nacional, para la generación de contenidos que aporten a la construcción de la memoria del país.
•	Programación de la radio pública nacional: incluye las acciones de preproducción, producción, emisión, divulgación y medición de contenidos convergentes para las plataformas de la Radio Pública Nacional acorde con los avances tecnológicos de la radiodifusión y los medios de comunicación.
•	Talento digital: incluye las acciones encaminadas a formular e implementar estrategias que permitan el desarrollo de competencias y habilidades digitales en los ciudadanos, a través de programas de formación formal y no formal, virtual y/o presencial, en las áreas relacionadas con tecnologías de la información y las comunicaciones.
•	Transformación digital: incluye todas las acciones que permitan aumentar el grado de adopción de tecnologías en los sectores productivos y empresas colombianas, mediante la formulación, seguimiento y evaluación de políticas, la apropiación de las TIC en los procesos operativos y productivos de éstas, la implementación de modelos de acompañamiento en alianza con entidades gremiales regionales, y la generación de proyectos con el sector productivo que faciliten la implementación de procesos de transformación digital. De igual forma, mediante herramientas para promover el fortalecimiento de habilidades gerenciales de emprendedores y empresarios para la transformación digital.</t>
  </si>
  <si>
    <t>•	Fortalecimiento de capacidades en innovación: incluye la construcción, mejoramiento, dotación y/o adecuación de infraestructura y equipamiento para el desarrollo de actividades de innovación en centros de desarrollo tecnológico, de innovación, parques CTeI, unidades empresariales de I+D+i, entre otros.
•	Incentivos para la innovación: incluye apoyar la iniciación de la innovación en las empresas, la creación y fortalecimiento de una unidad de innovación al interior de estas para conducir el proceso de manera permanente y sistemática.
•	Incentivos para la transferencia de conocimiento: incluye el apoyo a licenciamientos tecnológicos, spin off, empresas de base tecnológica, productos-procesos tecnológicos, proyectos demostrativos de nuevas tecnologías y el fondo de protección de la propiedad intelectual.</t>
  </si>
  <si>
    <t xml:space="preserve">   Implementación de la transformación digital del sector empresarial en en Departamento del Quindío  </t>
  </si>
  <si>
    <t xml:space="preserve"> 
•	Gobierno digital: incluye las acciones para la formulación, socialización, seguimiento y evaluación de políticas de transformación digital pública, gobierno y seguridad digitales. Así mismo, incluye la implementación de los servicios ciudadanos digitales, la generación de capacidades en TIC para el Gobierno, y la dinamización del ecosistema de innovación pública digital. 
</t>
  </si>
  <si>
    <t>Servicios para la comunidad, sociales y personales</t>
  </si>
  <si>
    <t>ORDINARIO</t>
  </si>
  <si>
    <t>4599023.</t>
  </si>
  <si>
    <t>2.3.2.02.02.009.</t>
  </si>
  <si>
    <t>45990023.</t>
  </si>
  <si>
    <t>2.3.2.01.01.003.03.02.</t>
  </si>
  <si>
    <t>Maquinaria de informática y sus partes, piezas y accesorios</t>
  </si>
  <si>
    <t>4502035.</t>
  </si>
  <si>
    <t>2.3.2.02.02.005.</t>
  </si>
  <si>
    <t>Servicios generales de construcción de otros edificios no residenciales</t>
  </si>
  <si>
    <t>Servicios de la construcción</t>
  </si>
  <si>
    <t>4502001.</t>
  </si>
  <si>
    <t>91119.</t>
  </si>
  <si>
    <t>91114.</t>
  </si>
  <si>
    <t>4599018.</t>
  </si>
  <si>
    <t>4599025.</t>
  </si>
  <si>
    <t>4599031.</t>
  </si>
  <si>
    <t>54129.</t>
  </si>
  <si>
    <t>DNP.</t>
  </si>
  <si>
    <t>1906015.</t>
  </si>
  <si>
    <t>ESTAMPILLA PRODESARROLLO</t>
  </si>
  <si>
    <t>04</t>
  </si>
  <si>
    <t>2201062.</t>
  </si>
  <si>
    <t>4301004.</t>
  </si>
  <si>
    <t>Servicios generales de construcción de puentes y carreteras elevadas</t>
  </si>
  <si>
    <t>54221.</t>
  </si>
  <si>
    <t>2402022.</t>
  </si>
  <si>
    <t>Servicios generales de construcción de carreteras (excepto carreteras elevadas), calles</t>
  </si>
  <si>
    <t>54211.</t>
  </si>
  <si>
    <t>2402041.</t>
  </si>
  <si>
    <t>Servicios de la administración pública relacionados con el transporte y las comunicaciones</t>
  </si>
  <si>
    <t>Carreteras (excepto carreteras elevadas); calles</t>
  </si>
  <si>
    <t>3205010.</t>
  </si>
  <si>
    <t>2402118.</t>
  </si>
  <si>
    <t>3205021.</t>
  </si>
  <si>
    <t xml:space="preserve">0RDINARIO </t>
  </si>
  <si>
    <t>4001015.</t>
  </si>
  <si>
    <t>Servicios generales de construcción de complejos habitacionales, edificios de viviendas</t>
  </si>
  <si>
    <t>SGP AGUA POTABLE Y SANEAMIENTO BÁSICO</t>
  </si>
  <si>
    <t>Servicios de la administración pública relacionados con la vivienda e infraestructura de servicios públicos</t>
  </si>
  <si>
    <t>Servicios generales de construcción de alcantarillado y plantas de tratamiento de agua</t>
  </si>
  <si>
    <t>4003018.</t>
  </si>
  <si>
    <t>4003025.</t>
  </si>
  <si>
    <t>4003028.</t>
  </si>
  <si>
    <t>4003042.</t>
  </si>
  <si>
    <t>4003026.</t>
  </si>
  <si>
    <t>4599016.</t>
  </si>
  <si>
    <t>4502003.</t>
  </si>
  <si>
    <t xml:space="preserve">ORDINARIO </t>
  </si>
  <si>
    <t xml:space="preserve">Otros servicios de la administración pública n.c.p. </t>
  </si>
  <si>
    <t>1202004.</t>
  </si>
  <si>
    <t xml:space="preserve">Servicios de catering para eventos </t>
  </si>
  <si>
    <t>2.3.2.02.02.006</t>
  </si>
  <si>
    <t>Servicios de alojamiento;servicios de suministro de comidas y bebidas; servicio de transporte ; y servicios de distribución de electricidad, gas y agua</t>
  </si>
  <si>
    <t>2.3.2.02.02.006.</t>
  </si>
  <si>
    <t>2.3.2.02.01.003</t>
  </si>
  <si>
    <t>Otros bienes transportables (excepto productos metalicos, maquinaria y equipo)</t>
  </si>
  <si>
    <t>Otros impresos n.c.p.</t>
  </si>
  <si>
    <t>2201068.</t>
  </si>
  <si>
    <t>2.3.2.02.01.003.</t>
  </si>
  <si>
    <t>Recurso Ordinario</t>
  </si>
  <si>
    <t>Servicios de alojamiento; servicios de suministro de comidas y bebidas; servicios de transporte; y servicios de distribución de electricidad, gas y agua</t>
  </si>
  <si>
    <t>Otros bienes transportables (excepto productos metálicos, maquinaria y equipo)</t>
  </si>
  <si>
    <t>4101023.</t>
  </si>
  <si>
    <t>4101025.</t>
  </si>
  <si>
    <t>4101038.</t>
  </si>
  <si>
    <t>Productos metálicos, maquinaria y equipo</t>
  </si>
  <si>
    <t>63391.</t>
  </si>
  <si>
    <t>Vehìculos automotores,remolques y semirremolques; y sus partes, piezas y accesorios</t>
  </si>
  <si>
    <t xml:space="preserve">Vehículos automotores para usos especiales n.c.p. </t>
  </si>
  <si>
    <t xml:space="preserve"> Servicios de la administración pública relacionados con el transporte y las comunicaciones, esto con el fin de presentar la estructura más acorde con el referente internacional </t>
  </si>
  <si>
    <t>Gasolina para automotores</t>
  </si>
  <si>
    <t>4101073.</t>
  </si>
  <si>
    <t>4101011.</t>
  </si>
  <si>
    <t>4103052.</t>
  </si>
  <si>
    <t>4501029.</t>
  </si>
  <si>
    <t>2.3.5.01.04.</t>
  </si>
  <si>
    <t>2.3.2.01.01.003.07.01.</t>
  </si>
  <si>
    <t xml:space="preserve"> Servicios de catering para eventos </t>
  </si>
  <si>
    <t>4501001.</t>
  </si>
  <si>
    <t>Otras obras de ingenieria civil</t>
  </si>
  <si>
    <t xml:space="preserve">Otras obras de ingeniería civil </t>
  </si>
  <si>
    <t>3205002.</t>
  </si>
  <si>
    <t>53290.</t>
  </si>
  <si>
    <t>4503002.</t>
  </si>
  <si>
    <t>4503.</t>
  </si>
  <si>
    <t>4503003.</t>
  </si>
  <si>
    <t>Otros teléfonos y aparatos para transmisión o recepción de voz, imágenes u otros
datos, incluyendo aparatos para comunicación de redes cableadas o inalámbricas (como redes
LAN o WAN)</t>
  </si>
  <si>
    <t xml:space="preserve">Servicios de arrendamiento de bienes inmuebles no residenciales (vivienda) a comisión
o por contrato
 </t>
  </si>
  <si>
    <t xml:space="preserve">Servicios de transporte terrestre local regular de pasajeros
 </t>
  </si>
  <si>
    <t>Aparatos transmisores de televisiòn y radio; televisión, video y càmaras digitales; telèfonos</t>
  </si>
  <si>
    <t>Servicios financieros y servicios conexos, servicios inmobiliarios y servicios de leasing</t>
  </si>
  <si>
    <t>Otros bienes transportables (Excepto productos metalicos, maquinaria y equipo)</t>
  </si>
  <si>
    <t>Servicios de alojamiento, servicios de suministro de comidas y bebidas; servicio de transporte y servicios de distribución, electricidad, gas y agua</t>
  </si>
  <si>
    <t>Maquinaria de informatica y sus partes, piezas y accesorios</t>
  </si>
  <si>
    <t>Otros servicios de artes escenicas, eventos culturales y de entretenimiento en vivo.</t>
  </si>
  <si>
    <t>Máquinas portátiles de procesamiento automático de datos que no pesen más de 10
kg, como computadores portátiles (laptop y notebook)</t>
  </si>
  <si>
    <t>32690.</t>
  </si>
  <si>
    <t>33311.</t>
  </si>
  <si>
    <t>49119.</t>
  </si>
  <si>
    <t>91134.</t>
  </si>
  <si>
    <t>2.3.2.01.01.001.03.19.</t>
  </si>
  <si>
    <t>2.3.2.01.01.003.05.02.</t>
  </si>
  <si>
    <t>2.3.2.02.02.007.</t>
  </si>
  <si>
    <t>4503016.</t>
  </si>
  <si>
    <t>1206005.</t>
  </si>
  <si>
    <t>1203002.</t>
  </si>
  <si>
    <t>4599002.</t>
  </si>
  <si>
    <t>3301068.</t>
  </si>
  <si>
    <t>4003006.</t>
  </si>
  <si>
    <t>3301087.</t>
  </si>
  <si>
    <t>3301073.</t>
  </si>
  <si>
    <t>3301070.</t>
  </si>
  <si>
    <t>Otros bienes transportables (excepto productos metálicas, maquinaria y equipo)</t>
  </si>
  <si>
    <t xml:space="preserve">ESTAMPILLA PROCULTURA (10% BIBLIOTECAS </t>
  </si>
  <si>
    <t>Libros o textos educativos impresos</t>
  </si>
  <si>
    <t>32210.</t>
  </si>
  <si>
    <t>3301085.</t>
  </si>
  <si>
    <t>3301052.</t>
  </si>
  <si>
    <t>ESTAMPILLA PROCUTURA ( 10% SEGURIDAD SOCIAL )</t>
  </si>
  <si>
    <t xml:space="preserve">IVA TELEFONIA MÓVIL CULTRA </t>
  </si>
  <si>
    <t>3301100.</t>
  </si>
  <si>
    <t>3301095.</t>
  </si>
  <si>
    <t>3302042.</t>
  </si>
  <si>
    <t>3302070.</t>
  </si>
  <si>
    <t>3302071.</t>
  </si>
  <si>
    <t>2.3.2.02.01.000</t>
  </si>
  <si>
    <t>Agricultura, silvicultura y productos de la pesca</t>
  </si>
  <si>
    <t xml:space="preserve">Servicios de la administración pública relacionados con la agricultura, silvicultura, pesca y caza
</t>
  </si>
  <si>
    <t>Otros servicios de apoyo a la producción de cultivos</t>
  </si>
  <si>
    <t>Entidades del gobierno general</t>
  </si>
  <si>
    <t>Servicios de la administración pública relacionados con asuntos económicos, comerciales y laborales</t>
  </si>
  <si>
    <t>Maquinaria para la elaboración de alimentos, bebidas y tabaco, y sus partes y piezas</t>
  </si>
  <si>
    <t>Para la adquisición de activos no financieros</t>
  </si>
  <si>
    <t>Otros bienes transportables ( excepto productos metálicos, maquinaria y equipo)</t>
  </si>
  <si>
    <t>Servicios de la administración pública relacionados con la agricultura, silvicultura, pesca y caza</t>
  </si>
  <si>
    <t>Hornos y quemadores para alimentación de hogares y sus partes y piezas</t>
  </si>
  <si>
    <t>Quemadores para alimentación de hogares de combustible líquido,
combustible sólido, pulverizado o gas; alimentadores mecánicos, parrillas mecánicas,
descargadores mecánicos de cenizas y dispositivos análogos</t>
  </si>
  <si>
    <t>1702011.</t>
  </si>
  <si>
    <t>1702007.</t>
  </si>
  <si>
    <t>1702009.</t>
  </si>
  <si>
    <t>1702017.</t>
  </si>
  <si>
    <t>1702014.</t>
  </si>
  <si>
    <t>1702021.</t>
  </si>
  <si>
    <t>1702038.</t>
  </si>
  <si>
    <t>1702023.</t>
  </si>
  <si>
    <t>1702024.</t>
  </si>
  <si>
    <t>1702025.</t>
  </si>
  <si>
    <t>1703013.</t>
  </si>
  <si>
    <t>1704002.</t>
  </si>
  <si>
    <t>1704017.</t>
  </si>
  <si>
    <t>1706004.</t>
  </si>
  <si>
    <t>1707069.</t>
  </si>
  <si>
    <t>1708016.</t>
  </si>
  <si>
    <t>1708051.</t>
  </si>
  <si>
    <t>1709019.</t>
  </si>
  <si>
    <t>1709034.</t>
  </si>
  <si>
    <t>1709093.</t>
  </si>
  <si>
    <t>3502017.</t>
  </si>
  <si>
    <t>3502007.</t>
  </si>
  <si>
    <t>3201013.</t>
  </si>
  <si>
    <t>3201008.</t>
  </si>
  <si>
    <t>3202005.</t>
  </si>
  <si>
    <t>3202037.</t>
  </si>
  <si>
    <t>3202043.</t>
  </si>
  <si>
    <t>3202014.</t>
  </si>
  <si>
    <t>3204012.</t>
  </si>
  <si>
    <t>3205009.</t>
  </si>
  <si>
    <t>3205014.</t>
  </si>
  <si>
    <t>3206005.</t>
  </si>
  <si>
    <t>3206014.</t>
  </si>
  <si>
    <t>3206015.</t>
  </si>
  <si>
    <t xml:space="preserve">
91131.
</t>
  </si>
  <si>
    <t>86119.</t>
  </si>
  <si>
    <t>91138.</t>
  </si>
  <si>
    <t xml:space="preserve">91131.
</t>
  </si>
  <si>
    <t>91131.</t>
  </si>
  <si>
    <t xml:space="preserve">Servicos para la comunidad, sociales y personales </t>
  </si>
  <si>
    <t>otros serviciosde la administracion publica ncp</t>
  </si>
  <si>
    <t>4599019.</t>
  </si>
  <si>
    <t>2301024.</t>
  </si>
  <si>
    <t xml:space="preserve">Servicios prestados a las empresas y servicios de producción </t>
  </si>
  <si>
    <t>Máquinas para oficina y contabilidad, y sus partes y accesorios</t>
  </si>
  <si>
    <t>2.3.2.02.02.008.</t>
  </si>
  <si>
    <t>2.3.2.01.01.003.03.01.</t>
  </si>
  <si>
    <t>Servicios de soporte en tecnologías de la información (TI)</t>
  </si>
  <si>
    <t>Servicios de acceso a Internet de banda ancha</t>
  </si>
  <si>
    <t>Servicios de mantenimiento y reparación de equipo de oficina y contabilidad</t>
  </si>
  <si>
    <t>Dispositivos periféricos de entrada (teclado, palanca de mando (joysticks), ratón mouse etc</t>
  </si>
  <si>
    <t>83132.</t>
  </si>
  <si>
    <t>84222.</t>
  </si>
  <si>
    <t>87120.</t>
  </si>
  <si>
    <t>45261.</t>
  </si>
  <si>
    <t>45250.</t>
  </si>
  <si>
    <t>SERVICIOS PRESTADOS A LAS EMPRESAS Y SERVICIOS DE PRODUCCIÓN</t>
  </si>
  <si>
    <t xml:space="preserve">Serivicio  prestados a las empresas y servicios de producción  </t>
  </si>
  <si>
    <t>Otros servicios de alojamiento y suministro de infraestructura en tecnología de la información (TI)</t>
  </si>
  <si>
    <t xml:space="preserve"> Servicios de soporte en tecnologías de la información (TI) </t>
  </si>
  <si>
    <t>Servicio de educación para el trabajo en temas de uso pedagógico de tecnologías de la información y las comunicaciones.</t>
  </si>
  <si>
    <t xml:space="preserve"> Otros servicios de alojamiento y suministro de infraestructura en tecnología de la información (TI) </t>
  </si>
  <si>
    <t>Servicios de gestión de desarrollo empresarial</t>
  </si>
  <si>
    <t>2301079.</t>
  </si>
  <si>
    <t>2301062.</t>
  </si>
  <si>
    <t>2301030.</t>
  </si>
  <si>
    <t>2301015.</t>
  </si>
  <si>
    <t>2301004.</t>
  </si>
  <si>
    <t>2301035.</t>
  </si>
  <si>
    <t>2301042.</t>
  </si>
  <si>
    <t>2302042.</t>
  </si>
  <si>
    <t>2302022.</t>
  </si>
  <si>
    <t>2302021.</t>
  </si>
  <si>
    <t>2302058.</t>
  </si>
  <si>
    <t>2302068.</t>
  </si>
  <si>
    <t>3903005.</t>
  </si>
  <si>
    <t>3904018.</t>
  </si>
  <si>
    <t>2302003.</t>
  </si>
  <si>
    <t>2302033.</t>
  </si>
  <si>
    <t>2302066.</t>
  </si>
  <si>
    <t>2302004.</t>
  </si>
  <si>
    <t>2302007.</t>
  </si>
  <si>
    <t>2302083.</t>
  </si>
  <si>
    <t>83159.</t>
  </si>
  <si>
    <t>83117.</t>
  </si>
  <si>
    <t>1903009.</t>
  </si>
  <si>
    <t>1903031.</t>
  </si>
  <si>
    <t>1903023.</t>
  </si>
  <si>
    <t>Servicios de la administración pública relacionados con la salud</t>
  </si>
  <si>
    <t>91122.</t>
  </si>
  <si>
    <t>1903050.</t>
  </si>
  <si>
    <t>1903038.</t>
  </si>
  <si>
    <t>1903027.</t>
  </si>
  <si>
    <t>1903011.</t>
  </si>
  <si>
    <t>1903001.</t>
  </si>
  <si>
    <t>1903015.</t>
  </si>
  <si>
    <t>1903012.</t>
  </si>
  <si>
    <t>1903016.</t>
  </si>
  <si>
    <t>1903034.</t>
  </si>
  <si>
    <t>1903045.</t>
  </si>
  <si>
    <t>1903010.</t>
  </si>
  <si>
    <t>1903047.</t>
  </si>
  <si>
    <t>1903019.</t>
  </si>
  <si>
    <t>1903028.</t>
  </si>
  <si>
    <t>1903025.</t>
  </si>
  <si>
    <t>1905028.</t>
  </si>
  <si>
    <t>1905031.</t>
  </si>
  <si>
    <t>1905019.</t>
  </si>
  <si>
    <t>1905021.</t>
  </si>
  <si>
    <t>1905015.</t>
  </si>
  <si>
    <t>1905014.</t>
  </si>
  <si>
    <t>1905024.</t>
  </si>
  <si>
    <t>1905020.</t>
  </si>
  <si>
    <t>1905022.</t>
  </si>
  <si>
    <t>1905023.</t>
  </si>
  <si>
    <t>1905012.</t>
  </si>
  <si>
    <t>1905026.</t>
  </si>
  <si>
    <t>1905027.</t>
  </si>
  <si>
    <t>1905030.</t>
  </si>
  <si>
    <t>1905025.</t>
  </si>
  <si>
    <t xml:space="preserve">1905009.
</t>
  </si>
  <si>
    <t>1906032.</t>
  </si>
  <si>
    <t>1906029.</t>
  </si>
  <si>
    <t>1906005.</t>
  </si>
  <si>
    <t>1906022.</t>
  </si>
  <si>
    <t>Ordinario</t>
  </si>
  <si>
    <t xml:space="preserve">Otros bienes transportables (excepto productos metálicos, maquinaria y equipo) </t>
  </si>
  <si>
    <t>06</t>
  </si>
  <si>
    <t>ESTAMPILLA PROADULTO MAYOR</t>
  </si>
  <si>
    <t>Servicios de educación preescolar</t>
  </si>
  <si>
    <t>Servicios de educación básica primaria</t>
  </si>
  <si>
    <t>Servicios de educación básica secundaria general</t>
  </si>
  <si>
    <t>Servicios de educación media académica</t>
  </si>
  <si>
    <t>SISTEMA GENERAL DE PARTICIPACION EDUCACION</t>
  </si>
  <si>
    <t>SGP EDUCACIÓN</t>
  </si>
  <si>
    <t>TRANSFERENCIAS DE LA NACION POR ALIMENTACION PAE</t>
  </si>
  <si>
    <t>Infraestructura Educativa mejorada</t>
  </si>
  <si>
    <t>Otros muebles N.C.P.</t>
  </si>
  <si>
    <t>RECURSO DESTINADO DEL MONOPOLIO</t>
  </si>
  <si>
    <t>2.3.1.01.01.001.01</t>
  </si>
  <si>
    <t>Sueldo Básico</t>
  </si>
  <si>
    <t>Indemnización de Vacaciones</t>
  </si>
  <si>
    <t>Prima Técnica Salarial</t>
  </si>
  <si>
    <t>Prima de Servicios</t>
  </si>
  <si>
    <t>Prima de Vacaciones</t>
  </si>
  <si>
    <t>Prima de Navidad</t>
  </si>
  <si>
    <t xml:space="preserve">Bonificación Especial de Recreación </t>
  </si>
  <si>
    <t>Aportes Caja de Compensación Familiar</t>
  </si>
  <si>
    <t>Aportes Cesantías</t>
  </si>
  <si>
    <t>Aportes a la Seguridad Social en Salud</t>
  </si>
  <si>
    <t>SGP EDUCACIÓN - 26</t>
  </si>
  <si>
    <t>Aportes a la Seguridad Social en Pensiones</t>
  </si>
  <si>
    <t>Aportes Generales al Sistema de Riesgos Laborales</t>
  </si>
  <si>
    <t>Aportes al SENA</t>
  </si>
  <si>
    <t>Aportes al ICBF</t>
  </si>
  <si>
    <t>Aportes a Escuelas Industriales e Institutos Técnicos</t>
  </si>
  <si>
    <t>Aportes a la ESAP</t>
  </si>
  <si>
    <t>Viáticos de los funcionarios en comisión</t>
  </si>
  <si>
    <t>Horas extras, dominicales, festivos y recargos</t>
  </si>
  <si>
    <t>Subsidio de Alimentación</t>
  </si>
  <si>
    <t>Auxilio de Transporte</t>
  </si>
  <si>
    <t>Bonificación por servicios prestados</t>
  </si>
  <si>
    <t>Sentencias</t>
  </si>
  <si>
    <t>09</t>
  </si>
  <si>
    <t>SUPERAVIT S.G.P. EDUCACION</t>
  </si>
  <si>
    <t>2.3.2.01.01.005.02.03.01.02</t>
  </si>
  <si>
    <t>Gastos de desarrollo</t>
  </si>
  <si>
    <t>Servicio de apoyo para el acceso y la permanencia a la educación superior o terciaria</t>
  </si>
  <si>
    <t xml:space="preserve">•	Infraestructura de la red vial secundaria: incluye el inventario de la red vial, la construcción, mantenimiento, mejoramiento, rehabilitación y operación. 
 </t>
  </si>
  <si>
    <t>Infraestructura de la red vial secundaria: incluye el inventario de la red vial, la construcción, mantenimiento, mejoramiento, rehabilitación y operación.</t>
  </si>
  <si>
    <t xml:space="preserve">•	Soluciones de vivienda: incluye los procesos relacionados a la construcción de vivienda de interés social y/o prioritario nueva o en sitio propio y el mejoramiento de vivienda (VIS y estructural).
 </t>
  </si>
  <si>
    <t xml:space="preserve"> •	Gestión para el saneamiento básico: incluye las acciones para buscar la cobertura, calidad y continuidad en el acceso de la población a saneamiento básico, en las zonas urbanas y rurales del país.
</t>
  </si>
  <si>
    <t>40031
40032</t>
  </si>
  <si>
    <t>. Fortalecimiento de la prevención integral y rutas de protección: orientado a la formulación e implementación de planes, programas, proyectos, estrategias y acciones para generar condiciones que permitan el libre y pleno ejercicio de los derechos humanos, en particular derechos a la vida, libertad, integridad, seguridad y defensa de los derechos humanos.</t>
  </si>
  <si>
    <t>• Formulación y coordinación de la política: incluye la expedición de lineamientos de política pública en materia de métodos de solución de conflictos, el fortalecimiento y articulación de operadores de justicia alternativa y la gestión de la información respectiva</t>
  </si>
  <si>
    <t>Fortalecimiento de los procesos de aprendizaje: incluye los gastos en proyectos orientados a mejorar la formación y evaluación de docentes, el uso pedagógico y educativo de las TIC, el diseño de contenidos curriculares (incluyendo las necesidades educativas especiales) así como los demás gastos relacionados con el proyecto pedagógico y curricular</t>
  </si>
  <si>
    <t xml:space="preserve"> 
•	Coordinación nación – territorio y fortalecimiento territorial: incluye la generación de sinergias entre los distintos niveles de gobierno, con el fin de sumar esfuerzos que permitan prevenir, asistir, atender y reparar integralmente a quienes han sido víctimas del conflicto.
 </t>
  </si>
  <si>
    <t xml:space="preserve"> 
•	Coordinación nación – territorio y fortalecimiento territorial: incluye la generación de sinergias entre los distintos niveles de gobierno, con el fin de sumar esfuerzos que permitan prevenir, asistir, atender y reparar integralmente a quienes han sido víctimas del conflicto.
 </t>
  </si>
  <si>
    <t xml:space="preserve">•	Atención y asistencia humanitaria: incluye la ayuda y atención humanitaria y oferta de estabilización socioeconómica a la población víctima.
</t>
  </si>
  <si>
    <t xml:space="preserve"> 
•	Coordinación nación – territorio y fortalecimiento territorial: incluye la generación de sinergias entre los distintos niveles de gobierno, con el fin de sumar esfuerzos que permitan prevenir, asistir, atender y reparar integralmente a quienes han sido víctimas del conflicto.
</t>
  </si>
  <si>
    <t>Promoción de la participación ciudadana: recursos destinados a socializar, promover e incentivar los mecanismos y la interlocución con los espacios de participación ciudadana.</t>
  </si>
  <si>
    <t>Maquinaria n.c.p. para la preparación o fabricación industrial de alimentos o bebidas (incluso grasas o aceites) condimentos y especias</t>
  </si>
  <si>
    <t xml:space="preserve">•	Convivencia ciudadana: inversión orientada a promover la interacción pacífica, respetuosa y armónica entre las personas, con los bienes y con el ambiente, en el marco del ordenamiento jurídico.
 </t>
  </si>
  <si>
    <t>45021
45022
45023</t>
  </si>
  <si>
    <t xml:space="preserve">45021
 </t>
  </si>
  <si>
    <t xml:space="preserve">45022
 </t>
  </si>
  <si>
    <t xml:space="preserve">45021
45022
 </t>
  </si>
  <si>
    <t>ESTAMPLILLA PROCULTURA  (50% CONCERTACIÓN)</t>
  </si>
  <si>
    <t>•	Estímulos a los procesos, proyectos y actividades culturales: incluye procesos, líneas de acción y actividades relacionadas con la formación y cualificación de los agentes del sector, con el propósito de reconocer, valorar e incentivar su quehacer y el de la ciudadanía, a través de becas, pasantías, premios, reconocimientos y residencias en programas de 	educación artística y cultural.
•	Fomento a la gestión cultural territorial: incluye acciones de asesoría y acompañamiento a la institucionalidad cultural, espacios de participación y gestores culturales de los departamentos y municipios del país, en temas relacionados con procesos de planeación, formulación de proyectos, fuentes de financiación, formación y participación ciudadana. También incluye la coordinación de la Red Nacional de Bibliotecas Públicas y la promoción de su crecimiento, modernización y sostenibilidad.
•	Innovación y emprendimiento de industrias culturales: incluye acciones para el fortalecimiento del emprendimiento cultural, a través de formación, asistencia técnica y acompañamiento a los emprendedores por parte de organizaciones que incuben y aceleren las ideas de negocio, el acceso a créditos y recursos de capital semilla.
•	Prácticas artísticas y culturales: incluye todas las estrategias encaminadas al desarrollo de los procesos de investigación, formación, experimentación, creación, producción, circulación, comunicación, difusión y apropiación de prácticas artísticas y culturales.</t>
  </si>
  <si>
    <t>33011
33012
33015
33016</t>
  </si>
  <si>
    <t xml:space="preserve"> 
•	Prácticas artísticas y culturales: incluye todas las estrategias encaminadas al desarrollo de los procesos de investigación, formación, experimentación, creación, producción, circulación, comunicación, difusión y apropiación de prácticas artísticas y culturales.</t>
  </si>
  <si>
    <t xml:space="preserve">•	Estímulos a los procesos, proyectos y actividades culturales: incluye procesos, líneas de acción y actividades relacionadas con la formación y cualificación de los agentes del sector, con el propósito de reconocer, valorar e incentivar su quehacer y el de la ciudadanía, a través de becas, pasantías, premios, reconocimientos y residencias en programas de 	educación artística y cultural.
 </t>
  </si>
  <si>
    <t xml:space="preserve"> 
•	Fomento a la gestión cultural territorial: incluye acciones de asesoría y acompañamiento a la institucionalidad cultural, espacios de participación y gestores culturales de los departamentos y municipios del país, en temas relacionados con procesos de planeación, formulación de proyectos, fuentes de financiación, formación y participación ciudadana. También incluye la coordinación de la Red Nacional de Bibliotecas Públicas y la promoción de su crecimiento, modernización y sostenibilidad.
</t>
  </si>
  <si>
    <t xml:space="preserve"> 
•	Protección del patrimonio material: incluye acciones orientadas a proteger y reconocer bienes muebles e inmuebles que, por sus valores de autenticidad, originalidad, estéticos, artísticos y técnicos son representativos para la nación, constituyéndose además en testimonio vivo de su historia y de su cultura. Este incluye la protección y salvaguardia del patrimonio antropológico, arqueológico e histórico (vestigios de la gente que vivió en la época colonial, republicana e incluso en épocas más recientes, objetos prehispánicos, antiguas áreas de habitación, terrazas de cultivo, caminos, cementerios, restos animales y vegetales, y arte rupestre).</t>
  </si>
  <si>
    <t>2.3.4.02.03</t>
  </si>
  <si>
    <t>Servicios de la administración pública relacionados con el turismo</t>
  </si>
  <si>
    <t>TURISMO Y CULTURA 4%</t>
  </si>
  <si>
    <t>Servicios de promoción turística y de información al visitante</t>
  </si>
  <si>
    <t>2.3.4.02.03.</t>
  </si>
  <si>
    <t>2.3.2.02.01.000.</t>
  </si>
  <si>
    <t>2.3.4.02.04.</t>
  </si>
  <si>
    <t>2.3.2.01.01.003.02.05.</t>
  </si>
  <si>
    <t xml:space="preserve">2.3.2.02.02.009.
</t>
  </si>
  <si>
    <t xml:space="preserve">2.3.4.04.
</t>
  </si>
  <si>
    <t xml:space="preserve">2.3.4.04.
</t>
  </si>
  <si>
    <t>2.3.2.01.01.004.01.01.04.</t>
  </si>
  <si>
    <t>Esquemas asociativos</t>
  </si>
  <si>
    <t>2.3.2.02.02.008</t>
  </si>
  <si>
    <t>3502006.</t>
  </si>
  <si>
    <t>3502022.</t>
  </si>
  <si>
    <t>3502039.</t>
  </si>
  <si>
    <t>3502047.</t>
  </si>
  <si>
    <t>3502046.</t>
  </si>
  <si>
    <t>3602018.</t>
  </si>
  <si>
    <t>3602032.</t>
  </si>
  <si>
    <t>3602029.</t>
  </si>
  <si>
    <t>3602030.</t>
  </si>
  <si>
    <t>Servicios de la administración pública relacionados con la educación</t>
  </si>
  <si>
    <t>2.3.1.01.01.001.01.</t>
  </si>
  <si>
    <t>2.3.1.01.03.001.02.</t>
  </si>
  <si>
    <t>2.3.1.01.01.001.09.</t>
  </si>
  <si>
    <t>2.3.1.01.01.001.06.</t>
  </si>
  <si>
    <t>2.3.1.01.01.001.08.02.</t>
  </si>
  <si>
    <t>2.3.1.01.01.001.08.01.</t>
  </si>
  <si>
    <t>2.3.1.01.03.001.03.</t>
  </si>
  <si>
    <t>2.3.1.01.02.004.</t>
  </si>
  <si>
    <t>2.3.1.01.02.003.</t>
  </si>
  <si>
    <t>2.3.1.01.02.002.</t>
  </si>
  <si>
    <t>2.3.1.01.02.001.</t>
  </si>
  <si>
    <t>2.3.1.01.02.005.</t>
  </si>
  <si>
    <t>2.3.1.01.02.007.</t>
  </si>
  <si>
    <t>2.3.1.01.02.006.</t>
  </si>
  <si>
    <t>2.3.1.01.02.009.</t>
  </si>
  <si>
    <t>2.3.1.01.02.008.</t>
  </si>
  <si>
    <t>2.3.2.02.02.010.</t>
  </si>
  <si>
    <t>2.3.1.01.01.001.02.</t>
  </si>
  <si>
    <t>2.3.1.02.01.001.04.</t>
  </si>
  <si>
    <t>2.3.1.02.01.001.05.</t>
  </si>
  <si>
    <t>2.3.1.02.01.001.07.</t>
  </si>
  <si>
    <t>2.3.3.13.01.001.</t>
  </si>
  <si>
    <t>39041
39042</t>
  </si>
  <si>
    <t>17021
17022
17023</t>
  </si>
  <si>
    <t>•	Conocimiento del riesgo: acciones orientadas a la identificación de riesgos de mercado y de fenómenos naturales, así como el análisis, monitoreo, seguimiento y evaluación de estos. También incluye las acciones orientadas  a promover la comunicación, promoción de estrategias de reducción, manejo y el fomento de instrumentos de gestión de riesgos. Contempla el sistema de alertas tempranas, sistemas de información, infraestructura
•	agrometeorológica, mapas de riesgos agropecuarios, evaluación de daños y pérdidas, campañas de socialización y divulgación, entre otros. 
•	Incentivos y apoyos financieros a productores rurales, garantías, capitales de riesgo y fondos de capital privado: oferta de servicios financieros y microfinancieros dirigidos a la población rural y rural dispersa; Instrumentos financieros para el fomento de la inversión en el sector agropecuario. 
•	Instrumentos de crédito: instrumentos, incentivos y apoyos, para el crédito y el acceso al mismo, dirigidos a los productores rurales.
•	Protección financiera: mecanismos o instrumentos financieros de retención intencional o transferencia de riesgos naturales y de mercado. Mecanismos de estabilización de ingresos y de precios de los productores agropecuarios que promuevan a su vez la inclusión financiera y productiva del sector agropecuario. Instrumentos tales como: seguros agropecuarios, derivados climáticos, coberturas de precios y de tipo de cambio, forward y agricultura por contratos, entre otros.</t>
  </si>
  <si>
    <t>17031
17032
17033
17034</t>
  </si>
  <si>
    <t>17041
17042</t>
  </si>
  <si>
    <t>17061
17062</t>
  </si>
  <si>
    <t>17073
17074</t>
  </si>
  <si>
    <t>17081
17085</t>
  </si>
  <si>
    <t xml:space="preserve"> 
- Infraestructura postcosecha (centros de acopio; centros logísticos): incluye
la generación de infraestructura requerida para dar el tratamiento adecuado a los productos una vez son extraídos, de tal manera que permita satisfacer los requerimientos de calidad de mercados internos y externos.
 </t>
  </si>
  <si>
    <t xml:space="preserve">
- Fortalecimiento de la producción y comercialización del sector agropecuario y forestal: comprende los apoyos directos, incentivos, generación de instrumentos de política y estrategias de planificación para las cadenas agrícolas, forestales, pecuarias, acuícolas y pesqueras.
 </t>
  </si>
  <si>
    <t>35022
35023</t>
  </si>
  <si>
    <t>. Gestión ambiental sectorial: incluye el desarrollo de instrumentos técnicos y económicos para la gestión de pasivos ambientales, para la gestión de impactos ambientales y para la conservación de los recursos naturales. 
.Gestión de la contaminación del aire: incluye la elaboración de instrumentos técnicos y normativos para la prevención y el control de la contaminación del aire.
.Gestión integral de residuos y de sustancias químicas: incluye el desarrollo de instrumentos normativos para el manejo de los residuos de Aparatos Eléctricos y Electrónicos y de residuos peligrosos; el fomento de iniciativas para reducir el consumo y el promover la responsabilidad posconsumo; y el desarrollo de instrumentos para la gestión del riesgo de las sustancias químicas en el país. 
.Gestión sostenible del suelo: incluye la promoción de la gestión integral para la conservación del suelo, en un contexto en el que confluyan la conservación de la biodiversidad y la calidad del agua y del aire, el ordenamiento del territorio y la gestión de riesgo</t>
  </si>
  <si>
    <t>32012
32013
32014
32015</t>
  </si>
  <si>
    <t>32011
32015
21016</t>
  </si>
  <si>
    <t xml:space="preserve">32021
32022
32023
</t>
  </si>
  <si>
    <t>32041
32042
32043</t>
  </si>
  <si>
    <t xml:space="preserve">32051
32052
</t>
  </si>
  <si>
    <t>32061
32062
32063</t>
  </si>
  <si>
    <t xml:space="preserve">35021
35022
35023
</t>
  </si>
  <si>
    <t>35021
35022
35023</t>
  </si>
  <si>
    <t>36021
36022
36023</t>
  </si>
  <si>
    <t>23011
23012
23013</t>
  </si>
  <si>
    <t>23021
23022
23023
23025</t>
  </si>
  <si>
    <t>39031
39032
39033</t>
  </si>
  <si>
    <t xml:space="preserve">39041
39042
39043
39044
</t>
  </si>
  <si>
    <t>23021
23022
23023
23024
23025
23026</t>
  </si>
  <si>
    <t xml:space="preserve"> 23021
23022
23023
23024
23025
23026</t>
  </si>
  <si>
    <t>41021
41022
41023
41024
41025
41026</t>
  </si>
  <si>
    <t xml:space="preserve">41031
41032
</t>
  </si>
  <si>
    <t>19031
19032</t>
  </si>
  <si>
    <t xml:space="preserve">19051
19052
19053
</t>
  </si>
  <si>
    <t xml:space="preserve">19061
19062
19063
</t>
  </si>
  <si>
    <t xml:space="preserve">DIRECCION OFICINA PRIVADA </t>
  </si>
  <si>
    <t>Servicios de suministro de comidas en establecimientos de autoservicio</t>
  </si>
  <si>
    <t xml:space="preserve">RENDIMIENTOS FINANCIEROS SGP EDUCACIÓN </t>
  </si>
  <si>
    <t>Productos alimenticios, bebidas y tabaco; textiles, prendas de vestir y productos de cuero</t>
  </si>
  <si>
    <t>Otros productos alimenticios n.c.p.</t>
  </si>
  <si>
    <t>64114 Servicios de transporte terrestre especial local de pasajero</t>
  </si>
  <si>
    <t>Servicios de transporte terrestre especial local de pasajeros</t>
  </si>
  <si>
    <t>INCONSISTENCIAS</t>
  </si>
  <si>
    <t xml:space="preserve">SECRETARIAS </t>
  </si>
  <si>
    <t>1206002</t>
  </si>
  <si>
    <t>Infraestructura penitenciaria y carcelaria con mantenimiento</t>
  </si>
  <si>
    <t>4502024</t>
  </si>
  <si>
    <t xml:space="preserve">CODIGO </t>
  </si>
  <si>
    <t xml:space="preserve">PRODUCTO </t>
  </si>
  <si>
    <t>450202400</t>
  </si>
  <si>
    <t>450202402</t>
  </si>
  <si>
    <t>Casas de Igualdad de oportunidades para la mujer y el joven</t>
  </si>
  <si>
    <t>450202401</t>
  </si>
  <si>
    <t>Espacios generados para el fortalecimiento de capacidades institucionales del Estado</t>
  </si>
  <si>
    <t>120600200</t>
  </si>
  <si>
    <t>Establecimientos de reclusión (nacionales y territoriales) con mantenimiento</t>
  </si>
  <si>
    <t>4502024.</t>
  </si>
  <si>
    <t>Fortalecimiento de la prevención integral y rutas de protección: orientado a la formulación e implementación de planes, programas, proyectos, estrategias y acciones para generar condiciones que permitan el libre y pleno ejercicio de los derechos humanos, en particular derechos a la vida, libertad, integridad, seguridad y defensa de los derechos humanos.</t>
  </si>
  <si>
    <t>1906023</t>
  </si>
  <si>
    <t>Servicio de tecnologías en salud financiadas con la unidad de pago por capitación - UPC</t>
  </si>
  <si>
    <t>190602300</t>
  </si>
  <si>
    <t>Pacientes atendidos con tecnologías en salud financiados con cargo a los recursos de la UPC del Régimen Subsidiado</t>
  </si>
  <si>
    <t>190602301</t>
  </si>
  <si>
    <t>Pacientes atendidos con medicamentos en salud financiados con cargo a los recursos de la UPC del Régimen Subsidiado</t>
  </si>
  <si>
    <t xml:space="preserve">Servicio de cofinanciación para la continuidad del  régimen subsidiado en salud  </t>
  </si>
  <si>
    <t>1901163</t>
  </si>
  <si>
    <t>Servicio de atención en salud a la población</t>
  </si>
  <si>
    <t>190116300</t>
  </si>
  <si>
    <t>Personas atendidas con servicio de salud</t>
  </si>
  <si>
    <t>1901</t>
  </si>
  <si>
    <t xml:space="preserve">Salud pública y prestación de servicios  </t>
  </si>
  <si>
    <t>Entidad territorial</t>
  </si>
  <si>
    <t>Fecha de la solicitud</t>
  </si>
  <si>
    <t>363-QUINDIO-Gobernación</t>
  </si>
  <si>
    <t>Producto propuesto</t>
  </si>
  <si>
    <t>Indicadores propuestos</t>
  </si>
  <si>
    <t>Datos de contacto de la persona que hace la solicitud</t>
  </si>
  <si>
    <t>Observaciones y gestión responsable metodológico</t>
  </si>
  <si>
    <t>Estado</t>
  </si>
  <si>
    <t>sector</t>
  </si>
  <si>
    <t xml:space="preserve">Nombre sector </t>
  </si>
  <si>
    <t>Código programa</t>
  </si>
  <si>
    <t>Programa</t>
  </si>
  <si>
    <t>Código Producto</t>
  </si>
  <si>
    <t>Producto</t>
  </si>
  <si>
    <t>Descripcion</t>
  </si>
  <si>
    <t>Medido a través de</t>
  </si>
  <si>
    <t xml:space="preserve">codigo del indicador </t>
  </si>
  <si>
    <t>Indicador de producto</t>
  </si>
  <si>
    <t>Unidad de medida</t>
  </si>
  <si>
    <t xml:space="preserve">Indicador principal </t>
  </si>
  <si>
    <t>Infraestructura Educativa   con procesos constructivos, mantenidos, reforzados, ampliados y/o mejorados</t>
  </si>
  <si>
    <t>Jose Ignacio Rojas Sepulveda, Secretario de Planeación Departamental - planeacion@quindio.gov.co- 3137945135</t>
  </si>
  <si>
    <t>La solicitud se refiere a varios productos independientes en el catálogo que dan cuenta de procesos constructivos diferentes por lo que lo procedente es hacer uso de cada producto por separado. Lo anteiror no obsta, que en el mismo proyecto de inversión contemple todos los productos, a saber: infraestructura educativa construida (código 2201051), infraestructura educativa mejorada en el cual puede incluir el concepto de ampliación de acuerdo con la definición del producto (código 2201052),  infraestructura educativa mantenida (código 2201062) e infraestructura educativa restraurada (código 2201021)</t>
  </si>
  <si>
    <t>22-EDUCACIÓN</t>
  </si>
  <si>
    <t>2201-Calidad, cobertura y fortalecimiento de la educación inicial, prescolar, básica y media</t>
  </si>
  <si>
    <t>Número de infraestructuras</t>
  </si>
  <si>
    <t xml:space="preserve">Número  </t>
  </si>
  <si>
    <t>Infraestructura en  puentes con procesos constructivos, mantenidos, reforzados, ampliados y/o mejorados</t>
  </si>
  <si>
    <t>Jose Ignacio Rojas Sepulveda, Secretario de Planeación Departamental - planeacion@quindio.gov.co- 3137945137</t>
  </si>
  <si>
    <t>La solicitud se refiere a varios productos independientes en el catálogo que dan cuenta de procesos constructivos diferentes por lo que lo procedente es hacer uso de cada producto por separado. Lo anteiror no obsta, que en el mismo proyecto de inversión contemple todos los productos asociados a la gestión de la infraestructura de puentes de acuerdo a las competencias de la entidad territorial así: orden de la vía (secundaria, terciaria, urbana) y tipo de intervención (mejorado, con mantenimiento, rehabilitado).</t>
  </si>
  <si>
    <t xml:space="preserve">4. Producto/Indicador rechazado </t>
  </si>
  <si>
    <t>24-TRANSPORTE</t>
  </si>
  <si>
    <t>2402-Infraestructura red vial regional</t>
  </si>
  <si>
    <t>Infraestructura Infraestructura  vial con procesos constructivos, mantenidos, reforzados, ampliados y/o mejorados</t>
  </si>
  <si>
    <t xml:space="preserve">Infraestructura  vial    construída, mejorada, ampliada,  mantenida, y/o  reforzada </t>
  </si>
  <si>
    <t>Jose Ignacio Rojas Sepulveda, Secretario de Planeación Departamental - planeacion@quindio.gov.co- 3137945138</t>
  </si>
  <si>
    <t>Kilómetros de vías</t>
  </si>
  <si>
    <t>Servicio  de fortalecimiento   agencias de inversión.</t>
  </si>
  <si>
    <t>Agencias de Inversión fortalecidas</t>
  </si>
  <si>
    <t>Jose Ignacio Rojas Sepulveda, Secretario de Planeación Departamental - planeacion@quindio.gov.co- 3137945143</t>
  </si>
  <si>
    <t>No procede la solicitud, ya que el producto que se propone no esta deacuerdo con lo que quiere entregar en el proyecto, se entiende que la gobernacion como socio realizara un servicio de financiacion a la agencia, es decir va a realizar una trasnferencia, va entregar un recurso finaciero, en ese sentido el catalogo ya cuenta con productos que reflejan este producto, el   "Servicio de apoyo financiero...por favor revisar el  producto  3502004 "Servicio de apoyo financiero para el mejoramiento de productos o procesos"</t>
  </si>
  <si>
    <t>3. Producto/Indicador existente*</t>
  </si>
  <si>
    <t>35-COMERCIO, INDUSTRIA Y TURISMO</t>
  </si>
  <si>
    <t>3502-Productividad y competitividad de las empresas colombianas</t>
  </si>
  <si>
    <t>Número de unidades</t>
  </si>
  <si>
    <t xml:space="preserve">Servicio de atención y asistencia para la población excombatiente  </t>
  </si>
  <si>
    <t xml:space="preserve">Población excombatiente beneficiada. </t>
  </si>
  <si>
    <t>Jose Ignacio Rojas Sepulveda, Secretario de Planeación Departamental - planeacion@quindio.gov.co- 3137945140</t>
  </si>
  <si>
    <t>41-INCLUSIÓN SOCIAL Y RECONCILIACIÓN</t>
  </si>
  <si>
    <t>4103-Inclusión social y productiva para la población en situación de vulnerabilidad</t>
  </si>
  <si>
    <t>Número de acciones</t>
  </si>
  <si>
    <t xml:space="preserve">Servicio  de fortalecimiento Institucional a organismos de seguridad </t>
  </si>
  <si>
    <t>Organismos de seguridad fortalecidos.</t>
  </si>
  <si>
    <t>Jose Ignacio Rojas Sepulveda, Secretario de Planeación Departamental - planeacion@quindio.gov.co- 3137945141</t>
  </si>
  <si>
    <t>Traslado a Sec 45, Sep 11</t>
  </si>
  <si>
    <t>4501-Fortalecimiento de la convivencia y la seguridad ciudadana</t>
  </si>
  <si>
    <t>Número de entidades</t>
  </si>
  <si>
    <t>Servicio de implementación de rutas integrales.</t>
  </si>
  <si>
    <t xml:space="preserve">Rutas integrales de atención  a la  primera infancia implementadas y con seguimiento </t>
  </si>
  <si>
    <t>Jose Ignacio Rojas Sepulveda, Secretario de Planeación Departamental - planeacion@quindio.gov.co- 3137945148</t>
  </si>
  <si>
    <t>INCLUSIÓN SOCIAL Y RECONCILIACIÓN</t>
  </si>
  <si>
    <t>4102-Desarrollo integral de niñas, niños y adolescentes y sus familias</t>
  </si>
  <si>
    <t xml:space="preserve">Servicio  de Implementación de  la  política pública para la protección, el fortalecimiento y el desarrollo integral de la familia  </t>
  </si>
  <si>
    <t>Jose Ignacio Rojas Sepulveda, Secretario de Planeación Departamental - planeacion@quindio.gov.co- 3137945149</t>
  </si>
  <si>
    <t>Servicio de la   Política Pública de juventud</t>
  </si>
  <si>
    <t>Jose Ignacio Rojas Sepulveda, Secretario de Planeación Departamental - planeacion@quindio.gov.co- 3137945150</t>
  </si>
  <si>
    <t xml:space="preserve"> Servicio de  fortalecimiento a las Rutas integrales de atención en violencia intrafamiliar y  violencia de género</t>
  </si>
  <si>
    <t>Jose Ignacio Rojas Sepulveda, Secretario de Planeación Departamental - planeacion@quindio.gov.co- 3137945151</t>
  </si>
  <si>
    <t>GOBIERNO TERRITORIAL</t>
  </si>
  <si>
    <t xml:space="preserve">Servicio de educación informal </t>
  </si>
  <si>
    <t>Corresponde al diseño y desarrollo de estrategias educativas que tienen como objetivo brindar oportunidades para apropiar, complementar, actualizar, perfeccionar, renovar o profundizar conocimientos, habilidades, técnicas y prácticas, este conocimiento libre y espontáneo adquirido, puede provenir de personas, entidades, medios masivos de comunicación, medios impresos, tradiciones, costumbres, comportamientos sociales y otros no estructurados y su duración es inferior a 160 horas.</t>
  </si>
  <si>
    <t>Capacitaciones realizadas</t>
  </si>
  <si>
    <t>NO</t>
  </si>
  <si>
    <t xml:space="preserve"> Servicio de atención integral a niños y niñas en primera infancia en espacios socialmente no convencionales: tiempos no convencionales  </t>
  </si>
  <si>
    <t>Jose Ignacio Rojas Sepulveda, Secretario de Planeación Departamental - planeacion@quindio.gov.co- 3137945152</t>
  </si>
  <si>
    <t>Servicio de atención integral a la primera infancia</t>
  </si>
  <si>
    <t>Servicio dispuestos para atender a los niños y niñas en primera infancia, con el fin de promover su desarrollo integral a través de la atención en educación inicial, cuidado calificado, salud, nutrición, protección y acompañamiento familiar.</t>
  </si>
  <si>
    <t>Niños y niñas atendidos en Servicio integrales</t>
  </si>
  <si>
    <t>SI</t>
  </si>
  <si>
    <t>Servicio de apoyar la construcción e Implementación de los  Planes de vida de los cabildos Indígenas asentados en el  en territorio</t>
  </si>
  <si>
    <t>Jose Ignacio Rojas Sepulveda, Secretario de Planeación Departamental - planeacion@quindio.gov.co- 3137945153</t>
  </si>
  <si>
    <t>Servicio de apoyar la construcción e Implementación de los  Planes de vida de los resguardos indígenas  asentados en el territorio</t>
  </si>
  <si>
    <t>Jose Ignacio Rojas Sepulveda, Secretario de Planeación Departamental - planeacion@quindio.gov.co- 3137945154</t>
  </si>
  <si>
    <t>Servicio de Formular e implementar la política publica para la comunidad negra, afrocolombiana, raizal y palenquera residente en el  ente territorial.</t>
  </si>
  <si>
    <t>Jose Ignacio Rojas Sepulveda, Secretario de Planeación Departamental - planeacion@quindio.gov.co- 3137945155</t>
  </si>
  <si>
    <t>Documentos de política</t>
  </si>
  <si>
    <t>Documentos cuyo objetivo es dar una orientación frente a las acciones que el Estado debe realizar en el marco de una tema específico con el fin de suplir necesidades de interés público, materializables en los diferentes instrumentos de planeación y presupuestación.</t>
  </si>
  <si>
    <t>Documentos de política elaborados</t>
  </si>
  <si>
    <t>4104020  Servicio de atención integral a población en condición de discapacidad</t>
  </si>
  <si>
    <t>Jose Ignacio Rojas Sepulveda, Secretario de Planeación Departamental - planeacion@quindio.gov.co- 3137945156</t>
  </si>
  <si>
    <t xml:space="preserve">4104-Atención integral de población en situación permanente de desprotección social y/o familiar </t>
  </si>
  <si>
    <t>Numero de personas</t>
  </si>
  <si>
    <t>4104027  Servicio de atención integral al habitante de la calle</t>
  </si>
  <si>
    <t>Jose Ignacio Rojas Sepulveda, Secretario de Planeación Departamental - planeacion@quindio.gov.co- 3137945157</t>
  </si>
  <si>
    <t>Corresponde al acompañamiento,apoyo,  asesoría y seguimiento técnico para la transferencia de herramientas de gestión y conocimiento en políticas, planes , proyectos y programas de apoyo a la dirección y gestión de la administración territorial.</t>
  </si>
  <si>
    <t>Servicio de Implementación  de   la política  pública de diversidad sexual e identidad de género</t>
  </si>
  <si>
    <t xml:space="preserve">Servicio de revisar, ajustar e implementar la política pública de equidad de género para la mujer </t>
  </si>
  <si>
    <t>Jose Ignacio Rojas Sepulveda, Secretario de Planeación Departamental - planeacion@quindio.gov.co- 3137945158</t>
  </si>
  <si>
    <t xml:space="preserve">Servicio de Formulación e implementación de la política pública de adulto mayor </t>
  </si>
  <si>
    <t xml:space="preserve">Servicio de trasferencia de recursos  para la atención de los  adultos mayores de los centros de Bienestar y día.  </t>
  </si>
  <si>
    <t>Jose Ignacio Rojas Sepulveda, Secretario de Planeación Departamental - planeacion@quindio.gov.co- 3137945159</t>
  </si>
  <si>
    <t>Servicio de Revision, ajuste e implementación de  la política pública de  discapacidad</t>
  </si>
  <si>
    <t>Jose Ignacio Rojas Sepulveda, Secretario de Planeación Departamental - planeacion@quindio.gov.co- 3137945160</t>
  </si>
  <si>
    <t>Infraestructura  deportiva y/o recreativa con procesos constructivos, mantenidos, reforzados, ampliados y/o mejorados</t>
  </si>
  <si>
    <t xml:space="preserve">Infraestructura   deportiva,  recreativa construída, mejorada, ampliada,  mantenida, y/o  reforzada </t>
  </si>
  <si>
    <t>Jose Ignacio Rojas Sepulveda, Secretario de Planeación Departamental - planeacion@quindio.gov.co- 3137945136</t>
  </si>
  <si>
    <t>No corresponde al programa</t>
  </si>
  <si>
    <t>43-DEPORTE Y RECREACION</t>
  </si>
  <si>
    <t>4301-Fomento a la recreación, la actividad física y el deporte</t>
  </si>
  <si>
    <t>Infraestructura de las Instituciones de Seguridad del Estado con procesos constructivos, mantenidos, reforzados, ampliados y/o mejorados</t>
  </si>
  <si>
    <t>Jose Ignacio Rojas Sepulveda, Secretario de Planeación Departamental - planeacion@quindio.gov.co- 3137945134-3178029275</t>
  </si>
  <si>
    <t>12-JUSTICIA Y DEL DERECHO</t>
  </si>
  <si>
    <t>1202-Promoción al acceso a la justicia</t>
  </si>
  <si>
    <t>4599023 Servicio de Implementación Sistemas de Gestión</t>
  </si>
  <si>
    <t xml:space="preserve"> Dimensiones y Políticas   de MIPG implementadas.</t>
  </si>
  <si>
    <t>Jose Ignacio Rojas Sepulveda, Secretario de Planeación Departamental - planeacion@quindio.gov.co- 3137945121</t>
  </si>
  <si>
    <t xml:space="preserve">Buen día.En atención a su solicitud de incluir el indicador  Dimensiones y Políticas   de MIPG implementadas. en el Catálogo de Productos de la MGA, de manera atenta nos permitimos informarle que dicha solicitud, al no contemplar la medición de un bien o servicio a la comunidad, y hacer referencia a acciones, actividades, procesos, procedimientos u operaciones que se realizan de manera recurrente o sistemática, no es considerado un indicador de producto. Para adelantar seguimiento a este tipo de actividades es preciso que sea incluido como un ítem dentro del Plan de Acción establecido por la entidad territorial. Si considera que debe ser incluido como un indicador de gestión a nivel de sus proyectos de inversión envíe la solicitud de creación de dicho indicador a través de suifpterritorio@dnp.gov.co. Saludos, </t>
  </si>
  <si>
    <t>45-GOBIERNO TERRITORIAL</t>
  </si>
  <si>
    <t>4599 Fortalecimiento a la gestión y dirección de la administración pública territorial</t>
  </si>
  <si>
    <t>Número de sistemas</t>
  </si>
  <si>
    <t>4599002 Servicio de saneamiento fiscal y financiero</t>
  </si>
  <si>
    <t>Estrategias  de actualización, depuración, seguimiento y evaluación de las bases de datos  del Pasivo Pensional   implementadas.</t>
  </si>
  <si>
    <t>Jose Ignacio Rojas Sepulveda, Secretario de Planeación Departamental - planeacion@quindio.gov.co- 3137945122</t>
  </si>
  <si>
    <t>Seleccionar</t>
  </si>
  <si>
    <t>Porcentaje</t>
  </si>
  <si>
    <t>Jose Ignacio Rojas Sepulveda, Secretario de Planeación Departamental - planeacion@quindio.gov.co- 3137945123</t>
  </si>
  <si>
    <t>Servicio de Implementación Sistemas de Gestión</t>
  </si>
  <si>
    <t>Contempla actividades de apoyo, necesarias para el diseño e implementación de sistemas de gestión y de desempeño institucional en el marco del Modelo Integrado de Planeación y Gestión - MIPG y otros instrumentos de certificación de calidad a la gestion a generar capacidades instaladas en los servidores públicos en temas como: Fortalecimiento Institucional, Planeación Estratégica, simplificación de procesos, identificación y manejo de riesgos, controles, diseño e implementación de indicadores de gestión y gestión del conocimiento.</t>
  </si>
  <si>
    <t>Metodologías aplicadas</t>
  </si>
  <si>
    <t>4502035  Documentos de planeación</t>
  </si>
  <si>
    <t>Plan de Acción del  Sistema de Servicio a la Ciudadanía implementado.</t>
  </si>
  <si>
    <t>Jose Ignacio Rojas Sepulveda, Secretario de Planeación Departamental - planeacion@quindio.gov.co- 3137945124</t>
  </si>
  <si>
    <t>4502-Fortalecimiento del buen gobierno para el respeto y garantía de los derechos humanos.</t>
  </si>
  <si>
    <t>Documentos cuyo objetivo es plasmar una visión de futuro a nivel país, entidad territorial, comunidad, sector, región, entidad o cualquier nivel de desagregación que se requiera. Incluye objetivos, estrategias, metas e indicadores.</t>
  </si>
  <si>
    <t>Número de documentos</t>
  </si>
  <si>
    <t>Planes estratégicos elaborados</t>
  </si>
  <si>
    <t>4502001 Servicio de promoción a la participación ciudadana</t>
  </si>
  <si>
    <t>Consejo Territorial de Planeación Fortalecido.</t>
  </si>
  <si>
    <t>Jose Ignacio Rojas Sepulveda, Secretario de Planeación Departamental - planeacion@quindio.gov.co- 3137945125</t>
  </si>
  <si>
    <t xml:space="preserve">Buen día.
En atención a su solicitud de incluir el  indicador Consejo Territorial de Planeación Fortalecido. en el Catálogo de Productos de la MGA, de manera atenta nos permitimos informarle que dicha solicitud, al no contemplar la medición de un bien o servicio a la comunidad, y hacer referencia a acciones, actividades, procesos, procedimientos u operaciones que se realizan de manera recurrente o sistemática, no es considerado un indicador de producto. Para adelantar seguimiento a este tipo de actividades es preciso que sea incluido como un ítem dentro del Plan de Acción establecido por la entidad territorial. Si considera que debe ser incluido como un indicador de gestión a nivel de sus proyectos de inversión envíe la solicitud de creación de dicho indicador a través de suifpterritorio@dnp.gov.co. 
Saludos, 
</t>
  </si>
  <si>
    <t>Número de iniciativas</t>
  </si>
  <si>
    <t>4599018 Documentos de lineamientos técnicos</t>
  </si>
  <si>
    <t>Instrumentos de planificación para el  ordenamiento y gestión territorial implementados</t>
  </si>
  <si>
    <t>Jose Ignacio Rojas Sepulveda, Secretario de Planeación Departamental - planeacion@quindio.gov.co- 3137945126</t>
  </si>
  <si>
    <t>Documentos cuyo objetivo es describir y explicar instrumentos, estándares, requisitos y condiciones necesarias para llevar a cabo un proceso o actividad.</t>
  </si>
  <si>
    <t xml:space="preserve">Documentos de estrategias de posicionamiento y articulación interinstitucional implementados </t>
  </si>
  <si>
    <t>4599025  Servicios de información implementados</t>
  </si>
  <si>
    <t>Observatorio económico  actualizado y dotado.</t>
  </si>
  <si>
    <t>Jose Ignacio Rojas Sepulveda, Secretario de Planeación Departamental - planeacion@quindio.gov.co- 3137945127</t>
  </si>
  <si>
    <t>Se rechaza el indicador propuesto y se sugiere la construcción del inidcador como observatorio economico implementado.</t>
  </si>
  <si>
    <t>2. Producto/Indicador que requiere aclaración por parte del solicitante</t>
  </si>
  <si>
    <t>4599-Fortalecimiento a la gestión y dirección de la administración pública territorial</t>
  </si>
  <si>
    <t>Número de sistemasde información</t>
  </si>
  <si>
    <t>4599025 Servicios de información implementados</t>
  </si>
  <si>
    <t>Bancos de Programas y Proyectos fortalecido</t>
  </si>
  <si>
    <t>Jose Ignacio Rojas Sepulveda, Secretario de Planeación Departamental - planeacion@quindio.gov.co- 3137945128</t>
  </si>
  <si>
    <t xml:space="preserve">Buen día.
En atención a su solicitud de incluir el indicador Bancos de Programas y Proyectos fortalecido en el Catálogo de Productos de la MGA, de manera atenta nos permitimos informarle que dicha solicitud, al no contemplar la  medición de un bien o servicio a la comunidad, y hacer referencia a acciones, actividades, procesos, procedimientos u operaciones que se realizan de manera recurrente o sistemática, no es considerado un indicador de producto. Para adelantar seguimiento a este tipo de actividades es preciso que sea incluido como un ítem dentro del Plan de Acción establecido por la entidad territorial. Si considera que debe ser incluido como un indicador de gestión a nivel de sus proyectos de inversión envíe la solicitud de creación de dicho indicador a través de suifpterritorio@dnp.gov.co. 
Saludos, 
</t>
  </si>
  <si>
    <t>4599031 Servicio de asistencia técnica</t>
  </si>
  <si>
    <t xml:space="preserve">Entidades territoriales asistidas técnicamente en  Instrumentos de Planificación para  el Ordenamiento y la Gestión Territorial departamental. </t>
  </si>
  <si>
    <t>Jose Ignacio Rojas Sepulveda, Secretario de Planeación Departamental - planeacion@quindio.gov.co- 3137945129</t>
  </si>
  <si>
    <t>Entidades, organismos y dependencias asistidos técnicamente</t>
  </si>
  <si>
    <t xml:space="preserve">Entidades territoriales asistidas técnicamente en  el Modelo Integrado de Planeación y Gestión MIPG </t>
  </si>
  <si>
    <t>Jose Ignacio Rojas Sepulveda, Secretario de Planeación Departamental - planeacion@quindio.gov.co- 3137945130</t>
  </si>
  <si>
    <t>Entidades territoriales asistidas técnicamente en  Medición del Desempeño Municipal.</t>
  </si>
  <si>
    <t xml:space="preserve">Entidades territoriales asistidas técnicamente en el  Sistema de Identificación de Potenciales Beneficiarios de Programas Sociales (SISBEN). </t>
  </si>
  <si>
    <t>Jose Ignacio Rojas Sepulveda, Secretario de Planeación Departamental - planeacion@quindio.gov.co- 3137945131</t>
  </si>
  <si>
    <t>Entidades territoriales asistidas técnicamente en formulación, preparación, seguimiento y evaluación de las políticas públicas.</t>
  </si>
  <si>
    <t>Jose Ignacio Rojas Sepulveda, Secretario de Planeación Departamental - planeacion@quindio.gov.co- 3137945132</t>
  </si>
  <si>
    <t xml:space="preserve">Entidades territoriales asistidas técnicamente en Banco de Programas y Proyectos de Inversión Nacional (BPIN).  </t>
  </si>
  <si>
    <t>Jose Ignacio Rojas Sepulveda, Secretario de Planeación Departamental - planeacion@quindio.gov.co- 3137945133</t>
  </si>
  <si>
    <t>Estrategia para el mejoramiento del Índice de Desempeño Fiscal  implementada.</t>
  </si>
  <si>
    <t>Jose Ignacio Rojas Sepulveda, Secretario de Planeación Departamental - planeacion@quindio.gov.co- 3137945134</t>
  </si>
  <si>
    <t>5. Agregado</t>
  </si>
  <si>
    <t>Servicio de saneamiento fiscal y financiero</t>
  </si>
  <si>
    <t xml:space="preserve">Corresponde a la ejecución del programa integral, institucional, financiero y administrativo que cubra la entidad territorial y que tenga por objeto restablecer la solidez económica y financiera de la misma mediante la adopción de medidas de reorganización administrativa, racionalización del gasto, reestructuración de la deuda, saneamiento de pasivos y fortalecimiento de los ingresos. </t>
  </si>
  <si>
    <t>Estrategia para el mejoramiento del Índice de Desempeño Fiscal  ejecutada</t>
  </si>
  <si>
    <t>Programa para el cumplimiento de las políticas y prácticas contables implementado</t>
  </si>
  <si>
    <t>Programas asistidos técnicamente</t>
  </si>
  <si>
    <t>Infraestructura institucional o  de edificios públicos de atención  de servicios ciudadanos con procesos constructivos, mantenidos, reforzados, ampliados y/o mejorados</t>
  </si>
  <si>
    <t>Jose Ignacio Rojas Sepulveda, Secretario de Planeación Departamental - planeacion@quindio.gov.co- 3137945139</t>
  </si>
  <si>
    <t>De manera cordial agradezco su amable colaboración validando los productos relacionados con infraestructuras que se encuentran disponibles en el catalogo de productos y validar qcual de estos se ajusta a sus necesidades ya que por cada caracteristica que ustedes solicitan en este producto el catalogo ya cuenta con esta oferta.</t>
  </si>
  <si>
    <t>4503004  Servicio de atención a emergencias y desastres</t>
  </si>
  <si>
    <t>Centro de reserva para la atención a emergencias y desastres dotado.</t>
  </si>
  <si>
    <t>Jose Ignacio Rojas Sepulveda, Secretario de Planeación Departamental - planeacion@quindio.gov.co- 3137945175</t>
  </si>
  <si>
    <t xml:space="preserve">Buen día.
En atención a su solicitud de incluir el indicador Centro de reserva para la atención a emergencias y desastres dotado. en el Catálogo de Productos de la MGA, de manera atenta nos permitimos informarle que dicha solicitud, al no contemplar la medición de un bien o servicio a la comunidad, y hacer referencia a acciones, actividades, procesos, procedimientos u operaciones que se realizan de manera recurrente o sistemática, no es considerado un indicador de producto. Para adelantar seguimiento a este tipo de actividades es preciso que sea incluido como un ítem dentro del Plan de Acción establecido por la entidad territorial. Si considera que debe ser incluido como un indicador de gestión a nivel de sus proyectos de inversión envíe la solicitud de creación de dicho indicador a través de suifpterritorio@dnp.gov.co. 
Saludos, 
</t>
  </si>
  <si>
    <t>4503-Gestión del riesgo de desastres y emergencias</t>
  </si>
  <si>
    <t>Número de emergencias</t>
  </si>
  <si>
    <t>Servicios  de fortalecimiento de los organismos  de acción comunal (OAC)   en procesos formativos, participativos, de organización y  gestión.</t>
  </si>
  <si>
    <t>Municipos con organismos de acción comunal fortalecidos.</t>
  </si>
  <si>
    <t>Jose Ignacio Rojas Sepulveda, Secretario de Planeación Departamental - planeacion@quindio.gov.co- 3137945142</t>
  </si>
  <si>
    <t xml:space="preserve">Buen día.
En atención a su solicitud de (incluir el producto Servicios  de fortalecimiento de los organismos  de acción comunal (OAC)   en procesos formativos, participativos, de organización y  gestión. en el Catálogo de Productos de la MGA, de manera atenta nos permitimos informarle que dicha solicitud, al no contemplar la entrega de un bien o servicio a la comunidad, y hacer referencia a acciones, actividades, procesos, procedimientos u operaciones que se realizan de manera recurrente o sistemática, no es considerado un producto . Para adelantar seguimiento a este tipo de actividades es preciso que sea incluido como un ítem dentro del Plan de Acción establecido por la entidad territorial. Si considera que debe ser incluido como un indicador de gestión a nivel de sus proyectos de inversión envíe la solicitud de creación de dicho indicador a través de suifpterritorio@dnp.gov.co. 
Saludos, 
</t>
  </si>
  <si>
    <t>Número de organizaciones</t>
  </si>
  <si>
    <t>4599019  Documentos de planeación</t>
  </si>
  <si>
    <t xml:space="preserve">Política de Transparencia, Acceso a la Información Pública y Lucha Contra la Corrupción  articulada   con el "Pacto por la Integridad , Transparencia y Legalidad" del Gobierno Nacional desarrollada.                                                         </t>
  </si>
  <si>
    <t>Jose Ignacio Rojas Sepulveda, Secretario de Planeación Departamental - planeacion@quindio.gov.co- 3137945147</t>
  </si>
  <si>
    <t>4600 Fortalecimiento a la gestión y dirección de la administración pública territorial</t>
  </si>
  <si>
    <t>4501024 Servicio de apoyo para la implementación de medidas en derechos humanos y derecho internacional humanitario</t>
  </si>
  <si>
    <t xml:space="preserve">Servicios de Protección a la Mujer Implementada  "Casa de la Mujer Empoderada" </t>
  </si>
  <si>
    <t>Jose Ignacio Rojas Sepulveda, Secretario de Planeación Departamental - planeacion@quindio.gov.co- 3137945161</t>
  </si>
  <si>
    <t>Implementar decisiones de instancias internacionales frente a violaciones de Derechos Humanos para el cumplimiento de las obligaciones que tiene el Estado colombiano con las victimas del conflicto armado.</t>
  </si>
  <si>
    <t xml:space="preserve">Servicios de apoyo  a la Mujer Implementada  "Casa de Refugio de la Mujer" </t>
  </si>
  <si>
    <t>Jose Ignacio Rojas Sepulveda, Secretario de Planeación Departamental - planeacion@quindio.gov.co- 3137945162</t>
  </si>
  <si>
    <t>Servicio de adquisición, mantenimiento y administración de áreas de importancia estrategica para la conservación y regulación del recurso hidríco.</t>
  </si>
  <si>
    <t>Jose Ignacio Rojas Sepulveda, Secretario de Planeación Departamental - planeacion@quindio.gov.co- 3137945144</t>
  </si>
  <si>
    <t>La Ley 1450 de 2011 en su artículo 210, modificó el artículo 111 de la Ley 99 de 1993 y hace referencia a la adquisición de áreas de interés para acueductos municipales y regionales, teniendo en cuenta lo anterior y que el tema principal está enfocado en los acueductos, se está analizando con el sector vivienda si el tema aplica a dicho sector</t>
  </si>
  <si>
    <t xml:space="preserve">1. Producto/Indicador en validación con las áreas técnicas* </t>
  </si>
  <si>
    <t>32-AMBIENTE Y DESARROLLO SOSTENIBLE</t>
  </si>
  <si>
    <t>3202-Conservación de la biodiversidad y sus servicios ecosistémicos</t>
  </si>
  <si>
    <t>Hectáreas de áreas</t>
  </si>
  <si>
    <t xml:space="preserve">Hectáreas  </t>
  </si>
  <si>
    <t xml:space="preserve">Servicio  de estrategia  para la protección y bienestar de los animales domésticos y silvestres del Departamento </t>
  </si>
  <si>
    <t>Jose Ignacio Rojas Sepulveda, Secretario de Planeación Departamental - planeacion@quindio.gov.co- 3137945145</t>
  </si>
  <si>
    <t>Número de estatregias</t>
  </si>
  <si>
    <t>Servicio de campañas  de sensibilización y apropiación del patrimonio ambiental en el Departamento</t>
  </si>
  <si>
    <t>Jose Ignacio Rojas Sepulveda, Secretario de Planeación Departamental - planeacion@quindio.gov.co- 3137945146</t>
  </si>
  <si>
    <t>Los productos se entienden como los bienes o servicios que se generan y entregan en un proceso productivo. De acuerdo con lo anterior, las campañas de sensibilización y apropiación aplican como actividad y no como producto</t>
  </si>
  <si>
    <t>Infraestructura Hospitalaria  con procesos constructivos, mantenidos, reforzados, ampliados y/o mejorados</t>
  </si>
  <si>
    <t>19-SALUD Y PROTECCIÓN SOCIAL</t>
  </si>
  <si>
    <t>Salud y Protección Social</t>
  </si>
  <si>
    <t>1906-Aseguramiento y Prestación integral de servicios de salud</t>
  </si>
  <si>
    <t>Hospitales de primer nivel de atención adecuados</t>
  </si>
  <si>
    <t>Infraestructura hospitalaria de primer nivel de atención adecuada, para la prestación de servicios de salud a la población. Incluye centros de salud, puestos de salud e infraestructura local de prestación de servicios.</t>
  </si>
  <si>
    <t>Servicio de  implementación del modelo operativo de Inspección, Vigilancia y Control IVC sanitario</t>
  </si>
  <si>
    <t>Jose Ignacio Rojas Sepulveda, Secretario de Planeación Departamental - planeacion@quindio.gov.co- 3137945163</t>
  </si>
  <si>
    <t xml:space="preserve">Frente a la solicitud del producto “Servicio de implementación del modelo operativo de Inspección, Vigilancia y Control IVC sanitario” es importante entender que un servicio es intangible y no acumulable, su efecto es inmediato y se producen al mismo tiempo de su consumo, a través de una relación directa entre proveedores y receptores de los servicios (ej. prestaciones directas, atención en salud, formación, promoción etc.). De acuerdo a lo anterior el producto solicitado no cumple como producto ya que un modelo no esta dando cuenta de los bienes y servicios específicos que se están prestando con la implementación del modelo, la implementación del modelo puede abordar muchas cosas, a idea es que identifiquen esos productos (bienes o servicios que derivan de la implementación del modelo), se recomienda revisar los productos disponibles en el catálogo para el programa 1903. </t>
  </si>
  <si>
    <t xml:space="preserve">1903-Inspección, vigilancia y control </t>
  </si>
  <si>
    <t>N/A</t>
  </si>
  <si>
    <t xml:space="preserve">Servicio de Realizar seguimiento y monitoreo a las Entidades Administradoras de Planes Básicos EAPB en la implementación de la Ruta Integral de Atención para la Promoción y Mantenimiento de la Salud y Materno Perinatal en el Departamento  </t>
  </si>
  <si>
    <t>Jose Ignacio Rojas Sepulveda, Secretario de Planeación Departamental - planeacion@quindio.gov.co- 3137945164</t>
  </si>
  <si>
    <t xml:space="preserve">En atención a su solicitud de incluir el producto “Servicio de Realizar seguimiento y monitoreo a las Entidades Administradoras de Planes Básicos EAPB en la implementación de la Ruta Integral de Atención para la Promoción y Mantenimiento de la Salud y Materno Perinatal” en el Catálogo de Productos de la MGA, de manera atenta nos permitimos informarle que dicha solicitud, al no contemplar la (entrega o medición) de un bien o servicio a la comunidad, y hacer referencia a acciones, actividades, procesos, procedimientos u operaciones que se realizan de manera recurrente o sistemática, no es considerado un (producto o indicador de producto). Para adelantar seguimiento a este tipo de actividades es preciso que sea incluido como un ítem dentro del Plan de Acción establecido por la entidad territorial. Si considera que debe ser incluido como un indicador de gestión a nivel de sus proyectos de inversión envíe la solicitud de creación de dicho indicador a través de suifpterritorio@dnp.gov.co. Sin embargo requiere de ajustes importantes al con contar con la estructura adecuada para cumplir como indicador se sugiere la revisión de la guía de cadena de valor disponible en : https://colaboracion.dnp.gov.co/CDT/Inversiones%20y%20finanzas%20pblicas/Guia%20Cadena%20de%20valor%202019.pdf </t>
  </si>
  <si>
    <t>1905-Salud pública</t>
  </si>
  <si>
    <t>Servicios  de Implementación  la estrategia de entornos saludables en articulación intersectorial y sectorial en los entornos de vivienda, educativo, institucional y comunitario con énfasis en la Atención Primaria en Salud Ambiental APSA.</t>
  </si>
  <si>
    <t>Jose Ignacio Rojas Sepulveda, Secretario de Planeación Departamental - planeacion@quindio.gov.co- 3137945165</t>
  </si>
  <si>
    <t xml:space="preserve">Con respecto a la solicitud de creación del producto “Servicios  de Implementación  la estrategia de entornos saludables en articulación intersectorial y sectorial en los entornos de vivienda, educativo, institucional y comunitario con énfasis en la Atención Primaria en Salud Ambiental” nos permitimos informar que el programa 1095 ya cuenta con un producto disponible que satisface la solicitud de manera adecuada “Servicio de gestión del riesgo para abordar situaciones de salud relacionadas con condiciones ambientales” el cual cuenta con indicadores secundarios que apoyan la medición del producto. Es importante aclarar que la implementación de una estrategia no corresponde a un servicio, se sugiere la revisión de la guía de cadena de valor disponible en : https://colaboracion.dnp.gov.co/CDT/Inversiones%20y%20finanzas%20pblicas/Guia%20Cadena%20de%20valor%202019.pdf </t>
  </si>
  <si>
    <t>Servicio de gestión del riesgo para abordar situaciones de salud relacionadas con condiciones ambientales</t>
  </si>
  <si>
    <t>Incluye la gestión integral relacionada con la prevención de enfermedades generadas por sustancias químicas, por animales (zoonosis), vectores de contaminación en el aire y el agua, entre otros factores.</t>
  </si>
  <si>
    <t>Campañas de gestión del riesgo para abordar situaciones de salud relacionadas con condiciones ambientales implementadas</t>
  </si>
  <si>
    <t xml:space="preserve">Servicio de implementación de la estrategia de movilidad saludable, segura y sostenible  </t>
  </si>
  <si>
    <t>Jose Ignacio Rojas Sepulveda, Secretario de Planeación Departamental - planeacion@quindio.gov.co- 3137945166</t>
  </si>
  <si>
    <t xml:space="preserve">Con respecto a la solicitud de creación del producto “Servicio de implementación de la estrategia de movilidad saludable, segura y sostenible”: 1. La implementación de una estrategia no corresponde a un servicio, se sugiere la revisión de la guía de cadena de valor disponible en : https://colaboracion.dnp.gov.co/CDT/Inversiones%20y%20finanzas%20pblicas/Guia%20Cadena%20de%20valor%202019.pdf; 2. Esta solicitud debería ubicarse en el sector transporte y no en salud. </t>
  </si>
  <si>
    <t>Servicio adaptación e implementación de  la política pública de salud mental</t>
  </si>
  <si>
    <t>Jose Ignacio Rojas Sepulveda, Secretario de Planeación Departamental - planeacion@quindio.gov.co- 3137945167</t>
  </si>
  <si>
    <t xml:space="preserve">En atención a su solicitud de incluir el producto “Servicio adaptación e implementación de  la política pública de salud mental” en el Catálogo de Productos de la MGA, de manera atenta nos permitimos informarle que la adaptación o implementación de una política no corresponde a un servicio, es importante identificar sí derivado de la implementación se hace entrega de bienes o servicios directos a la población y son esos los que se incluyen dentro de los proyectos de inversión, recuerden que los productos deben estar en el marco de los proyectos de inversión que va a ejecutar la entidad territorial y que por tal motivo deben cumplir con los requerimientos de la cadena de valor, se sugiere la revisión de la guía de cadena de valor disponible en : https://colaboracion.dnp.gov.co/CDT/Inversiones%20y%20finanzas%20pblicas/Guia%20Cadena%20de%20valor%202019.pdf. </t>
  </si>
  <si>
    <t>Servicio  de formulación e implementación del plan departamental en salud Ambiental de adaptación al cambio climático.</t>
  </si>
  <si>
    <t>Jose Ignacio Rojas Sepulveda, Secretario de Planeación Departamental - planeacion@quindio.gov.co- 3137945168</t>
  </si>
  <si>
    <t xml:space="preserve">En atención a su solicitud de incluir el producto “Servicio  de formulación e implementación del plan departamental en salud Ambiental de adaptación al cambio climático” en el Catálogo de Productos de la MGA, de manera atenta nos permitimos informarle que la formulación e implementación de un plan no corresponde a un servicio, es importante identificar sí derivado de la implementación se hace entrega de bienes o servicios directos a la población y son esos los que se incluyen dentro de los proyectos de inversión, recuerden que los productos deben estar en el marco de los proyectos de inversión que va a ejecutar la entidad territorial y que por tal motivo deben cumplir con los requerimientos de la cadena de valor, se sugiere la revisión de la guía de cadena de valor disponible en : https://colaboracion.dnp.gov.co/CDT/Inversiones%20y%20finanzas%20pblicas/Guia%20Cadena%20de%20valor%202019.pdf. Frente a la formulación el programa con el producto documentos de planeación el cual cumple con lo requerido.  </t>
  </si>
  <si>
    <t>Servicio de cofinanciación para la continuidad del  régimen subsidiado en salud.</t>
  </si>
  <si>
    <t>Jose Ignacio Rojas Sepulveda, Secretario de Planeación Departamental - planeacion@quindio.gov.co- 3137945169</t>
  </si>
  <si>
    <t xml:space="preserve">Salud y Protección Social </t>
  </si>
  <si>
    <t xml:space="preserve">Incluye el servicio de atención en salud a la población dentro del Sistema General de Seguridad Social en Salud. </t>
  </si>
  <si>
    <t xml:space="preserve">Población inimputable atendida.  </t>
  </si>
  <si>
    <t>Jose Ignacio Rojas Sepulveda, Secretario de Planeación Departamental - planeacion@quindio.gov.co- 3137945170</t>
  </si>
  <si>
    <t>Acciones orientadas a garantizar el suministro de tecnologías en salud de primera, segunda y tercera línea, que estén indicadas para el diagnóstico, tratamiento o disminución de enfermedades que generan mayor discapacidad y muerte prematura en la población y que aún no estén siendo financiadas con cargo a la unidad de pago por capitación - UPC, en el marco de la resolución 1479 de 2015 del Ministerio de Salud y Protección Social o aquella que la modifique.</t>
  </si>
  <si>
    <t>Servicios de reconocimientos para el cumplimiento de metas de calidad, financiera, producción y transferencias especiales.</t>
  </si>
  <si>
    <t xml:space="preserve">Porcentaje de recursos transferidos. </t>
  </si>
  <si>
    <t>Jose Ignacio Rojas Sepulveda, Secretario de Planeación Departamental - planeacion@quindio.gov.co- 3137945171</t>
  </si>
  <si>
    <t xml:space="preserve">Servicios de reconocimientos de deuda. </t>
  </si>
  <si>
    <t>Porcentaje de recursos pagados.</t>
  </si>
  <si>
    <t>Jose Ignacio Rojas Sepulveda, Secretario de Planeación Departamental - planeacion@quindio.gov.co- 3137945172</t>
  </si>
  <si>
    <t>Servicio de apoyo con tecnologías para la prestación de los servicios en salud.</t>
  </si>
  <si>
    <t>Jose Ignacio Rojas Sepulveda, Secretario de Planeación Departamental - planeacion@quindio.gov.co- 3137945173</t>
  </si>
  <si>
    <t xml:space="preserve">En atención a su solicitud de incluir el producto “Servicio de apoyo con tecnologías para la prestación de los servicios en salud” en el Catálogo de Productos de la MGA, de manera atenta nos permitimos informarle que ya se encuentra con un producto e indicadores de producto que satisfacen su necesidad el cual se denomina “Servicio de tecnologías en salud financiadas con la unidad de pago por capitación - UPC”, el cual cuenta con dos indicadores disponibles para su uso “Pacientes atendidos con tecnologías en salud financiados con cargo a los recursos de la UPC del Régimen Subsidiado y Pacientes atendidos con medicamentos en salud financiados con cargo a los recursos de la UPC del Régimen Subsidiado.   </t>
  </si>
  <si>
    <t xml:space="preserve">Servicio  de formulación e implementación de la   política pública para el desarrollo y acceso al deporte, la recreación, la actividad física, la educación física y el uso adecuado del tiempo libre, con propósito   de promover espacios de paz y convivencia como herramienta de transformación, inclusión y equidad social.  </t>
  </si>
  <si>
    <t>Jose Ignacio Rojas Sepulveda, Secretario de Planeación Departamental - planeacion@quindio.gov.co- 3137945174</t>
  </si>
  <si>
    <t>Con respecto a su solicitud de creación del producto “Servicio de formulación e implementación de la   política pública para el desarrollo y acceso al deporte, la recreación, la actividad física, la educación física y el uso adecuado del tiempo libre, con propósito   de promover espacios de paz y convivencia como herramienta de transformación, inclusión y equidad social” se informa los siguiente: 1. La implementación de una política no corresponde a un servicio (producto), se sugiere la revisión de la guía de cadena de valor disponible en : https://colaboracion.dnp.gov.co/CDT/Inversiones%20y%20finanzas%20pblicas/Guia%20Cadena%20de%20valor%202019.pdf; 2. La formulación de políticas normalmente se encuentra en un producto denominado “Documentos de Planeación”, los cuales se encuentran disponibles en la mayoría de los sectores; 3. La política relacionada no corresponde al sector salud, sino al sector deporte, por lo cual es importante validar los productos disponibles para este sector. En salud se cuenta con el producto “Servicio de promoción de la salud y prevención de riesgos asociados a condiciones no transmisibles” el cual incluye el conjunto de acciones, procedimientos e intervenciones integrales, mediante los cuales se orienta a la población acerca de hábitos saludables que mejoran su condición de salud; este podría ser de ayuda en caso de que quieran conectar la política con el sector Salud.</t>
  </si>
  <si>
    <t>Servicio de promoción de la salud y prevención de riesgos asociados a condiciones no transmisibles</t>
  </si>
  <si>
    <t xml:space="preserve">Es el conjunto de acciones, procedimientos e intervenciones integrales, mediante los cuales se orienta a la población acerca de hábitos saludables que mejoran su condición de salud. </t>
  </si>
  <si>
    <t>Campañas de promoción de la salud  y prevención de riesgos asociados a condiciones no transmisibles implementadas</t>
  </si>
  <si>
    <t>2202006  Servicio de apoyo para la permanencia a la educación superior o terciaria</t>
  </si>
  <si>
    <t>Procede la inclusión de indicador secundario</t>
  </si>
  <si>
    <t>EDUCACIÓN</t>
  </si>
  <si>
    <t>2202-Calidad y fomento de la educación superior</t>
  </si>
  <si>
    <t>Servicio de apoyo para la permanencia a la educación superior o terciaria</t>
  </si>
  <si>
    <t>Incluye la implementación de estrategias para fortalecer las acciones de retención estudiantil de la población matriculada en la educación superior o terciaria</t>
  </si>
  <si>
    <t>Número de beneficiarios</t>
  </si>
  <si>
    <t>Estrategias y programas de  fomento para  acceso y  permanencia a la educación superior o postsecundaria  implementados</t>
  </si>
  <si>
    <t>SGP SALUD PUBLICA C.S.F</t>
  </si>
  <si>
    <t>FONDO DE ESTUPEFACIENTES</t>
  </si>
  <si>
    <t>Medicamentos para uso humano terapéutico o profiláctico</t>
  </si>
  <si>
    <t>2.3.2.01.01.003.06.01</t>
  </si>
  <si>
    <t>Aparatos médicos y quirúrgicos y aparatos ortésicos y protésicos</t>
  </si>
  <si>
    <t>48150</t>
  </si>
  <si>
    <t>Otros instrumentos y aparatos utilizados en medicina, cirugía o veterinaria (incluso jeringas, agujas, catéteres, cánulas, instrumentos y aparatos de oftalmología n.c.p. y aparatos electromédicos n.c.p.)</t>
  </si>
  <si>
    <t>Servicios de laboratorio</t>
  </si>
  <si>
    <t xml:space="preserve"> ORDINARIO</t>
  </si>
  <si>
    <t>RENTAS CEDIDAS SUBCUENTA OTROS GASTOS EN SALUD</t>
  </si>
  <si>
    <t xml:space="preserve">RES. 781/15 PREV. Y CONTROL ENFERMEDADES POR VECT </t>
  </si>
  <si>
    <t>RES. 1029/16 CAMP Y CONTROL ANTI TUBERCULOSIS QDIO</t>
  </si>
  <si>
    <t>RENTAS CEDIDAS REG SUBSID</t>
  </si>
  <si>
    <t>RENTAS CEDIDAS LEY 1393</t>
  </si>
  <si>
    <t>RESOLUCION 971/2016 PROGRAMA INIMPUTABLES</t>
  </si>
  <si>
    <t xml:space="preserve">2.3.3.05.09.045  </t>
  </si>
  <si>
    <t>Aseguramiento en salud (Leyes 100 de 1993, 1122 de 2007, 1393 de 2010, 1438 de 2011 y 1607 de 2012)</t>
  </si>
  <si>
    <t>SGP SALUD PRESTACION SERVICIOS C.S.F</t>
  </si>
  <si>
    <t>RENTAS CEDIDAS SECRETARIA .DE SALUD</t>
  </si>
  <si>
    <t>NACION SALUD</t>
  </si>
  <si>
    <t>ESTUPEFACIENTES</t>
  </si>
  <si>
    <t>SGP SALUD PUBLICA</t>
  </si>
  <si>
    <t>RENTAS CEDIDAS REG. SUBS</t>
  </si>
  <si>
    <t>ELEMENTO CONSTITUTIVO</t>
  </si>
  <si>
    <t xml:space="preserve">PENDIENTES DNP PRODUCTOS </t>
  </si>
  <si>
    <t xml:space="preserve">PENDIENTES DNP INDICADORES </t>
  </si>
  <si>
    <t xml:space="preserve">EDUCACIÓN </t>
  </si>
  <si>
    <t xml:space="preserve">•	Fomento de la oferta y la demanda de educación superior o terciaria: incluye la generación de políticas, lineamientos, estrategias, incentivos y financiación para garantizar el acceso, la inclusión, equidad, permanencia y graduación en la Educación Superior o Terciaria.
 </t>
  </si>
  <si>
    <t xml:space="preserve">22021
 </t>
  </si>
  <si>
    <t xml:space="preserve">•	Estrategias para garantizar el acceso y la permanencia: incluye todas aquellas estrategias educativas para garantizar el acceso y la permanencia a la educación preescolar básica y media; como son el servicio de alimentación escolar, transporte escolar, contratación del servicio educativo con terceros, entre otros.
 </t>
  </si>
  <si>
    <t xml:space="preserve">22011
</t>
  </si>
  <si>
    <t xml:space="preserve"> 
•	Fortalecimiento de los procesos de aprendizaje: incluye los gastos en proyectos orientados a mejorar la formación y evaluación de docentes, el uso pedagógico y educativo de las TIC, el diseño de contenidos curriculares (incluyendo las necesidades educativas especiales) así como los demás gastos relacionados con el proyecto pedagógico y curricular.
 </t>
  </si>
  <si>
    <t xml:space="preserve"> 22013
 </t>
  </si>
  <si>
    <t xml:space="preserve">22011
 </t>
  </si>
  <si>
    <t xml:space="preserve"> 
•	Capacidad instalada infraestructura educativa: incluye la construcción de nueva infraestructura, el mantenimiento, reparación o mejora de la existente; así como la adquisición de dotación e insumos para la prestación del servicio educativo.
</t>
  </si>
  <si>
    <t xml:space="preserve"> 22015
 </t>
  </si>
  <si>
    <t xml:space="preserve">
•	Fortalecimiento de los procesos de aprendizaje: incluye los gastos en proyectos orientados a mejorar la formación y evaluación de docentes, el uso pedagógico y educativo de las TIC, el diseño de contenidos curriculares (incluyendo las necesidades educativas especiales) así como los demás gastos relacionados con el proyecto pedagógico y curricular.
</t>
  </si>
  <si>
    <t xml:space="preserve">
22013
</t>
  </si>
  <si>
    <t xml:space="preserve"> 
•	Capacidad instalada infraestructura educativa: incluye la construcción de nueva infraestructura, el mantenimiento, reparación o mejora de la existente; así como la adquisición de dotación e insumos para la prestación del servicio educativo.
 </t>
  </si>
  <si>
    <t xml:space="preserve"> 
•	Fortalecimiento de los procesos de aprendizaje: incluye los gastos en proyectos orientados a mejorar la formación y evaluación de docentes, el uso pedagógico y educativo de las TIC, el diseño de contenidos curriculares (incluyendo las necesidades educativas especiales) así como los demás gastos relacionados con el proyecto pedagógico y curricular.
 </t>
  </si>
  <si>
    <t xml:space="preserve"> 
22013
 </t>
  </si>
  <si>
    <t xml:space="preserve"> 
•	Inspección y vigilancia: incluye la inspección, vigilancia y control de la prestación del servicio educativo, así como la coordinación de procesos de vigilancia entre las entidades que ejercen tal función. 
</t>
  </si>
  <si>
    <t xml:space="preserve"> 
22012
 </t>
  </si>
  <si>
    <t xml:space="preserve">
•	Operación de instituciones educativas: corresponde a todos los gastos efectuados por las entidades territoriales y las instituciones educativas para garantizar la operación y el funcionamiento de las sedes de cada institución. Incluye el pago de servicios públicos domiciliarios y demás gastos administrativos en los que se incurra.
•	Recurso humano del sector: incluye los gastos para el personal docente, directivo docente y administrativo, necesarios para la prestación del servicio educativo</t>
  </si>
  <si>
    <t xml:space="preserve">
22014
22016</t>
  </si>
  <si>
    <t xml:space="preserve">
•	Fortalecimiento de los procesos de aprendizaje: incluye los gastos en proyectos orientados a mejorar la formación y evaluación de docentes, el uso pedagógico y educativo de las TIC, el diseño de contenidos curriculares (incluyendo las necesidades educativas especiales) así como los demás gastos relacionados con el proyecto pedagógico y curricular.
</t>
  </si>
  <si>
    <t xml:space="preserve">INFRAESTRUCTURA </t>
  </si>
  <si>
    <t xml:space="preserve">AGRICULTURA DESARROLO RURAL Y MEDIO AMBIENTE </t>
  </si>
  <si>
    <t>FAMILIA</t>
  </si>
  <si>
    <t xml:space="preserve">CULTURA </t>
  </si>
  <si>
    <t xml:space="preserve"> 
19052
19053
</t>
  </si>
  <si>
    <t xml:space="preserve"> •	Gestión del riesgo en salud: orientado a disminuir la probabilidad de ocurrencia de eventos no deseables para la población. Incluye acciones de: análisis de riesgo de la población con enfoque diferencial; planeación de la atención según riesgos con enfoque diferencial; modificación del riesgo; monitoreo a la gestión del riesgo; gestión de la calidad de la atención; y coordinación administrativa y técnica de los servicios y planes de riesgo en salud.
•	Promoción de la salud: orientado a la construcción o generación de condiciones, capacidades y medios necesarios para que los individuos, las familias y la sociedad en su conjunto logren intervenir y modificar los determinantes sociales de la salud.</t>
  </si>
  <si>
    <t xml:space="preserve"> 
33015</t>
  </si>
  <si>
    <t xml:space="preserve">
 •	Innovación y emprendimiento de industrias culturales: incluye acciones para el fortalecimiento del emprendimiento cultural, a través de formación, asistencia técnica y acompañamiento a los emprendedores por parte de organizaciones que incuben y aceleren las ideas de negocio, el acceso a créditos y recursos de capital semilla.
 </t>
  </si>
  <si>
    <t xml:space="preserve"> 
•	Atención integral a primera infancia: incluye definir e implementar acciones continuas y permanentes que brinden a los niños y niñas menores de 5 años y 11 meses, su desarrollo integral a través de las modalidades de atención preventiva o de atención especial.
 </t>
  </si>
  <si>
    <t xml:space="preserve">PLANEACION </t>
  </si>
  <si>
    <t xml:space="preserve">TURISMO , INDUSTRIA Y COMERCIO </t>
  </si>
  <si>
    <t xml:space="preserve">INTERIOR </t>
  </si>
  <si>
    <t>SALUD</t>
  </si>
  <si>
    <t xml:space="preserve">PRESUPUESTO CLASIFICADOR </t>
  </si>
  <si>
    <t xml:space="preserve">PRESUPUESTO POAI </t>
  </si>
  <si>
    <t>Servicios del Plan de Beneficios(POS)</t>
  </si>
  <si>
    <t>2.3.2.01.01.003.01.04</t>
  </si>
  <si>
    <t xml:space="preserve">La estrategia educativa del sistema de responsabilidad penal para adolescentes, NO APLICA PARA BASICA PRIMARIA </t>
  </si>
  <si>
    <t>El código 9210 2 es en servicio .</t>
  </si>
  <si>
    <t xml:space="preserve">38111. Asientos con armazon de metal </t>
  </si>
  <si>
    <t xml:space="preserve">No aplica el código porque se trata de la adquisición de un bien . El códico 92102 es un servicio </t>
  </si>
  <si>
    <t>Otras máquinas de procesamiento automático de datos que contengan o no una o dos de las siguientes tipos de unidades: unidades de almacenamiento, unidades de entrada, unidades de salida</t>
  </si>
  <si>
    <t>3301051.</t>
  </si>
  <si>
    <t>4102035.</t>
  </si>
  <si>
    <t>4102001.</t>
  </si>
  <si>
    <t>4102040.</t>
  </si>
  <si>
    <t>4102046.</t>
  </si>
  <si>
    <t>4103059.</t>
  </si>
  <si>
    <t>4103050.</t>
  </si>
  <si>
    <t>4103058.</t>
  </si>
  <si>
    <t>4103060.</t>
  </si>
  <si>
    <t>4104020.</t>
  </si>
  <si>
    <t>4104027.</t>
  </si>
  <si>
    <t>4104015.</t>
  </si>
  <si>
    <t>4104008.</t>
  </si>
  <si>
    <t>3604006.</t>
  </si>
  <si>
    <t>2.3.2.02.01.002.</t>
  </si>
  <si>
    <t>Implementación la Política de Transparencia, Acceso a la Información Pública y Lucha Contra la Corrupción del Modelo Integrado de Planificación y Gestión MIPG, articulada con el "Pacto por la Integridad, Transparencia y Legalidad"  en el departamento del Quindío</t>
  </si>
  <si>
    <t>Implementación del programa de seguridad vial en el Departamento del Quindío  "TU Y YO POR LA SEGURIDAD VIAL"</t>
  </si>
  <si>
    <t>Implementarción de la Política de Transparencia, Acceso a la Información Pública y Lucha Contra la Corrupción del Modelo Integrado de Planificación y Gestión MIPG, articulada con el "Pacto por la Integridad, Transparencia y Legalidad"  en el departamento del Quindío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</si>
</sst>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00_);_(&quot;$&quot;\ * \(#,##0.00\);_(&quot;$&quot;\ * &quot;-&quot;??_);_(@_)"/>
    <numFmt numFmtId="167" formatCode="_(* #,##0.00_);_(* \(#,##0.00\);_(* &quot;-&quot;??_);_(@_)"/>
    <numFmt numFmtId="168" formatCode="_([$$-240A]\ * #,##0.00_);_([$$-240A]\ * \(#,##0.00\);_([$$-240A]\ * &quot;-&quot;??_);_(@_)"/>
    <numFmt numFmtId="169" formatCode="00"/>
    <numFmt numFmtId="170" formatCode="_(* #,##0_);_(* \(#,##0\);_(* &quot;-&quot;??_);_(@_)"/>
    <numFmt numFmtId="171" formatCode="_-* #,##0_-;\-* #,##0_-;_-* &quot;-&quot;??_-;_-@_-"/>
    <numFmt numFmtId="172" formatCode="_-* #,##0.00_-;\-* #,##0.00_-;_-* &quot;-&quot;_-;_-@_-"/>
    <numFmt numFmtId="173" formatCode="_-&quot;$&quot;\ * #,##0.00_-;\-&quot;$&quot;\ * #,##0.00_-;_-&quot;$&quot;\ * &quot;-&quot;_-;_-@_-"/>
    <numFmt numFmtId="174" formatCode="_(&quot;$&quot;\ * #,##0_);_(&quot;$&quot;\ * \(#,##0\);_(&quot;$&quot;\ * &quot;-&quot;??_);_(@_)"/>
    <numFmt numFmtId="175" formatCode="_-[$$-240A]\ * #,##0.00_-;\-[$$-240A]\ * #,##0.00_-;_-[$$-240A]\ * &quot;-&quot;??_-;_-@_-"/>
    <numFmt numFmtId="176" formatCode="0.0%"/>
  </numFmts>
  <fonts count="45" x14ac:knownFonts="1">
    <font>
      <sz val="11"/>
      <color theme="1"/>
      <name val="Calibri"/>
      <family val="2"/>
      <scheme val="minor"/>
    </font>
    <font>
      <sz val="11"/>
      <color theme="1"/>
      <name val="Calibri"/>
      <family val="2"/>
      <scheme val="minor"/>
    </font>
    <font>
      <sz val="12"/>
      <name val="Arial"/>
      <family val="2"/>
    </font>
    <font>
      <b/>
      <sz val="12"/>
      <name val="Arial"/>
      <family val="2"/>
    </font>
    <font>
      <b/>
      <sz val="10"/>
      <name val="Arial"/>
      <family val="2"/>
    </font>
    <font>
      <sz val="11"/>
      <color indexed="8"/>
      <name val="Calibri"/>
      <family val="2"/>
    </font>
    <font>
      <sz val="12"/>
      <color theme="1"/>
      <name val="Arial"/>
      <family val="2"/>
    </font>
    <font>
      <b/>
      <sz val="11"/>
      <color rgb="FF6F6F6E"/>
      <name val="Calibri"/>
      <family val="2"/>
      <scheme val="minor"/>
    </font>
    <font>
      <sz val="12"/>
      <name val="Calibri"/>
      <family val="2"/>
      <scheme val="minor"/>
    </font>
    <font>
      <sz val="10"/>
      <name val="Arial"/>
      <family val="2"/>
    </font>
    <font>
      <b/>
      <sz val="9"/>
      <color indexed="81"/>
      <name val="Tahoma"/>
      <family val="2"/>
    </font>
    <font>
      <sz val="9"/>
      <color indexed="81"/>
      <name val="Tahoma"/>
      <family val="2"/>
    </font>
    <font>
      <sz val="8"/>
      <name val="Calibri"/>
      <family val="2"/>
      <scheme val="minor"/>
    </font>
    <font>
      <sz val="12"/>
      <name val="Arial"/>
      <family val="2"/>
    </font>
    <font>
      <b/>
      <sz val="11"/>
      <color theme="0"/>
      <name val="Calibri"/>
      <family val="2"/>
      <scheme val="minor"/>
    </font>
    <font>
      <sz val="11"/>
      <color rgb="FF000000"/>
      <name val="Calibri"/>
      <family val="2"/>
    </font>
    <font>
      <sz val="12"/>
      <color theme="1"/>
      <name val="Arial"/>
      <family val="2"/>
    </font>
    <font>
      <sz val="12"/>
      <name val="Arial"/>
      <family val="2"/>
    </font>
    <font>
      <b/>
      <sz val="12"/>
      <name val="Arial"/>
      <family val="2"/>
    </font>
    <font>
      <b/>
      <sz val="10"/>
      <name val="Arial"/>
      <family val="2"/>
    </font>
    <font>
      <b/>
      <sz val="12"/>
      <color theme="0"/>
      <name val="Arial"/>
      <family val="2"/>
    </font>
    <font>
      <sz val="12"/>
      <color theme="0"/>
      <name val="Arial"/>
      <family val="2"/>
    </font>
    <font>
      <sz val="12"/>
      <color rgb="FF000000"/>
      <name val="Arial"/>
      <family val="2"/>
    </font>
    <font>
      <sz val="12"/>
      <color rgb="FFFF0000"/>
      <name val="Arial"/>
      <family val="2"/>
    </font>
    <font>
      <b/>
      <sz val="12"/>
      <color theme="1"/>
      <name val="Arial"/>
      <family val="2"/>
    </font>
    <font>
      <sz val="12"/>
      <color indexed="8"/>
      <name val="Arial"/>
      <family val="2"/>
    </font>
    <font>
      <sz val="12"/>
      <color rgb="FFFFFFFF"/>
      <name val="Arial"/>
      <family val="2"/>
    </font>
    <font>
      <b/>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b/>
      <sz val="12"/>
      <color theme="1"/>
      <name val="Calibri"/>
      <family val="2"/>
      <scheme val="minor"/>
    </font>
    <font>
      <b/>
      <sz val="10"/>
      <color theme="1"/>
      <name val="Calibri"/>
      <family val="2"/>
      <scheme val="minor"/>
    </font>
    <font>
      <b/>
      <sz val="12"/>
      <color rgb="FFFF0000"/>
      <name val="Arial"/>
      <family val="2"/>
    </font>
    <font>
      <b/>
      <sz val="14"/>
      <color theme="0"/>
      <name val="Arial"/>
      <family val="2"/>
    </font>
    <font>
      <sz val="12"/>
      <color rgb="FF444444"/>
      <name val="Arial"/>
      <family val="2"/>
    </font>
    <font>
      <sz val="11"/>
      <color theme="1"/>
      <name val="Arial"/>
      <family val="2"/>
    </font>
    <font>
      <sz val="12"/>
      <name val="Arial Narrow"/>
      <family val="2"/>
    </font>
    <font>
      <sz val="10"/>
      <name val="Calibri"/>
      <family val="2"/>
      <scheme val="minor"/>
    </font>
    <font>
      <sz val="10"/>
      <color rgb="FF000000"/>
      <name val="Calibri"/>
      <family val="2"/>
      <scheme val="minor"/>
    </font>
    <font>
      <b/>
      <sz val="16"/>
      <name val="Arial"/>
      <family val="2"/>
    </font>
    <font>
      <b/>
      <sz val="8"/>
      <color theme="0"/>
      <name val="Calibri"/>
      <family val="2"/>
      <scheme val="minor"/>
    </font>
    <font>
      <sz val="8"/>
      <color theme="1"/>
      <name val="Calibri"/>
      <family val="2"/>
      <scheme val="minor"/>
    </font>
    <font>
      <b/>
      <sz val="8"/>
      <color theme="1"/>
      <name val="Calibri"/>
      <family val="2"/>
      <scheme val="minor"/>
    </font>
    <font>
      <sz val="11"/>
      <name val="Calibri"/>
      <family val="2"/>
      <scheme val="minor"/>
    </font>
  </fonts>
  <fills count="37">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92D050"/>
        <bgColor indexed="64"/>
      </patternFill>
    </fill>
    <fill>
      <patternFill patternType="solid">
        <fgColor rgb="FF002060"/>
        <bgColor indexed="64"/>
      </patternFill>
    </fill>
    <fill>
      <patternFill patternType="solid">
        <fgColor rgb="FFFFC000"/>
        <bgColor indexed="64"/>
      </patternFill>
    </fill>
    <fill>
      <patternFill patternType="solid">
        <fgColor rgb="FF00B0F0"/>
        <bgColor indexed="64"/>
      </patternFill>
    </fill>
    <fill>
      <patternFill patternType="solid">
        <fgColor rgb="FFECECE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rgb="FFFF000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7030A0"/>
        <bgColor indexed="64"/>
      </patternFill>
    </fill>
    <fill>
      <patternFill patternType="solid">
        <fgColor rgb="FF522B57"/>
        <bgColor indexed="64"/>
      </patternFill>
    </fill>
    <fill>
      <patternFill patternType="solid">
        <fgColor theme="8" tint="0.79998168889431442"/>
        <bgColor indexed="64"/>
      </patternFill>
    </fill>
    <fill>
      <patternFill patternType="solid">
        <fgColor theme="0"/>
        <bgColor rgb="FF000000"/>
      </patternFill>
    </fill>
    <fill>
      <patternFill patternType="solid">
        <fgColor rgb="FFC65911"/>
        <bgColor indexed="64"/>
      </patternFill>
    </fill>
    <fill>
      <patternFill patternType="solid">
        <fgColor rgb="FF8EA9DB"/>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9" tint="0.39997558519241921"/>
        <bgColor indexed="64"/>
      </patternFill>
    </fill>
    <fill>
      <patternFill patternType="solid">
        <fgColor theme="5" tint="-0.499984740745262"/>
        <bgColor indexed="64"/>
      </patternFill>
    </fill>
    <fill>
      <patternFill patternType="solid">
        <fgColor rgb="FF80000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7" tint="-0.499984740745262"/>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00B050"/>
        <bgColor indexed="64"/>
      </patternFill>
    </fill>
    <fill>
      <patternFill patternType="solid">
        <fgColor theme="4" tint="0.79998168889431442"/>
        <bgColor theme="4" tint="0.79998168889431442"/>
      </patternFill>
    </fill>
    <fill>
      <patternFill patternType="solid">
        <fgColor theme="7" tint="-0.249977111117893"/>
        <bgColor indexed="64"/>
      </patternFill>
    </fill>
    <fill>
      <patternFill patternType="solid">
        <fgColor rgb="FFC00000"/>
        <bgColor indexed="64"/>
      </patternFill>
    </fill>
    <fill>
      <patternFill patternType="solid">
        <fgColor theme="5" tint="0.59999389629810485"/>
        <bgColor indexed="64"/>
      </patternFill>
    </fill>
  </fills>
  <borders count="41">
    <border>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522B57"/>
      </left>
      <right style="thin">
        <color rgb="FF522B57"/>
      </right>
      <top style="thin">
        <color rgb="FF522B57"/>
      </top>
      <bottom style="thin">
        <color rgb="FF522B57"/>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rgb="FFECECEC"/>
      </left>
      <right style="medium">
        <color rgb="FFECECEC"/>
      </right>
      <top style="medium">
        <color rgb="FFECECEC"/>
      </top>
      <bottom style="medium">
        <color rgb="FFECECEC"/>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indexed="64"/>
      </bottom>
      <diagonal/>
    </border>
    <border>
      <left style="thin">
        <color indexed="64"/>
      </left>
      <right/>
      <top style="thin">
        <color rgb="FF000000"/>
      </top>
      <bottom style="thin">
        <color indexed="64"/>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indexed="64"/>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style="thin">
        <color rgb="FF000000"/>
      </top>
      <bottom style="thin">
        <color indexed="64"/>
      </bottom>
      <diagonal/>
    </border>
    <border>
      <left/>
      <right style="thin">
        <color rgb="FF000000"/>
      </right>
      <top/>
      <bottom/>
      <diagonal/>
    </border>
    <border>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s>
  <cellStyleXfs count="20">
    <xf numFmtId="168" fontId="0" fillId="0" borderId="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7" fontId="5" fillId="0" borderId="0" applyFont="0" applyFill="0" applyBorder="0" applyAlignment="0" applyProtection="0"/>
    <xf numFmtId="168" fontId="7" fillId="8" borderId="10">
      <alignment horizontal="center" vertical="center" wrapText="1"/>
    </xf>
    <xf numFmtId="0" fontId="1" fillId="0" borderId="0"/>
    <xf numFmtId="167" fontId="1" fillId="0" borderId="0" applyFont="0" applyFill="0" applyBorder="0" applyAlignment="0" applyProtection="0"/>
    <xf numFmtId="0" fontId="7" fillId="8" borderId="10">
      <alignment horizontal="center" vertical="center" wrapText="1"/>
    </xf>
    <xf numFmtId="168" fontId="9" fillId="0" borderId="0"/>
    <xf numFmtId="44"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4" fillId="17" borderId="14">
      <alignment horizontal="center" vertical="center" wrapText="1"/>
    </xf>
    <xf numFmtId="0" fontId="9" fillId="0" borderId="0"/>
    <xf numFmtId="0" fontId="15" fillId="0" borderId="0"/>
    <xf numFmtId="0" fontId="9" fillId="0" borderId="0"/>
    <xf numFmtId="0" fontId="1" fillId="0" borderId="0"/>
    <xf numFmtId="0" fontId="1" fillId="0" borderId="0"/>
  </cellStyleXfs>
  <cellXfs count="1603">
    <xf numFmtId="168" fontId="0" fillId="0" borderId="0" xfId="0"/>
    <xf numFmtId="168" fontId="2" fillId="0" borderId="0" xfId="0" applyFont="1"/>
    <xf numFmtId="168" fontId="2" fillId="0" borderId="2" xfId="0" applyFont="1" applyBorder="1"/>
    <xf numFmtId="168" fontId="3" fillId="0" borderId="3" xfId="0" applyFont="1" applyBorder="1" applyAlignment="1">
      <alignment vertical="center"/>
    </xf>
    <xf numFmtId="168" fontId="2" fillId="2" borderId="0" xfId="0" applyFont="1" applyFill="1"/>
    <xf numFmtId="168" fontId="3" fillId="0" borderId="3" xfId="0" applyFont="1" applyBorder="1" applyAlignment="1">
      <alignment horizontal="left" vertical="center"/>
    </xf>
    <xf numFmtId="168" fontId="4" fillId="2" borderId="0" xfId="0" applyFont="1" applyFill="1" applyAlignment="1">
      <alignment horizontal="center" vertical="center"/>
    </xf>
    <xf numFmtId="168" fontId="4" fillId="0" borderId="0" xfId="0" applyFont="1" applyAlignment="1">
      <alignment horizontal="center" vertical="center"/>
    </xf>
    <xf numFmtId="168" fontId="3" fillId="2" borderId="0" xfId="0" applyFont="1" applyFill="1" applyAlignment="1">
      <alignment vertical="center"/>
    </xf>
    <xf numFmtId="168" fontId="3" fillId="0" borderId="0" xfId="0" applyFont="1" applyAlignment="1">
      <alignment vertical="center"/>
    </xf>
    <xf numFmtId="0" fontId="3" fillId="0" borderId="6" xfId="0" applyNumberFormat="1" applyFont="1" applyBorder="1" applyAlignment="1">
      <alignment horizontal="center" vertical="center" wrapText="1"/>
    </xf>
    <xf numFmtId="168" fontId="6" fillId="0" borderId="0" xfId="0" applyFont="1"/>
    <xf numFmtId="0" fontId="2" fillId="0" borderId="0" xfId="0" applyNumberFormat="1" applyFont="1" applyAlignment="1">
      <alignment horizontal="left" vertical="center"/>
    </xf>
    <xf numFmtId="0" fontId="2" fillId="0" borderId="0" xfId="0" applyNumberFormat="1" applyFont="1" applyAlignment="1">
      <alignment horizontal="center" vertical="center"/>
    </xf>
    <xf numFmtId="168" fontId="2" fillId="0" borderId="0" xfId="0" applyFont="1" applyAlignment="1">
      <alignment horizontal="center"/>
    </xf>
    <xf numFmtId="0" fontId="2" fillId="0" borderId="0" xfId="0" applyNumberFormat="1" applyFont="1" applyAlignment="1">
      <alignment horizontal="justify" vertical="center" wrapText="1"/>
    </xf>
    <xf numFmtId="0" fontId="2" fillId="0" borderId="0" xfId="0" applyNumberFormat="1" applyFont="1" applyAlignment="1">
      <alignment horizontal="center" vertical="center" wrapText="1"/>
    </xf>
    <xf numFmtId="168" fontId="2" fillId="0" borderId="0" xfId="0" applyFont="1" applyAlignment="1">
      <alignment horizontal="justify" vertical="center" wrapText="1"/>
    </xf>
    <xf numFmtId="168" fontId="6" fillId="2" borderId="0" xfId="0" applyFont="1" applyFill="1"/>
    <xf numFmtId="0" fontId="3" fillId="0" borderId="0" xfId="0" applyNumberFormat="1" applyFont="1" applyAlignment="1">
      <alignment horizontal="center" vertical="center" wrapText="1"/>
    </xf>
    <xf numFmtId="171" fontId="2" fillId="0" borderId="0" xfId="8" applyNumberFormat="1" applyFont="1" applyAlignment="1">
      <alignment horizontal="center"/>
    </xf>
    <xf numFmtId="168" fontId="2" fillId="2" borderId="0" xfId="0" applyFont="1" applyFill="1" applyAlignment="1">
      <alignment vertical="center"/>
    </xf>
    <xf numFmtId="168" fontId="2" fillId="0" borderId="0" xfId="0" applyFont="1" applyAlignment="1">
      <alignment vertical="center"/>
    </xf>
    <xf numFmtId="167" fontId="3" fillId="2" borderId="0" xfId="0" applyNumberFormat="1" applyFont="1" applyFill="1" applyAlignment="1">
      <alignment vertical="center"/>
    </xf>
    <xf numFmtId="173" fontId="2" fillId="2" borderId="0" xfId="4" applyNumberFormat="1" applyFont="1" applyFill="1" applyBorder="1"/>
    <xf numFmtId="167" fontId="2" fillId="0" borderId="0" xfId="5" applyFont="1" applyFill="1" applyBorder="1" applyAlignment="1">
      <alignment horizontal="justify" vertical="center"/>
    </xf>
    <xf numFmtId="173" fontId="2" fillId="0" borderId="0" xfId="4" applyNumberFormat="1" applyFont="1" applyFill="1" applyBorder="1"/>
    <xf numFmtId="167" fontId="2" fillId="0" borderId="0" xfId="0" applyNumberFormat="1" applyFont="1" applyAlignment="1">
      <alignment horizontal="justify" vertical="center"/>
    </xf>
    <xf numFmtId="167" fontId="2" fillId="2" borderId="0" xfId="5" applyFont="1" applyFill="1" applyBorder="1" applyAlignment="1">
      <alignment horizontal="justify" vertical="center"/>
    </xf>
    <xf numFmtId="167" fontId="3" fillId="0" borderId="0" xfId="0" applyNumberFormat="1" applyFont="1" applyAlignment="1">
      <alignment vertical="center"/>
    </xf>
    <xf numFmtId="168" fontId="2" fillId="0" borderId="0" xfId="0" applyFont="1" applyAlignment="1">
      <alignment horizontal="left" vertical="center" wrapText="1"/>
    </xf>
    <xf numFmtId="168" fontId="3" fillId="2" borderId="0" xfId="0" applyFont="1" applyFill="1"/>
    <xf numFmtId="168" fontId="3" fillId="0" borderId="0" xfId="0" applyFont="1"/>
    <xf numFmtId="168" fontId="3" fillId="10" borderId="0" xfId="0" applyFont="1" applyFill="1"/>
    <xf numFmtId="0" fontId="2" fillId="11" borderId="0" xfId="0" applyNumberFormat="1" applyFont="1" applyFill="1" applyAlignment="1">
      <alignment horizontal="center" vertical="center"/>
    </xf>
    <xf numFmtId="168" fontId="2" fillId="11" borderId="0" xfId="0" applyFont="1" applyFill="1" applyAlignment="1">
      <alignment horizontal="center"/>
    </xf>
    <xf numFmtId="0" fontId="2" fillId="11" borderId="0" xfId="0" applyNumberFormat="1" applyFont="1" applyFill="1" applyAlignment="1">
      <alignment horizontal="justify" vertical="center" wrapText="1"/>
    </xf>
    <xf numFmtId="0" fontId="2" fillId="11" borderId="0" xfId="0" applyNumberFormat="1" applyFont="1" applyFill="1" applyAlignment="1">
      <alignment horizontal="center" vertical="center" wrapText="1"/>
    </xf>
    <xf numFmtId="168" fontId="2" fillId="11" borderId="0" xfId="0" applyFont="1" applyFill="1" applyAlignment="1">
      <alignment horizontal="justify" vertical="center" wrapText="1"/>
    </xf>
    <xf numFmtId="43" fontId="3" fillId="11" borderId="3" xfId="0" applyNumberFormat="1" applyFont="1" applyFill="1" applyBorder="1"/>
    <xf numFmtId="168" fontId="2" fillId="11" borderId="0" xfId="0" applyFont="1" applyFill="1"/>
    <xf numFmtId="168" fontId="2" fillId="12" borderId="0" xfId="0" applyFont="1" applyFill="1"/>
    <xf numFmtId="168" fontId="3" fillId="0" borderId="2" xfId="0" applyFont="1" applyBorder="1" applyAlignment="1">
      <alignment horizontal="center" vertical="center" wrapText="1"/>
    </xf>
    <xf numFmtId="168" fontId="3" fillId="0" borderId="4" xfId="0" applyFont="1" applyBorder="1" applyAlignment="1">
      <alignment horizontal="center" vertical="center" wrapText="1"/>
    </xf>
    <xf numFmtId="168" fontId="3" fillId="0" borderId="0" xfId="0" applyFont="1" applyAlignment="1">
      <alignment horizontal="center" vertical="center" wrapText="1"/>
    </xf>
    <xf numFmtId="168" fontId="3" fillId="0" borderId="5" xfId="0" applyFont="1" applyBorder="1" applyAlignment="1">
      <alignment horizontal="center" vertical="center" wrapText="1"/>
    </xf>
    <xf numFmtId="168" fontId="3" fillId="0" borderId="6" xfId="0" applyFont="1" applyBorder="1" applyAlignment="1">
      <alignment horizontal="center" vertical="center" wrapText="1"/>
    </xf>
    <xf numFmtId="43" fontId="3" fillId="11" borderId="0" xfId="0" applyNumberFormat="1" applyFont="1" applyFill="1" applyBorder="1"/>
    <xf numFmtId="168" fontId="13" fillId="0" borderId="0" xfId="0" applyFont="1" applyAlignment="1">
      <alignment horizontal="justify" vertical="center" wrapText="1"/>
    </xf>
    <xf numFmtId="0" fontId="3" fillId="0" borderId="0" xfId="0" applyNumberFormat="1" applyFont="1" applyFill="1" applyAlignment="1">
      <alignment horizontal="left" vertical="center"/>
    </xf>
    <xf numFmtId="0" fontId="3" fillId="0" borderId="0" xfId="0" applyNumberFormat="1" applyFont="1" applyFill="1" applyAlignment="1">
      <alignment horizontal="center" vertical="center"/>
    </xf>
    <xf numFmtId="168" fontId="3" fillId="0" borderId="0" xfId="0" applyFont="1" applyFill="1" applyAlignment="1">
      <alignment horizontal="center"/>
    </xf>
    <xf numFmtId="0" fontId="3" fillId="0" borderId="0" xfId="0" applyNumberFormat="1" applyFont="1" applyFill="1" applyAlignment="1">
      <alignment horizontal="justify" vertical="center" wrapText="1"/>
    </xf>
    <xf numFmtId="0" fontId="3" fillId="0" borderId="0" xfId="0" applyNumberFormat="1" applyFont="1" applyFill="1" applyAlignment="1">
      <alignment horizontal="center" vertical="center" wrapText="1"/>
    </xf>
    <xf numFmtId="168" fontId="3" fillId="0" borderId="0" xfId="0" applyFont="1" applyFill="1" applyAlignment="1">
      <alignment horizontal="justify" vertical="center" wrapText="1"/>
    </xf>
    <xf numFmtId="43" fontId="3" fillId="0" borderId="0" xfId="0" applyNumberFormat="1" applyFont="1" applyFill="1" applyBorder="1"/>
    <xf numFmtId="168" fontId="3" fillId="0" borderId="0" xfId="0" applyFont="1" applyFill="1"/>
    <xf numFmtId="0" fontId="8" fillId="2" borderId="3" xfId="7" applyFont="1" applyFill="1" applyBorder="1" applyAlignment="1">
      <alignment horizontal="center" vertical="center" wrapText="1"/>
    </xf>
    <xf numFmtId="168" fontId="2" fillId="0" borderId="0" xfId="0" applyFont="1" applyAlignment="1">
      <alignment horizontal="justify" vertical="justify"/>
    </xf>
    <xf numFmtId="0" fontId="2" fillId="0" borderId="2" xfId="0" applyNumberFormat="1" applyFont="1" applyBorder="1" applyAlignment="1">
      <alignment horizontal="justify" vertical="center" wrapText="1"/>
    </xf>
    <xf numFmtId="49" fontId="2" fillId="0" borderId="0" xfId="0" applyNumberFormat="1" applyFont="1" applyAlignment="1">
      <alignment vertical="center" wrapText="1"/>
    </xf>
    <xf numFmtId="0" fontId="3" fillId="0" borderId="2" xfId="0" applyNumberFormat="1" applyFont="1" applyBorder="1" applyAlignment="1">
      <alignment horizontal="center" vertical="center" wrapText="1"/>
    </xf>
    <xf numFmtId="0" fontId="2" fillId="0" borderId="2" xfId="0" applyNumberFormat="1" applyFont="1" applyBorder="1" applyAlignment="1">
      <alignment horizontal="center" vertical="center" wrapText="1"/>
    </xf>
    <xf numFmtId="168" fontId="3" fillId="20" borderId="0" xfId="0" applyFont="1" applyFill="1"/>
    <xf numFmtId="168" fontId="3" fillId="0" borderId="1" xfId="0" applyFont="1" applyBorder="1" applyAlignment="1">
      <alignment vertical="center"/>
    </xf>
    <xf numFmtId="168" fontId="3" fillId="0" borderId="2" xfId="0" applyFont="1" applyBorder="1" applyAlignment="1">
      <alignment vertical="center"/>
    </xf>
    <xf numFmtId="0" fontId="19" fillId="4" borderId="7" xfId="0" applyNumberFormat="1" applyFont="1" applyFill="1" applyBorder="1" applyAlignment="1">
      <alignment horizontal="center" vertical="center" wrapText="1"/>
    </xf>
    <xf numFmtId="168" fontId="19" fillId="4" borderId="3" xfId="0" applyFont="1" applyFill="1" applyBorder="1" applyAlignment="1">
      <alignment horizontal="center" vertical="center" wrapText="1"/>
    </xf>
    <xf numFmtId="0" fontId="19" fillId="4" borderId="3" xfId="0" applyNumberFormat="1" applyFont="1" applyFill="1" applyBorder="1" applyAlignment="1">
      <alignment horizontal="center" vertical="center" wrapText="1"/>
    </xf>
    <xf numFmtId="170" fontId="19" fillId="4" borderId="3" xfId="5" applyNumberFormat="1" applyFont="1" applyFill="1" applyBorder="1" applyAlignment="1">
      <alignment horizontal="center" vertical="center" wrapText="1"/>
    </xf>
    <xf numFmtId="168" fontId="18" fillId="7" borderId="13" xfId="0" applyFont="1" applyFill="1" applyBorder="1" applyAlignment="1">
      <alignment horizontal="justify" vertical="center" wrapText="1"/>
    </xf>
    <xf numFmtId="0" fontId="17" fillId="0" borderId="13" xfId="9" applyFont="1" applyFill="1" applyBorder="1" applyAlignment="1">
      <alignment horizontal="justify" vertical="center" wrapText="1"/>
    </xf>
    <xf numFmtId="0" fontId="17" fillId="0" borderId="13" xfId="9" applyNumberFormat="1" applyFont="1" applyFill="1" applyBorder="1" applyAlignment="1">
      <alignment horizontal="center" vertical="center" wrapText="1"/>
    </xf>
    <xf numFmtId="0" fontId="16" fillId="0" borderId="13" xfId="9" applyNumberFormat="1" applyFont="1" applyFill="1" applyBorder="1" applyAlignment="1">
      <alignment horizontal="center" vertical="center" wrapText="1"/>
    </xf>
    <xf numFmtId="0" fontId="18" fillId="7" borderId="13" xfId="0" applyNumberFormat="1" applyFont="1" applyFill="1" applyBorder="1" applyAlignment="1">
      <alignment horizontal="center" vertical="center" wrapText="1"/>
    </xf>
    <xf numFmtId="0" fontId="17" fillId="2" borderId="13" xfId="7" applyNumberFormat="1" applyFont="1" applyFill="1" applyBorder="1" applyAlignment="1">
      <alignment horizontal="center" vertical="center" wrapText="1"/>
    </xf>
    <xf numFmtId="0" fontId="17" fillId="18" borderId="13" xfId="7" applyNumberFormat="1" applyFont="1" applyFill="1" applyBorder="1" applyAlignment="1">
      <alignment horizontal="center" vertical="center" wrapText="1"/>
    </xf>
    <xf numFmtId="0" fontId="3" fillId="0" borderId="2" xfId="0" applyNumberFormat="1" applyFont="1" applyBorder="1" applyAlignment="1">
      <alignment horizontal="left" vertical="center" wrapText="1"/>
    </xf>
    <xf numFmtId="168" fontId="2" fillId="0" borderId="2" xfId="0" applyFont="1" applyBorder="1" applyAlignment="1">
      <alignment horizontal="justify" vertical="center" wrapText="1"/>
    </xf>
    <xf numFmtId="168" fontId="6" fillId="0" borderId="2" xfId="0" applyFont="1" applyBorder="1" applyAlignment="1">
      <alignment horizontal="justify" vertical="center" wrapText="1"/>
    </xf>
    <xf numFmtId="0" fontId="6" fillId="0" borderId="2" xfId="0" applyNumberFormat="1" applyFont="1" applyBorder="1" applyAlignment="1">
      <alignment horizontal="center" vertical="center" wrapText="1"/>
    </xf>
    <xf numFmtId="168" fontId="2" fillId="0" borderId="2" xfId="0" applyFont="1" applyBorder="1" applyAlignment="1">
      <alignment horizontal="center" vertical="center" wrapText="1"/>
    </xf>
    <xf numFmtId="167" fontId="2" fillId="0" borderId="2" xfId="5" applyFont="1" applyFill="1" applyBorder="1" applyAlignment="1">
      <alignment horizontal="justify" vertical="center"/>
    </xf>
    <xf numFmtId="168" fontId="6" fillId="0" borderId="2" xfId="0" applyFont="1" applyBorder="1" applyAlignment="1">
      <alignment vertical="center"/>
    </xf>
    <xf numFmtId="43" fontId="3" fillId="0" borderId="12" xfId="0" applyNumberFormat="1" applyFont="1" applyFill="1" applyBorder="1"/>
    <xf numFmtId="0" fontId="20" fillId="5" borderId="13" xfId="0" applyNumberFormat="1" applyFont="1" applyFill="1" applyBorder="1" applyAlignment="1">
      <alignment vertical="center"/>
    </xf>
    <xf numFmtId="0" fontId="20" fillId="5" borderId="13" xfId="0" applyNumberFormat="1" applyFont="1" applyFill="1" applyBorder="1" applyAlignment="1">
      <alignment horizontal="left" vertical="center"/>
    </xf>
    <xf numFmtId="0" fontId="20" fillId="5" borderId="13" xfId="0" applyNumberFormat="1" applyFont="1" applyFill="1" applyBorder="1" applyAlignment="1">
      <alignment horizontal="center" vertical="center"/>
    </xf>
    <xf numFmtId="168" fontId="20" fillId="5" borderId="13" xfId="0" applyFont="1" applyFill="1" applyBorder="1" applyAlignment="1">
      <alignment horizontal="center" vertical="center"/>
    </xf>
    <xf numFmtId="0" fontId="20" fillId="5" borderId="13" xfId="0" applyNumberFormat="1" applyFont="1" applyFill="1" applyBorder="1" applyAlignment="1">
      <alignment horizontal="justify" vertical="center" wrapText="1"/>
    </xf>
    <xf numFmtId="0" fontId="21" fillId="5" borderId="13" xfId="0" applyNumberFormat="1" applyFont="1" applyFill="1" applyBorder="1" applyAlignment="1">
      <alignment horizontal="center" vertical="center"/>
    </xf>
    <xf numFmtId="168" fontId="20" fillId="5" borderId="13" xfId="0" applyFont="1" applyFill="1" applyBorder="1" applyAlignment="1">
      <alignment horizontal="justify" vertical="center" wrapText="1"/>
    </xf>
    <xf numFmtId="0" fontId="20" fillId="5" borderId="13" xfId="0" applyNumberFormat="1" applyFont="1" applyFill="1" applyBorder="1" applyAlignment="1">
      <alignment horizontal="center" vertical="center" wrapText="1"/>
    </xf>
    <xf numFmtId="168" fontId="21" fillId="5" borderId="13" xfId="0" applyFont="1" applyFill="1" applyBorder="1" applyAlignment="1">
      <alignment horizontal="center" vertical="center"/>
    </xf>
    <xf numFmtId="167" fontId="20" fillId="5" borderId="13" xfId="0" applyNumberFormat="1" applyFont="1" applyFill="1" applyBorder="1" applyAlignment="1">
      <alignment horizontal="center" vertical="center"/>
    </xf>
    <xf numFmtId="168" fontId="18" fillId="0" borderId="13" xfId="0" applyFont="1" applyBorder="1" applyAlignment="1">
      <alignment vertical="center"/>
    </xf>
    <xf numFmtId="0" fontId="18" fillId="6" borderId="13" xfId="0" applyNumberFormat="1" applyFont="1" applyFill="1" applyBorder="1" applyAlignment="1">
      <alignment horizontal="left" vertical="center" wrapText="1"/>
    </xf>
    <xf numFmtId="0" fontId="17" fillId="6" borderId="13" xfId="0" applyNumberFormat="1" applyFont="1" applyFill="1" applyBorder="1" applyAlignment="1">
      <alignment horizontal="center" vertical="center"/>
    </xf>
    <xf numFmtId="168" fontId="18" fillId="6" borderId="13" xfId="0" applyFont="1" applyFill="1" applyBorder="1" applyAlignment="1">
      <alignment horizontal="justify" vertical="center" wrapText="1"/>
    </xf>
    <xf numFmtId="0" fontId="18" fillId="6" borderId="13" xfId="0" applyNumberFormat="1" applyFont="1" applyFill="1" applyBorder="1" applyAlignment="1">
      <alignment horizontal="center" vertical="center" wrapText="1"/>
    </xf>
    <xf numFmtId="168" fontId="17" fillId="6" borderId="13" xfId="0" applyFont="1" applyFill="1" applyBorder="1" applyAlignment="1">
      <alignment vertical="center"/>
    </xf>
    <xf numFmtId="168" fontId="18" fillId="6" borderId="13" xfId="0" applyFont="1" applyFill="1" applyBorder="1" applyAlignment="1">
      <alignment horizontal="center" vertical="center"/>
    </xf>
    <xf numFmtId="167" fontId="18" fillId="6" borderId="13" xfId="0" applyNumberFormat="1" applyFont="1" applyFill="1" applyBorder="1" applyAlignment="1">
      <alignment vertical="center"/>
    </xf>
    <xf numFmtId="168" fontId="17" fillId="0" borderId="13" xfId="0" applyFont="1" applyBorder="1"/>
    <xf numFmtId="0" fontId="18" fillId="0" borderId="13" xfId="0" applyNumberFormat="1" applyFont="1" applyBorder="1" applyAlignment="1">
      <alignment horizontal="left" vertical="center" wrapText="1"/>
    </xf>
    <xf numFmtId="0" fontId="18" fillId="7" borderId="13" xfId="0" applyNumberFormat="1" applyFont="1" applyFill="1" applyBorder="1" applyAlignment="1">
      <alignment horizontal="center" vertical="center"/>
    </xf>
    <xf numFmtId="168" fontId="18" fillId="7" borderId="13" xfId="0" applyFont="1" applyFill="1" applyBorder="1" applyAlignment="1">
      <alignment horizontal="left" vertical="center"/>
    </xf>
    <xf numFmtId="0" fontId="17" fillId="7" borderId="13" xfId="0" applyNumberFormat="1" applyFont="1" applyFill="1" applyBorder="1" applyAlignment="1">
      <alignment horizontal="center" vertical="center"/>
    </xf>
    <xf numFmtId="168" fontId="17" fillId="7" borderId="13" xfId="0" applyFont="1" applyFill="1" applyBorder="1" applyAlignment="1">
      <alignment vertical="center"/>
    </xf>
    <xf numFmtId="168" fontId="18" fillId="7" borderId="13" xfId="0" applyFont="1" applyFill="1" applyBorder="1" applyAlignment="1">
      <alignment horizontal="center" vertical="center"/>
    </xf>
    <xf numFmtId="167" fontId="18" fillId="7" borderId="13" xfId="0" applyNumberFormat="1" applyFont="1" applyFill="1" applyBorder="1" applyAlignment="1">
      <alignment vertical="center"/>
    </xf>
    <xf numFmtId="0" fontId="18" fillId="0" borderId="13" xfId="0" applyNumberFormat="1" applyFont="1" applyBorder="1" applyAlignment="1">
      <alignment horizontal="center" vertical="center" wrapText="1"/>
    </xf>
    <xf numFmtId="168" fontId="17" fillId="15" borderId="13" xfId="0" applyFont="1" applyFill="1" applyBorder="1" applyAlignment="1">
      <alignment horizontal="center" vertical="center" wrapText="1"/>
    </xf>
    <xf numFmtId="0" fontId="17" fillId="6" borderId="13" xfId="0" applyNumberFormat="1" applyFont="1" applyFill="1" applyBorder="1" applyAlignment="1">
      <alignment horizontal="center" vertical="center" wrapText="1"/>
    </xf>
    <xf numFmtId="0" fontId="17" fillId="18" borderId="13" xfId="0" applyNumberFormat="1" applyFont="1" applyFill="1" applyBorder="1" applyAlignment="1">
      <alignment horizontal="center" vertical="center" wrapText="1"/>
    </xf>
    <xf numFmtId="0" fontId="17" fillId="16" borderId="13" xfId="0" applyNumberFormat="1" applyFont="1" applyFill="1" applyBorder="1" applyAlignment="1">
      <alignment horizontal="center" vertical="center" wrapText="1"/>
    </xf>
    <xf numFmtId="0" fontId="17" fillId="0" borderId="13" xfId="6" applyNumberFormat="1" applyFont="1" applyFill="1" applyBorder="1">
      <alignment horizontal="center" vertical="center" wrapText="1"/>
    </xf>
    <xf numFmtId="168" fontId="16" fillId="19" borderId="13" xfId="0" applyFont="1" applyFill="1" applyBorder="1" applyAlignment="1">
      <alignment horizontal="center" vertical="center" wrapText="1"/>
    </xf>
    <xf numFmtId="167" fontId="17" fillId="0" borderId="13" xfId="5" applyFont="1" applyFill="1" applyBorder="1" applyAlignment="1">
      <alignment horizontal="justify" vertical="center"/>
    </xf>
    <xf numFmtId="168" fontId="17" fillId="0" borderId="13" xfId="3" applyNumberFormat="1" applyFont="1" applyFill="1" applyBorder="1" applyAlignment="1">
      <alignment horizontal="center" vertical="center"/>
    </xf>
    <xf numFmtId="167" fontId="17" fillId="0" borderId="13" xfId="0" applyNumberFormat="1" applyFont="1" applyBorder="1" applyAlignment="1">
      <alignment vertical="center"/>
    </xf>
    <xf numFmtId="0" fontId="22" fillId="18" borderId="13" xfId="0" applyNumberFormat="1" applyFont="1" applyFill="1" applyBorder="1" applyAlignment="1">
      <alignment horizontal="center" vertical="center" wrapText="1"/>
    </xf>
    <xf numFmtId="0" fontId="22" fillId="16" borderId="13" xfId="0" applyNumberFormat="1" applyFont="1" applyFill="1" applyBorder="1" applyAlignment="1">
      <alignment horizontal="center" vertical="center" wrapText="1"/>
    </xf>
    <xf numFmtId="168" fontId="16" fillId="0" borderId="13" xfId="3" applyNumberFormat="1" applyFont="1" applyFill="1" applyBorder="1" applyAlignment="1">
      <alignment vertical="center"/>
    </xf>
    <xf numFmtId="0" fontId="17" fillId="13" borderId="13" xfId="0" applyNumberFormat="1" applyFont="1" applyFill="1" applyBorder="1" applyAlignment="1">
      <alignment horizontal="center" vertical="center" wrapText="1"/>
    </xf>
    <xf numFmtId="0" fontId="17" fillId="16" borderId="13" xfId="7" applyNumberFormat="1" applyFont="1" applyFill="1" applyBorder="1" applyAlignment="1">
      <alignment horizontal="center" vertical="center" wrapText="1"/>
    </xf>
    <xf numFmtId="0" fontId="16" fillId="0" borderId="13" xfId="7" applyFont="1" applyBorder="1" applyAlignment="1">
      <alignment horizontal="justify" vertical="center"/>
    </xf>
    <xf numFmtId="168" fontId="16" fillId="0" borderId="13" xfId="3" applyNumberFormat="1" applyFont="1" applyFill="1" applyBorder="1" applyAlignment="1">
      <alignment horizontal="right" vertical="center"/>
    </xf>
    <xf numFmtId="167" fontId="20" fillId="5" borderId="13" xfId="8" applyFont="1" applyFill="1" applyBorder="1" applyAlignment="1">
      <alignment horizontal="center" vertical="center"/>
    </xf>
    <xf numFmtId="167" fontId="18" fillId="6" borderId="13" xfId="8" applyFont="1" applyFill="1" applyBorder="1" applyAlignment="1">
      <alignment horizontal="center" vertical="center"/>
    </xf>
    <xf numFmtId="167" fontId="18" fillId="7" borderId="13" xfId="8" applyFont="1" applyFill="1" applyBorder="1" applyAlignment="1">
      <alignment horizontal="center" vertical="center"/>
    </xf>
    <xf numFmtId="0" fontId="16" fillId="18" borderId="13" xfId="0" applyNumberFormat="1" applyFont="1" applyFill="1" applyBorder="1" applyAlignment="1">
      <alignment horizontal="center" vertical="center" wrapText="1"/>
    </xf>
    <xf numFmtId="167" fontId="17" fillId="0" borderId="13" xfId="8" applyFont="1" applyFill="1" applyBorder="1" applyAlignment="1">
      <alignment horizontal="right" vertical="center" wrapText="1"/>
    </xf>
    <xf numFmtId="168" fontId="16" fillId="0" borderId="13" xfId="0" applyFont="1" applyBorder="1"/>
    <xf numFmtId="170" fontId="16" fillId="0" borderId="13" xfId="5" applyNumberFormat="1" applyFont="1" applyFill="1" applyBorder="1" applyAlignment="1">
      <alignment horizontal="center" vertical="center" wrapText="1"/>
    </xf>
    <xf numFmtId="0" fontId="17" fillId="2" borderId="13" xfId="0" applyNumberFormat="1" applyFont="1" applyFill="1" applyBorder="1" applyAlignment="1">
      <alignment horizontal="center" vertical="center" wrapText="1"/>
    </xf>
    <xf numFmtId="167" fontId="16" fillId="0" borderId="13" xfId="5" applyFont="1" applyFill="1" applyBorder="1" applyAlignment="1">
      <alignment horizontal="justify" vertical="center"/>
    </xf>
    <xf numFmtId="167" fontId="16" fillId="2" borderId="13" xfId="8" applyFont="1" applyFill="1" applyBorder="1" applyAlignment="1">
      <alignment horizontal="right" vertical="center" wrapText="1"/>
    </xf>
    <xf numFmtId="170" fontId="17" fillId="0" borderId="13" xfId="5" applyNumberFormat="1" applyFont="1" applyFill="1" applyBorder="1" applyAlignment="1">
      <alignment horizontal="center" vertical="center" wrapText="1"/>
    </xf>
    <xf numFmtId="170" fontId="17" fillId="0" borderId="13" xfId="8" applyNumberFormat="1" applyFont="1" applyFill="1" applyBorder="1" applyAlignment="1">
      <alignment horizontal="right" vertical="center" wrapText="1"/>
    </xf>
    <xf numFmtId="0" fontId="16" fillId="0" borderId="13" xfId="0" applyNumberFormat="1" applyFont="1" applyBorder="1" applyAlignment="1">
      <alignment horizontal="justify" vertical="center" wrapText="1"/>
    </xf>
    <xf numFmtId="0" fontId="17" fillId="0" borderId="13" xfId="0" applyNumberFormat="1" applyFont="1" applyBorder="1" applyAlignment="1">
      <alignment horizontal="left" vertical="center"/>
    </xf>
    <xf numFmtId="0" fontId="17" fillId="0" borderId="13" xfId="0" applyNumberFormat="1" applyFont="1" applyBorder="1" applyAlignment="1">
      <alignment horizontal="center" vertical="center"/>
    </xf>
    <xf numFmtId="168" fontId="17" fillId="0" borderId="13" xfId="0" applyFont="1" applyBorder="1" applyAlignment="1">
      <alignment horizontal="center"/>
    </xf>
    <xf numFmtId="167" fontId="20" fillId="5" borderId="13" xfId="0" applyNumberFormat="1" applyFont="1" applyFill="1" applyBorder="1" applyAlignment="1">
      <alignment horizontal="left" vertical="center"/>
    </xf>
    <xf numFmtId="168" fontId="18" fillId="7" borderId="13" xfId="0" applyFont="1" applyFill="1" applyBorder="1" applyAlignment="1">
      <alignment vertical="center" wrapText="1"/>
    </xf>
    <xf numFmtId="0" fontId="18" fillId="7" borderId="13" xfId="0" applyNumberFormat="1" applyFont="1" applyFill="1" applyBorder="1" applyAlignment="1">
      <alignment vertical="center" wrapText="1"/>
    </xf>
    <xf numFmtId="0" fontId="16" fillId="0" borderId="13" xfId="0" applyNumberFormat="1" applyFont="1" applyBorder="1" applyAlignment="1" applyProtection="1">
      <alignment horizontal="center" vertical="center" wrapText="1"/>
      <protection locked="0"/>
    </xf>
    <xf numFmtId="167" fontId="18" fillId="0" borderId="13" xfId="0" applyNumberFormat="1" applyFont="1" applyBorder="1" applyAlignment="1">
      <alignment horizontal="left" vertical="center"/>
    </xf>
    <xf numFmtId="167" fontId="17" fillId="2" borderId="13" xfId="0" applyNumberFormat="1" applyFont="1" applyFill="1" applyBorder="1" applyAlignment="1">
      <alignment horizontal="left" vertical="center"/>
    </xf>
    <xf numFmtId="4" fontId="17" fillId="0" borderId="13" xfId="0" applyNumberFormat="1" applyFont="1" applyBorder="1" applyAlignment="1">
      <alignment horizontal="right" vertical="center" wrapText="1"/>
    </xf>
    <xf numFmtId="0" fontId="16" fillId="0" borderId="13" xfId="0" applyNumberFormat="1" applyFont="1" applyBorder="1" applyAlignment="1">
      <alignment horizontal="center" vertical="center"/>
    </xf>
    <xf numFmtId="0" fontId="25" fillId="0" borderId="13" xfId="0" applyNumberFormat="1" applyFont="1" applyBorder="1" applyAlignment="1">
      <alignment horizontal="justify" vertical="center" wrapText="1"/>
    </xf>
    <xf numFmtId="0" fontId="17" fillId="13" borderId="13" xfId="6" applyNumberFormat="1" applyFont="1" applyFill="1" applyBorder="1" applyAlignment="1">
      <alignment horizontal="center" vertical="center" wrapText="1"/>
    </xf>
    <xf numFmtId="172" fontId="17" fillId="0" borderId="13" xfId="2" applyNumberFormat="1" applyFont="1" applyFill="1" applyBorder="1" applyAlignment="1">
      <alignment horizontal="right" vertical="center"/>
    </xf>
    <xf numFmtId="167" fontId="17" fillId="0" borderId="13" xfId="5" applyFont="1" applyFill="1" applyBorder="1"/>
    <xf numFmtId="167" fontId="17" fillId="0" borderId="13" xfId="0" applyNumberFormat="1" applyFont="1" applyBorder="1" applyAlignment="1">
      <alignment horizontal="justify" vertical="center"/>
    </xf>
    <xf numFmtId="0" fontId="17" fillId="13" borderId="13" xfId="9" applyNumberFormat="1" applyFont="1" applyFill="1" applyBorder="1" applyAlignment="1">
      <alignment horizontal="center" vertical="center" wrapText="1"/>
    </xf>
    <xf numFmtId="172" fontId="17" fillId="2" borderId="13" xfId="2" applyNumberFormat="1" applyFont="1" applyFill="1" applyBorder="1" applyAlignment="1">
      <alignment horizontal="right" vertical="center"/>
    </xf>
    <xf numFmtId="168" fontId="17" fillId="0" borderId="13" xfId="0" applyFont="1" applyBorder="1" applyAlignment="1">
      <alignment horizontal="justify" vertical="center"/>
    </xf>
    <xf numFmtId="0" fontId="17" fillId="0" borderId="13" xfId="6" applyNumberFormat="1" applyFont="1" applyFill="1" applyBorder="1" applyAlignment="1">
      <alignment horizontal="center" vertical="center" wrapText="1"/>
    </xf>
    <xf numFmtId="168" fontId="16" fillId="0" borderId="13" xfId="3" applyNumberFormat="1" applyFont="1" applyFill="1" applyBorder="1" applyAlignment="1">
      <alignment horizontal="center" vertical="center" wrapText="1"/>
    </xf>
    <xf numFmtId="43" fontId="17" fillId="2" borderId="13" xfId="0" applyNumberFormat="1" applyFont="1" applyFill="1" applyBorder="1" applyAlignment="1">
      <alignment vertical="center"/>
    </xf>
    <xf numFmtId="0" fontId="17" fillId="13" borderId="13" xfId="8" applyNumberFormat="1" applyFont="1" applyFill="1" applyBorder="1" applyAlignment="1">
      <alignment horizontal="center" vertical="center" wrapText="1"/>
    </xf>
    <xf numFmtId="0" fontId="17" fillId="2" borderId="13" xfId="9" applyFont="1" applyFill="1" applyBorder="1">
      <alignment horizontal="center" vertical="center" wrapText="1"/>
    </xf>
    <xf numFmtId="167" fontId="17" fillId="0" borderId="13" xfId="8" applyFont="1" applyFill="1" applyBorder="1" applyAlignment="1">
      <alignment horizontal="center" vertical="center" wrapText="1"/>
    </xf>
    <xf numFmtId="172" fontId="17" fillId="0" borderId="13" xfId="2" applyNumberFormat="1" applyFont="1" applyFill="1" applyBorder="1" applyAlignment="1">
      <alignment horizontal="right" vertical="center" wrapText="1"/>
    </xf>
    <xf numFmtId="0" fontId="22" fillId="2" borderId="13" xfId="0" applyNumberFormat="1" applyFont="1" applyFill="1" applyBorder="1" applyAlignment="1">
      <alignment horizontal="center" vertical="center" wrapText="1"/>
    </xf>
    <xf numFmtId="41" fontId="17" fillId="0" borderId="13" xfId="2" applyFont="1" applyFill="1" applyBorder="1" applyAlignment="1">
      <alignment horizontal="right" vertical="center" wrapText="1"/>
    </xf>
    <xf numFmtId="167" fontId="17" fillId="2" borderId="13" xfId="8" applyFont="1" applyFill="1" applyBorder="1" applyAlignment="1">
      <alignment horizontal="center" vertical="center" wrapText="1"/>
    </xf>
    <xf numFmtId="0" fontId="17" fillId="0" borderId="13" xfId="8" applyNumberFormat="1" applyFont="1" applyFill="1" applyBorder="1" applyAlignment="1">
      <alignment horizontal="center" vertical="center" wrapText="1"/>
    </xf>
    <xf numFmtId="0" fontId="17" fillId="0" borderId="13" xfId="7" applyNumberFormat="1" applyFont="1" applyBorder="1" applyAlignment="1">
      <alignment horizontal="center" vertical="center" wrapText="1"/>
    </xf>
    <xf numFmtId="168" fontId="17" fillId="0" borderId="13" xfId="0" applyFont="1" applyBorder="1" applyAlignment="1">
      <alignment vertical="center" wrapText="1"/>
    </xf>
    <xf numFmtId="168" fontId="17" fillId="2" borderId="13" xfId="0" applyFont="1" applyFill="1" applyBorder="1" applyAlignment="1">
      <alignment horizontal="justify" vertical="center" wrapText="1"/>
    </xf>
    <xf numFmtId="168" fontId="17" fillId="0" borderId="13" xfId="6" applyFont="1" applyFill="1" applyBorder="1" applyAlignment="1">
      <alignment horizontal="justify" vertical="center" wrapText="1"/>
    </xf>
    <xf numFmtId="168" fontId="17" fillId="2" borderId="13" xfId="6" applyFont="1" applyFill="1" applyBorder="1" applyAlignment="1">
      <alignment horizontal="justify" vertical="center" wrapText="1"/>
    </xf>
    <xf numFmtId="0" fontId="17" fillId="2" borderId="13" xfId="9" applyFont="1" applyFill="1" applyBorder="1" applyAlignment="1">
      <alignment horizontal="justify" vertical="center" wrapText="1"/>
    </xf>
    <xf numFmtId="0" fontId="17" fillId="0" borderId="13" xfId="9" applyFont="1" applyFill="1" applyBorder="1">
      <alignment horizontal="center" vertical="center" wrapText="1"/>
    </xf>
    <xf numFmtId="168" fontId="17" fillId="2" borderId="13" xfId="0" applyFont="1" applyFill="1" applyBorder="1" applyAlignment="1">
      <alignment horizontal="center" vertical="center" wrapText="1"/>
    </xf>
    <xf numFmtId="0" fontId="17" fillId="18" borderId="13" xfId="6" applyNumberFormat="1" applyFont="1" applyFill="1" applyBorder="1" applyAlignment="1">
      <alignment horizontal="center" vertical="center" wrapText="1"/>
    </xf>
    <xf numFmtId="43" fontId="17" fillId="0" borderId="13" xfId="0" applyNumberFormat="1" applyFont="1" applyBorder="1" applyAlignment="1">
      <alignment vertical="center"/>
    </xf>
    <xf numFmtId="41" fontId="17" fillId="0" borderId="13" xfId="2" applyFont="1" applyFill="1" applyBorder="1" applyAlignment="1">
      <alignment vertical="center"/>
    </xf>
    <xf numFmtId="168" fontId="17" fillId="6" borderId="13" xfId="0" applyFont="1" applyFill="1" applyBorder="1" applyAlignment="1">
      <alignment horizontal="center" vertical="center"/>
    </xf>
    <xf numFmtId="168" fontId="17" fillId="7" borderId="13" xfId="0" applyFont="1" applyFill="1" applyBorder="1" applyAlignment="1">
      <alignment horizontal="center" vertical="center"/>
    </xf>
    <xf numFmtId="167" fontId="18" fillId="7" borderId="13" xfId="0" applyNumberFormat="1" applyFont="1" applyFill="1" applyBorder="1" applyAlignment="1">
      <alignment horizontal="left" vertical="center"/>
    </xf>
    <xf numFmtId="0" fontId="16" fillId="0" borderId="13" xfId="7" applyFont="1" applyBorder="1" applyAlignment="1">
      <alignment horizontal="justify" vertical="center" wrapText="1"/>
    </xf>
    <xf numFmtId="167" fontId="17" fillId="0" borderId="13" xfId="8" applyFont="1" applyFill="1" applyBorder="1" applyAlignment="1">
      <alignment horizontal="center" vertical="center"/>
    </xf>
    <xf numFmtId="167" fontId="17" fillId="0" borderId="13" xfId="5" applyFont="1" applyFill="1" applyBorder="1" applyAlignment="1">
      <alignment vertical="center"/>
    </xf>
    <xf numFmtId="168" fontId="18" fillId="7" borderId="13" xfId="0" applyFont="1" applyFill="1" applyBorder="1" applyAlignment="1">
      <alignment horizontal="center" vertical="center" wrapText="1"/>
    </xf>
    <xf numFmtId="167" fontId="17" fillId="0" borderId="13" xfId="8" applyFont="1" applyFill="1" applyBorder="1" applyAlignment="1">
      <alignment vertical="center"/>
    </xf>
    <xf numFmtId="167" fontId="18" fillId="7" borderId="13" xfId="0" applyNumberFormat="1" applyFont="1" applyFill="1" applyBorder="1" applyAlignment="1">
      <alignment horizontal="justify" vertical="center" wrapText="1"/>
    </xf>
    <xf numFmtId="0" fontId="17" fillId="2" borderId="13" xfId="8" applyNumberFormat="1" applyFont="1" applyFill="1" applyBorder="1" applyAlignment="1">
      <alignment horizontal="center" vertical="center" wrapText="1"/>
    </xf>
    <xf numFmtId="168" fontId="17" fillId="0" borderId="13" xfId="0" applyFont="1" applyBorder="1" applyAlignment="1">
      <alignment horizontal="justify" vertical="center" wrapText="1"/>
    </xf>
    <xf numFmtId="0" fontId="17" fillId="0" borderId="13" xfId="0" applyNumberFormat="1" applyFont="1" applyBorder="1" applyAlignment="1">
      <alignment horizontal="justify" vertical="center" wrapText="1"/>
    </xf>
    <xf numFmtId="0" fontId="16" fillId="16" borderId="13" xfId="6" applyNumberFormat="1" applyFont="1" applyFill="1" applyBorder="1" applyAlignment="1">
      <alignment horizontal="center" vertical="center" wrapText="1"/>
    </xf>
    <xf numFmtId="0" fontId="17" fillId="13" borderId="13" xfId="7" applyNumberFormat="1" applyFont="1" applyFill="1" applyBorder="1" applyAlignment="1">
      <alignment horizontal="center" vertical="center" wrapText="1"/>
    </xf>
    <xf numFmtId="167" fontId="17" fillId="0" borderId="13" xfId="8" applyFont="1" applyFill="1" applyBorder="1" applyAlignment="1">
      <alignment horizontal="left" vertical="center" wrapText="1"/>
    </xf>
    <xf numFmtId="167" fontId="17" fillId="2" borderId="13" xfId="8" applyFont="1" applyFill="1" applyBorder="1" applyAlignment="1">
      <alignment horizontal="right" vertical="center" wrapText="1"/>
    </xf>
    <xf numFmtId="0" fontId="16" fillId="18" borderId="13" xfId="0" applyNumberFormat="1" applyFont="1" applyFill="1" applyBorder="1" applyAlignment="1">
      <alignment horizontal="center" vertical="center"/>
    </xf>
    <xf numFmtId="168" fontId="16" fillId="0" borderId="13" xfId="0" applyFont="1" applyBorder="1" applyAlignment="1">
      <alignment horizontal="justify" vertical="center" wrapText="1"/>
    </xf>
    <xf numFmtId="168" fontId="17" fillId="2" borderId="13" xfId="0" applyFont="1" applyFill="1" applyBorder="1" applyAlignment="1">
      <alignment horizontal="justify" vertical="center"/>
    </xf>
    <xf numFmtId="0" fontId="17" fillId="0" borderId="13" xfId="1" applyNumberFormat="1" applyFont="1" applyBorder="1" applyAlignment="1">
      <alignment horizontal="center" vertical="center" wrapText="1"/>
    </xf>
    <xf numFmtId="0" fontId="17" fillId="0" borderId="13" xfId="1" applyNumberFormat="1" applyFont="1" applyFill="1" applyBorder="1" applyAlignment="1">
      <alignment horizontal="center" vertical="center" wrapText="1"/>
    </xf>
    <xf numFmtId="168" fontId="17" fillId="2" borderId="13" xfId="0" applyFont="1" applyFill="1" applyBorder="1"/>
    <xf numFmtId="168" fontId="17" fillId="2" borderId="13" xfId="0" applyFont="1" applyFill="1" applyBorder="1" applyAlignment="1">
      <alignment horizontal="center" vertical="center"/>
    </xf>
    <xf numFmtId="0" fontId="17" fillId="2" borderId="13" xfId="0" applyNumberFormat="1" applyFont="1" applyFill="1" applyBorder="1" applyAlignment="1">
      <alignment horizontal="justify" vertical="center" wrapText="1"/>
    </xf>
    <xf numFmtId="167" fontId="17" fillId="0" borderId="13" xfId="5" applyFont="1" applyBorder="1" applyAlignment="1">
      <alignment horizontal="justify" vertical="center"/>
    </xf>
    <xf numFmtId="167" fontId="17" fillId="0" borderId="13" xfId="8" applyFont="1" applyBorder="1" applyAlignment="1">
      <alignment horizontal="right" vertical="center" wrapText="1"/>
    </xf>
    <xf numFmtId="0" fontId="22" fillId="0" borderId="13" xfId="6" applyNumberFormat="1" applyFont="1" applyFill="1" applyBorder="1" applyAlignment="1">
      <alignment horizontal="center" vertical="center" wrapText="1"/>
    </xf>
    <xf numFmtId="0" fontId="18" fillId="2" borderId="13" xfId="0" applyNumberFormat="1" applyFont="1" applyFill="1" applyBorder="1" applyAlignment="1">
      <alignment horizontal="center" vertical="center" wrapText="1"/>
    </xf>
    <xf numFmtId="0" fontId="17" fillId="2" borderId="13" xfId="6" applyNumberFormat="1" applyFont="1" applyFill="1" applyBorder="1" applyAlignment="1">
      <alignment horizontal="center" vertical="center" wrapText="1"/>
    </xf>
    <xf numFmtId="0" fontId="17" fillId="2" borderId="13" xfId="9" applyNumberFormat="1" applyFont="1" applyFill="1" applyBorder="1" applyAlignment="1">
      <alignment horizontal="center" vertical="center" wrapText="1"/>
    </xf>
    <xf numFmtId="167" fontId="17" fillId="2" borderId="13" xfId="5" applyFont="1" applyFill="1" applyBorder="1" applyAlignment="1">
      <alignment horizontal="justify" vertical="center"/>
    </xf>
    <xf numFmtId="167" fontId="17" fillId="2" borderId="13" xfId="0" applyNumberFormat="1" applyFont="1" applyFill="1" applyBorder="1" applyAlignment="1">
      <alignment vertical="center"/>
    </xf>
    <xf numFmtId="168" fontId="17" fillId="0" borderId="13" xfId="0" applyFont="1" applyBorder="1" applyAlignment="1">
      <alignment vertical="center"/>
    </xf>
    <xf numFmtId="167" fontId="17" fillId="2" borderId="13" xfId="8" applyFont="1" applyFill="1" applyBorder="1" applyAlignment="1">
      <alignment horizontal="center" vertical="center"/>
    </xf>
    <xf numFmtId="0" fontId="17" fillId="16" borderId="13" xfId="6" applyNumberFormat="1" applyFont="1" applyFill="1" applyBorder="1" applyAlignment="1">
      <alignment horizontal="center" vertical="center" wrapText="1"/>
    </xf>
    <xf numFmtId="173" fontId="17" fillId="0" borderId="13" xfId="4" applyNumberFormat="1" applyFont="1" applyFill="1" applyBorder="1" applyAlignment="1">
      <alignment horizontal="center" vertical="center" wrapText="1"/>
    </xf>
    <xf numFmtId="173" fontId="17" fillId="0" borderId="13" xfId="4" applyNumberFormat="1" applyFont="1" applyFill="1" applyBorder="1" applyAlignment="1">
      <alignment horizontal="center" vertical="center"/>
    </xf>
    <xf numFmtId="0" fontId="17" fillId="0" borderId="13" xfId="6" applyNumberFormat="1" applyFont="1" applyFill="1" applyBorder="1" applyAlignment="1">
      <alignment horizontal="center" vertical="center"/>
    </xf>
    <xf numFmtId="0" fontId="17" fillId="0" borderId="13" xfId="7" applyFont="1" applyBorder="1" applyAlignment="1">
      <alignment horizontal="justify" vertical="center" wrapText="1"/>
    </xf>
    <xf numFmtId="173" fontId="17" fillId="2" borderId="13" xfId="4" applyNumberFormat="1" applyFont="1" applyFill="1" applyBorder="1" applyAlignment="1">
      <alignment horizontal="center" vertical="center" wrapText="1"/>
    </xf>
    <xf numFmtId="168" fontId="17" fillId="7" borderId="13" xfId="0" applyFont="1" applyFill="1" applyBorder="1" applyAlignment="1">
      <alignment horizontal="center" vertical="center" wrapText="1"/>
    </xf>
    <xf numFmtId="167" fontId="17" fillId="7" borderId="13" xfId="5" applyFont="1" applyFill="1" applyBorder="1" applyAlignment="1">
      <alignment horizontal="justify" vertical="center"/>
    </xf>
    <xf numFmtId="167" fontId="18" fillId="7" borderId="13" xfId="5" applyFont="1" applyFill="1" applyBorder="1" applyAlignment="1">
      <alignment horizontal="justify" vertical="center"/>
    </xf>
    <xf numFmtId="0" fontId="18" fillId="0" borderId="13" xfId="0" applyNumberFormat="1" applyFont="1" applyBorder="1" applyAlignment="1">
      <alignment horizontal="center" vertical="center"/>
    </xf>
    <xf numFmtId="168" fontId="18" fillId="0" borderId="13" xfId="0" applyFont="1" applyBorder="1" applyAlignment="1">
      <alignment horizontal="center" vertical="center"/>
    </xf>
    <xf numFmtId="167" fontId="18" fillId="0" borderId="13" xfId="0" applyNumberFormat="1" applyFont="1" applyBorder="1" applyAlignment="1">
      <alignment vertical="center"/>
    </xf>
    <xf numFmtId="0" fontId="17" fillId="2" borderId="13" xfId="7" applyFont="1" applyFill="1" applyBorder="1" applyAlignment="1">
      <alignment horizontal="justify" vertical="center" wrapText="1"/>
    </xf>
    <xf numFmtId="0" fontId="18" fillId="7" borderId="13" xfId="0" applyNumberFormat="1" applyFont="1" applyFill="1" applyBorder="1" applyAlignment="1">
      <alignment horizontal="left" vertical="center"/>
    </xf>
    <xf numFmtId="0" fontId="22" fillId="16" borderId="13" xfId="0" applyNumberFormat="1" applyFont="1" applyFill="1" applyBorder="1" applyAlignment="1">
      <alignment horizontal="center" vertical="center"/>
    </xf>
    <xf numFmtId="0" fontId="16" fillId="0" borderId="13" xfId="7" applyFont="1" applyBorder="1" applyAlignment="1">
      <alignment horizontal="center" vertical="center"/>
    </xf>
    <xf numFmtId="0" fontId="17" fillId="0" borderId="13" xfId="7" applyFont="1" applyBorder="1" applyAlignment="1">
      <alignment horizontal="center" vertical="center"/>
    </xf>
    <xf numFmtId="168" fontId="18" fillId="0" borderId="13" xfId="0" applyFont="1" applyBorder="1" applyAlignment="1">
      <alignment horizontal="left" vertical="center"/>
    </xf>
    <xf numFmtId="174" fontId="16" fillId="0" borderId="13" xfId="3" applyNumberFormat="1" applyFont="1" applyFill="1" applyBorder="1" applyAlignment="1">
      <alignment vertical="center" wrapText="1"/>
    </xf>
    <xf numFmtId="0" fontId="17" fillId="2" borderId="13" xfId="1" applyNumberFormat="1" applyFont="1" applyFill="1" applyBorder="1" applyAlignment="1">
      <alignment horizontal="center" vertical="center" wrapText="1"/>
    </xf>
    <xf numFmtId="43" fontId="17" fillId="2" borderId="13" xfId="8" applyNumberFormat="1" applyFont="1" applyFill="1" applyBorder="1" applyAlignment="1">
      <alignment vertical="center"/>
    </xf>
    <xf numFmtId="167" fontId="18" fillId="2" borderId="13" xfId="5" applyFont="1" applyFill="1" applyBorder="1" applyAlignment="1">
      <alignment horizontal="justify" vertical="center"/>
    </xf>
    <xf numFmtId="167" fontId="17" fillId="2" borderId="13" xfId="8" applyFont="1" applyFill="1" applyBorder="1" applyAlignment="1">
      <alignment vertical="center"/>
    </xf>
    <xf numFmtId="167" fontId="23" fillId="0" borderId="13" xfId="5" applyFont="1" applyFill="1" applyBorder="1" applyAlignment="1">
      <alignment horizontal="justify" vertical="center"/>
    </xf>
    <xf numFmtId="167" fontId="16" fillId="2" borderId="13" xfId="5" applyFont="1" applyFill="1" applyBorder="1" applyAlignment="1">
      <alignment horizontal="justify" vertical="center"/>
    </xf>
    <xf numFmtId="167" fontId="16" fillId="0" borderId="13" xfId="0" applyNumberFormat="1" applyFont="1" applyBorder="1" applyAlignment="1">
      <alignment vertical="center"/>
    </xf>
    <xf numFmtId="167" fontId="17" fillId="2" borderId="13" xfId="5" applyFont="1" applyFill="1" applyBorder="1" applyAlignment="1">
      <alignment horizontal="justify" vertical="center" wrapText="1"/>
    </xf>
    <xf numFmtId="167" fontId="17" fillId="0" borderId="13" xfId="0" applyNumberFormat="1" applyFont="1" applyBorder="1" applyAlignment="1">
      <alignment horizontal="justify" vertical="center" wrapText="1"/>
    </xf>
    <xf numFmtId="167" fontId="17" fillId="2" borderId="13" xfId="0" applyNumberFormat="1" applyFont="1" applyFill="1" applyBorder="1" applyAlignment="1">
      <alignment horizontal="justify" vertical="center" wrapText="1"/>
    </xf>
    <xf numFmtId="167" fontId="17" fillId="2" borderId="13" xfId="0" applyNumberFormat="1" applyFont="1" applyFill="1" applyBorder="1" applyAlignment="1">
      <alignment horizontal="right" vertical="center"/>
    </xf>
    <xf numFmtId="0" fontId="17" fillId="7" borderId="13" xfId="0" applyNumberFormat="1" applyFont="1" applyFill="1" applyBorder="1" applyAlignment="1">
      <alignment horizontal="center" vertical="center" wrapText="1"/>
    </xf>
    <xf numFmtId="0" fontId="18" fillId="15" borderId="13" xfId="0" applyNumberFormat="1" applyFont="1" applyFill="1" applyBorder="1" applyAlignment="1">
      <alignment horizontal="center" vertical="center" wrapText="1"/>
    </xf>
    <xf numFmtId="1" fontId="17" fillId="15" borderId="13" xfId="0" applyNumberFormat="1" applyFont="1" applyFill="1" applyBorder="1" applyAlignment="1">
      <alignment horizontal="center" vertical="center" wrapText="1"/>
    </xf>
    <xf numFmtId="0" fontId="16" fillId="0" borderId="13" xfId="7" applyNumberFormat="1" applyFont="1" applyBorder="1" applyAlignment="1">
      <alignment horizontal="center" vertical="center" wrapText="1"/>
    </xf>
    <xf numFmtId="0" fontId="17" fillId="0" borderId="13" xfId="0" applyNumberFormat="1" applyFont="1" applyBorder="1" applyAlignment="1" applyProtection="1">
      <alignment horizontal="center" vertical="center" wrapText="1"/>
      <protection locked="0"/>
    </xf>
    <xf numFmtId="168" fontId="17" fillId="0" borderId="13" xfId="0" applyFont="1" applyBorder="1" applyAlignment="1" applyProtection="1">
      <alignment horizontal="justify" vertical="center" wrapText="1"/>
      <protection locked="0"/>
    </xf>
    <xf numFmtId="168" fontId="17" fillId="7" borderId="13" xfId="0" applyFont="1" applyFill="1" applyBorder="1" applyAlignment="1">
      <alignment horizontal="right" vertical="center"/>
    </xf>
    <xf numFmtId="0" fontId="17" fillId="18" borderId="13" xfId="9" applyNumberFormat="1" applyFont="1" applyFill="1" applyBorder="1" applyAlignment="1">
      <alignment horizontal="center" vertical="center" wrapText="1"/>
    </xf>
    <xf numFmtId="168" fontId="16" fillId="2" borderId="13" xfId="0" applyFont="1" applyFill="1" applyBorder="1"/>
    <xf numFmtId="0" fontId="26" fillId="16" borderId="13" xfId="6" applyNumberFormat="1" applyFont="1" applyFill="1" applyBorder="1" applyAlignment="1">
      <alignment horizontal="center" vertical="center" wrapText="1"/>
    </xf>
    <xf numFmtId="0" fontId="22" fillId="13" borderId="13" xfId="6" applyNumberFormat="1" applyFont="1" applyFill="1" applyBorder="1" applyAlignment="1">
      <alignment horizontal="center" vertical="center" wrapText="1"/>
    </xf>
    <xf numFmtId="0" fontId="17" fillId="0" borderId="13" xfId="6" applyNumberFormat="1" applyFont="1" applyFill="1" applyBorder="1" applyAlignment="1">
      <alignment horizontal="justify" vertical="center" wrapText="1"/>
    </xf>
    <xf numFmtId="0" fontId="18" fillId="2" borderId="13" xfId="0" applyNumberFormat="1" applyFont="1" applyFill="1" applyBorder="1" applyAlignment="1">
      <alignment horizontal="left" vertical="center" wrapText="1"/>
    </xf>
    <xf numFmtId="167" fontId="17" fillId="7" borderId="13" xfId="8" applyFont="1" applyFill="1" applyBorder="1" applyAlignment="1">
      <alignment horizontal="center" vertical="center"/>
    </xf>
    <xf numFmtId="0" fontId="17" fillId="13" borderId="13" xfId="0" applyNumberFormat="1" applyFont="1" applyFill="1" applyBorder="1" applyAlignment="1" applyProtection="1">
      <alignment horizontal="center" vertical="center" wrapText="1"/>
      <protection locked="0"/>
    </xf>
    <xf numFmtId="0" fontId="16" fillId="13" borderId="13" xfId="7" applyNumberFormat="1" applyFont="1" applyFill="1" applyBorder="1" applyAlignment="1">
      <alignment horizontal="center" vertical="center" wrapText="1"/>
    </xf>
    <xf numFmtId="49" fontId="16" fillId="0" borderId="13" xfId="7" applyNumberFormat="1" applyFont="1" applyBorder="1" applyAlignment="1">
      <alignment horizontal="justify" vertical="center" wrapText="1"/>
    </xf>
    <xf numFmtId="0" fontId="17" fillId="15" borderId="13" xfId="6" applyNumberFormat="1" applyFont="1" applyFill="1" applyBorder="1" applyAlignment="1">
      <alignment horizontal="center" vertical="center" wrapText="1"/>
    </xf>
    <xf numFmtId="0" fontId="16" fillId="16" borderId="13" xfId="0" applyNumberFormat="1" applyFont="1" applyFill="1" applyBorder="1" applyAlignment="1">
      <alignment horizontal="center" vertical="center" wrapText="1"/>
    </xf>
    <xf numFmtId="4" fontId="17" fillId="0" borderId="13" xfId="0" applyNumberFormat="1" applyFont="1" applyBorder="1" applyAlignment="1">
      <alignment vertical="center" wrapText="1"/>
    </xf>
    <xf numFmtId="0" fontId="16" fillId="0" borderId="13" xfId="6" applyNumberFormat="1" applyFont="1" applyFill="1" applyBorder="1" applyAlignment="1">
      <alignment horizontal="center" vertical="center" wrapText="1"/>
    </xf>
    <xf numFmtId="0" fontId="17" fillId="2" borderId="13" xfId="0" applyNumberFormat="1" applyFont="1" applyFill="1" applyBorder="1" applyAlignment="1">
      <alignment horizontal="left" vertical="center"/>
    </xf>
    <xf numFmtId="0" fontId="17" fillId="2" borderId="13" xfId="0" applyNumberFormat="1" applyFont="1" applyFill="1" applyBorder="1" applyAlignment="1">
      <alignment horizontal="center" vertical="center"/>
    </xf>
    <xf numFmtId="168" fontId="17" fillId="2" borderId="13" xfId="0" applyFont="1" applyFill="1" applyBorder="1" applyAlignment="1">
      <alignment horizontal="center"/>
    </xf>
    <xf numFmtId="171" fontId="17" fillId="2" borderId="13" xfId="8" applyNumberFormat="1" applyFont="1" applyFill="1" applyBorder="1" applyAlignment="1">
      <alignment horizontal="center"/>
    </xf>
    <xf numFmtId="168" fontId="17" fillId="2" borderId="13" xfId="0" applyFont="1" applyFill="1" applyBorder="1" applyAlignment="1">
      <alignment vertical="center" wrapText="1"/>
    </xf>
    <xf numFmtId="0" fontId="16" fillId="2" borderId="13" xfId="0" applyNumberFormat="1" applyFont="1" applyFill="1" applyBorder="1" applyAlignment="1">
      <alignment horizontal="justify" vertical="center" wrapText="1"/>
    </xf>
    <xf numFmtId="0" fontId="16" fillId="2" borderId="13" xfId="7" applyFont="1" applyFill="1" applyBorder="1" applyAlignment="1">
      <alignment horizontal="justify" vertical="center" wrapText="1"/>
    </xf>
    <xf numFmtId="4" fontId="22" fillId="0" borderId="13" xfId="0" applyNumberFormat="1" applyFont="1" applyBorder="1" applyAlignment="1">
      <alignment horizontal="center" vertical="center"/>
    </xf>
    <xf numFmtId="0" fontId="26" fillId="16" borderId="13" xfId="0" applyNumberFormat="1" applyFont="1" applyFill="1" applyBorder="1" applyAlignment="1">
      <alignment horizontal="center" vertical="center" wrapText="1"/>
    </xf>
    <xf numFmtId="168" fontId="17" fillId="2" borderId="13" xfId="0" applyFont="1" applyFill="1" applyBorder="1" applyAlignment="1">
      <alignment vertical="center"/>
    </xf>
    <xf numFmtId="43" fontId="18" fillId="7" borderId="13" xfId="0" applyNumberFormat="1" applyFont="1" applyFill="1" applyBorder="1" applyAlignment="1">
      <alignment vertical="center"/>
    </xf>
    <xf numFmtId="167" fontId="17" fillId="2" borderId="13" xfId="5" applyFont="1" applyFill="1" applyBorder="1" applyAlignment="1">
      <alignment horizontal="right" vertical="center"/>
    </xf>
    <xf numFmtId="167" fontId="17" fillId="2" borderId="13" xfId="0" applyNumberFormat="1" applyFont="1" applyFill="1" applyBorder="1" applyAlignment="1">
      <alignment horizontal="right" vertical="center" wrapText="1"/>
    </xf>
    <xf numFmtId="168" fontId="22" fillId="0" borderId="13" xfId="0" applyFont="1" applyBorder="1" applyAlignment="1">
      <alignment horizontal="justify" vertical="center" wrapText="1"/>
    </xf>
    <xf numFmtId="43" fontId="18" fillId="6" borderId="13" xfId="0" applyNumberFormat="1" applyFont="1" applyFill="1" applyBorder="1" applyAlignment="1">
      <alignment vertical="center"/>
    </xf>
    <xf numFmtId="0" fontId="18" fillId="9" borderId="13" xfId="0" applyNumberFormat="1" applyFont="1" applyFill="1" applyBorder="1" applyAlignment="1">
      <alignment horizontal="left" vertical="center" wrapText="1"/>
    </xf>
    <xf numFmtId="0" fontId="18" fillId="9" borderId="13" xfId="0" applyNumberFormat="1" applyFont="1" applyFill="1" applyBorder="1" applyAlignment="1">
      <alignment horizontal="center" vertical="center" wrapText="1"/>
    </xf>
    <xf numFmtId="168" fontId="18" fillId="9" borderId="13" xfId="0" applyFont="1" applyFill="1" applyBorder="1" applyAlignment="1">
      <alignment horizontal="justify" vertical="center" wrapText="1"/>
    </xf>
    <xf numFmtId="168" fontId="18" fillId="9" borderId="13" xfId="0" applyFont="1" applyFill="1" applyBorder="1" applyAlignment="1">
      <alignment horizontal="center" vertical="center" wrapText="1"/>
    </xf>
    <xf numFmtId="168" fontId="18" fillId="9" borderId="13" xfId="0" applyFont="1" applyFill="1" applyBorder="1" applyAlignment="1">
      <alignment horizontal="center" vertical="center"/>
    </xf>
    <xf numFmtId="167" fontId="18" fillId="9" borderId="13" xfId="0" applyNumberFormat="1" applyFont="1" applyFill="1" applyBorder="1" applyAlignment="1">
      <alignment vertical="center"/>
    </xf>
    <xf numFmtId="0" fontId="18" fillId="7" borderId="13" xfId="0" applyNumberFormat="1" applyFont="1" applyFill="1" applyBorder="1" applyAlignment="1">
      <alignment horizontal="left" vertical="center" wrapText="1"/>
    </xf>
    <xf numFmtId="0" fontId="25" fillId="0" borderId="13" xfId="7" applyFont="1" applyBorder="1" applyAlignment="1">
      <alignment horizontal="justify" vertical="center" wrapText="1"/>
    </xf>
    <xf numFmtId="167" fontId="17" fillId="0" borderId="13" xfId="5" applyFont="1" applyFill="1" applyBorder="1" applyAlignment="1">
      <alignment horizontal="center" vertical="center" wrapText="1"/>
    </xf>
    <xf numFmtId="167" fontId="16" fillId="0" borderId="13" xfId="5" applyFont="1" applyFill="1" applyBorder="1" applyAlignment="1">
      <alignment horizontal="center" vertical="center" wrapText="1"/>
    </xf>
    <xf numFmtId="43" fontId="17" fillId="0" borderId="13" xfId="12" applyFont="1" applyFill="1" applyBorder="1" applyAlignment="1">
      <alignment horizontal="center" vertical="center"/>
    </xf>
    <xf numFmtId="43" fontId="17" fillId="0" borderId="13" xfId="12" applyFont="1" applyFill="1" applyBorder="1" applyAlignment="1">
      <alignment horizontal="right" vertical="center"/>
    </xf>
    <xf numFmtId="167" fontId="16" fillId="0" borderId="13" xfId="0" applyNumberFormat="1" applyFont="1" applyBorder="1" applyAlignment="1">
      <alignment horizontal="center" vertical="center"/>
    </xf>
    <xf numFmtId="0" fontId="17" fillId="0" borderId="13" xfId="12" applyNumberFormat="1" applyFont="1" applyFill="1" applyBorder="1" applyAlignment="1">
      <alignment horizontal="center" vertical="center" wrapText="1"/>
    </xf>
    <xf numFmtId="167" fontId="17" fillId="0" borderId="13" xfId="0" applyNumberFormat="1" applyFont="1" applyBorder="1" applyAlignment="1">
      <alignment vertical="center" wrapText="1"/>
    </xf>
    <xf numFmtId="167" fontId="16" fillId="0" borderId="13" xfId="0" applyNumberFormat="1" applyFont="1" applyBorder="1" applyAlignment="1">
      <alignment horizontal="center" vertical="center" wrapText="1"/>
    </xf>
    <xf numFmtId="168" fontId="17" fillId="6" borderId="13" xfId="0" applyFont="1" applyFill="1" applyBorder="1" applyAlignment="1">
      <alignment vertical="center" wrapText="1"/>
    </xf>
    <xf numFmtId="168" fontId="18" fillId="6" borderId="13" xfId="0" applyFont="1" applyFill="1" applyBorder="1" applyAlignment="1">
      <alignment horizontal="center" vertical="center" wrapText="1"/>
    </xf>
    <xf numFmtId="167" fontId="18" fillId="6" borderId="13" xfId="0" applyNumberFormat="1" applyFont="1" applyFill="1" applyBorder="1" applyAlignment="1">
      <alignment vertical="center" wrapText="1"/>
    </xf>
    <xf numFmtId="0" fontId="18" fillId="0" borderId="13" xfId="0" applyNumberFormat="1" applyFont="1" applyBorder="1" applyAlignment="1">
      <alignment horizontal="left" vertical="center"/>
    </xf>
    <xf numFmtId="167" fontId="17" fillId="7" borderId="13" xfId="0" applyNumberFormat="1" applyFont="1" applyFill="1" applyBorder="1" applyAlignment="1">
      <alignment vertical="center" wrapText="1"/>
    </xf>
    <xf numFmtId="167" fontId="18" fillId="7" borderId="13" xfId="0" applyNumberFormat="1" applyFont="1" applyFill="1" applyBorder="1" applyAlignment="1">
      <alignment horizontal="center" vertical="center" wrapText="1"/>
    </xf>
    <xf numFmtId="167" fontId="18" fillId="7" borderId="13" xfId="0" applyNumberFormat="1" applyFont="1" applyFill="1" applyBorder="1" applyAlignment="1">
      <alignment vertical="center" wrapText="1"/>
    </xf>
    <xf numFmtId="167" fontId="16" fillId="0" borderId="13" xfId="8" applyFont="1" applyFill="1" applyBorder="1" applyAlignment="1">
      <alignment horizontal="center" vertical="center" wrapText="1"/>
    </xf>
    <xf numFmtId="168" fontId="17" fillId="7" borderId="13" xfId="0" applyFont="1" applyFill="1" applyBorder="1" applyAlignment="1">
      <alignment vertical="center" wrapText="1"/>
    </xf>
    <xf numFmtId="0" fontId="17" fillId="0" borderId="13" xfId="0" applyNumberFormat="1" applyFont="1" applyBorder="1" applyAlignment="1" applyProtection="1">
      <alignment horizontal="center" vertical="center"/>
      <protection locked="0"/>
    </xf>
    <xf numFmtId="0" fontId="16" fillId="0" borderId="13" xfId="7" applyFont="1" applyBorder="1" applyAlignment="1">
      <alignment horizontal="center" vertical="center" wrapText="1"/>
    </xf>
    <xf numFmtId="167" fontId="17" fillId="0" borderId="13" xfId="8" applyFont="1" applyBorder="1" applyAlignment="1">
      <alignment horizontal="center" vertical="center"/>
    </xf>
    <xf numFmtId="0" fontId="18" fillId="10" borderId="13" xfId="0" applyNumberFormat="1" applyFont="1" applyFill="1" applyBorder="1" applyAlignment="1">
      <alignment horizontal="left" vertical="center"/>
    </xf>
    <xf numFmtId="0" fontId="18" fillId="10" borderId="13" xfId="0" applyNumberFormat="1" applyFont="1" applyFill="1" applyBorder="1" applyAlignment="1">
      <alignment horizontal="center" vertical="center"/>
    </xf>
    <xf numFmtId="168" fontId="18" fillId="10" borderId="13" xfId="0" applyFont="1" applyFill="1" applyBorder="1" applyAlignment="1">
      <alignment horizontal="center"/>
    </xf>
    <xf numFmtId="0" fontId="18" fillId="10" borderId="13" xfId="0" applyNumberFormat="1" applyFont="1" applyFill="1" applyBorder="1" applyAlignment="1">
      <alignment horizontal="justify" vertical="center" wrapText="1"/>
    </xf>
    <xf numFmtId="168" fontId="18" fillId="10" borderId="13" xfId="0" applyFont="1" applyFill="1" applyBorder="1" applyAlignment="1">
      <alignment horizontal="justify" vertical="center" wrapText="1"/>
    </xf>
    <xf numFmtId="0" fontId="18" fillId="10" borderId="13" xfId="0" applyNumberFormat="1" applyFont="1" applyFill="1" applyBorder="1" applyAlignment="1">
      <alignment horizontal="center" vertical="center" wrapText="1"/>
    </xf>
    <xf numFmtId="43" fontId="18" fillId="10" borderId="13" xfId="0" applyNumberFormat="1" applyFont="1" applyFill="1" applyBorder="1"/>
    <xf numFmtId="0" fontId="18" fillId="12" borderId="13" xfId="0" applyNumberFormat="1" applyFont="1" applyFill="1" applyBorder="1" applyAlignment="1">
      <alignment horizontal="left" vertical="center"/>
    </xf>
    <xf numFmtId="0" fontId="17" fillId="12" borderId="13" xfId="0" applyNumberFormat="1" applyFont="1" applyFill="1" applyBorder="1" applyAlignment="1">
      <alignment horizontal="center" vertical="center"/>
    </xf>
    <xf numFmtId="168" fontId="17" fillId="12" borderId="13" xfId="0" applyFont="1" applyFill="1" applyBorder="1" applyAlignment="1">
      <alignment horizontal="center"/>
    </xf>
    <xf numFmtId="0" fontId="17" fillId="12" borderId="13" xfId="0" applyNumberFormat="1" applyFont="1" applyFill="1" applyBorder="1" applyAlignment="1">
      <alignment horizontal="justify" vertical="center" wrapText="1"/>
    </xf>
    <xf numFmtId="168" fontId="17" fillId="12" borderId="13" xfId="0" applyFont="1" applyFill="1" applyBorder="1" applyAlignment="1">
      <alignment horizontal="justify" vertical="center" wrapText="1"/>
    </xf>
    <xf numFmtId="0" fontId="17" fillId="12" borderId="13" xfId="0" applyNumberFormat="1" applyFont="1" applyFill="1" applyBorder="1" applyAlignment="1">
      <alignment horizontal="center" vertical="center" wrapText="1"/>
    </xf>
    <xf numFmtId="168" fontId="17" fillId="12" borderId="13" xfId="0" applyFont="1" applyFill="1" applyBorder="1"/>
    <xf numFmtId="171" fontId="17" fillId="12" borderId="13" xfId="8" applyNumberFormat="1" applyFont="1" applyFill="1" applyBorder="1" applyAlignment="1">
      <alignment horizontal="center"/>
    </xf>
    <xf numFmtId="168" fontId="17" fillId="7" borderId="13" xfId="0" applyFont="1" applyFill="1" applyBorder="1" applyAlignment="1">
      <alignment horizontal="justify" vertical="center" wrapText="1"/>
    </xf>
    <xf numFmtId="43" fontId="3" fillId="0" borderId="13" xfId="0" applyNumberFormat="1" applyFont="1" applyFill="1" applyBorder="1"/>
    <xf numFmtId="43" fontId="3" fillId="11" borderId="13" xfId="0" applyNumberFormat="1" applyFont="1" applyFill="1" applyBorder="1"/>
    <xf numFmtId="167" fontId="18" fillId="7" borderId="15" xfId="0" applyNumberFormat="1" applyFont="1" applyFill="1" applyBorder="1" applyAlignment="1">
      <alignment vertical="center"/>
    </xf>
    <xf numFmtId="167" fontId="17" fillId="0" borderId="15" xfId="5" applyFont="1" applyFill="1" applyBorder="1" applyAlignment="1">
      <alignment horizontal="justify" vertical="center"/>
    </xf>
    <xf numFmtId="167" fontId="17" fillId="2" borderId="15" xfId="5" applyFont="1" applyFill="1" applyBorder="1" applyAlignment="1">
      <alignment horizontal="justify" vertical="center"/>
    </xf>
    <xf numFmtId="167" fontId="17" fillId="2" borderId="15" xfId="0" applyNumberFormat="1" applyFont="1" applyFill="1" applyBorder="1" applyAlignment="1">
      <alignment horizontal="justify" vertical="center" wrapText="1"/>
    </xf>
    <xf numFmtId="168" fontId="17" fillId="0" borderId="15" xfId="0" applyFont="1" applyBorder="1"/>
    <xf numFmtId="167" fontId="18" fillId="7" borderId="15" xfId="8" applyFont="1" applyFill="1" applyBorder="1" applyAlignment="1">
      <alignment horizontal="center" vertical="center"/>
    </xf>
    <xf numFmtId="168" fontId="17" fillId="2" borderId="15" xfId="0" applyFont="1" applyFill="1" applyBorder="1"/>
    <xf numFmtId="165" fontId="17" fillId="0" borderId="15" xfId="3" applyFont="1" applyFill="1" applyBorder="1" applyAlignment="1">
      <alignment horizontal="center" vertical="center"/>
    </xf>
    <xf numFmtId="167" fontId="17" fillId="0" borderId="15" xfId="8" applyFont="1" applyFill="1" applyBorder="1" applyAlignment="1">
      <alignment horizontal="center" vertical="center"/>
    </xf>
    <xf numFmtId="4" fontId="17" fillId="2" borderId="15" xfId="0" applyNumberFormat="1" applyFont="1" applyFill="1" applyBorder="1" applyAlignment="1">
      <alignment vertical="center"/>
    </xf>
    <xf numFmtId="43" fontId="18" fillId="7" borderId="15" xfId="0" applyNumberFormat="1" applyFont="1" applyFill="1" applyBorder="1" applyAlignment="1">
      <alignment vertical="center"/>
    </xf>
    <xf numFmtId="4" fontId="17" fillId="0" borderId="15" xfId="0" applyNumberFormat="1" applyFont="1" applyBorder="1" applyAlignment="1">
      <alignment vertical="center"/>
    </xf>
    <xf numFmtId="167" fontId="17" fillId="0" borderId="15" xfId="5" applyFont="1" applyFill="1" applyBorder="1" applyAlignment="1">
      <alignment horizontal="right" vertical="center"/>
    </xf>
    <xf numFmtId="167" fontId="17" fillId="2" borderId="15" xfId="8" applyFont="1" applyFill="1" applyBorder="1" applyAlignment="1">
      <alignment horizontal="center" vertical="center"/>
    </xf>
    <xf numFmtId="167" fontId="17" fillId="0" borderId="15" xfId="8" applyFont="1" applyFill="1" applyBorder="1" applyAlignment="1">
      <alignment vertical="center"/>
    </xf>
    <xf numFmtId="167" fontId="17" fillId="0" borderId="15" xfId="0" applyNumberFormat="1" applyFont="1" applyBorder="1" applyAlignment="1">
      <alignment vertical="center"/>
    </xf>
    <xf numFmtId="167" fontId="17" fillId="2" borderId="15" xfId="0" applyNumberFormat="1" applyFont="1" applyFill="1" applyBorder="1" applyAlignment="1">
      <alignment vertical="center"/>
    </xf>
    <xf numFmtId="167" fontId="18" fillId="9" borderId="15" xfId="0" applyNumberFormat="1" applyFont="1" applyFill="1" applyBorder="1" applyAlignment="1">
      <alignment vertical="center"/>
    </xf>
    <xf numFmtId="167" fontId="17" fillId="0" borderId="15" xfId="8" applyFont="1" applyFill="1" applyBorder="1" applyAlignment="1">
      <alignment horizontal="right" vertical="center"/>
    </xf>
    <xf numFmtId="167" fontId="17" fillId="0" borderId="15" xfId="5" applyFont="1" applyBorder="1" applyAlignment="1">
      <alignment horizontal="justify" vertical="center"/>
    </xf>
    <xf numFmtId="168" fontId="17" fillId="12" borderId="15" xfId="0" applyFont="1" applyFill="1" applyBorder="1"/>
    <xf numFmtId="43" fontId="3" fillId="0" borderId="5" xfId="0" applyNumberFormat="1" applyFont="1" applyFill="1" applyBorder="1"/>
    <xf numFmtId="43" fontId="3" fillId="11" borderId="7" xfId="0" applyNumberFormat="1" applyFont="1" applyFill="1" applyBorder="1"/>
    <xf numFmtId="167" fontId="18" fillId="7" borderId="16" xfId="0" applyNumberFormat="1" applyFont="1" applyFill="1" applyBorder="1" applyAlignment="1">
      <alignment vertical="center"/>
    </xf>
    <xf numFmtId="167" fontId="17" fillId="0" borderId="16" xfId="5" applyFont="1" applyFill="1" applyBorder="1" applyAlignment="1">
      <alignment horizontal="justify" vertical="center"/>
    </xf>
    <xf numFmtId="167" fontId="17" fillId="2" borderId="16" xfId="5" applyFont="1" applyFill="1" applyBorder="1" applyAlignment="1">
      <alignment horizontal="justify" vertical="center"/>
    </xf>
    <xf numFmtId="167" fontId="17" fillId="2" borderId="16" xfId="8" applyFont="1" applyFill="1" applyBorder="1" applyAlignment="1">
      <alignment vertical="center"/>
    </xf>
    <xf numFmtId="167" fontId="17" fillId="2" borderId="16" xfId="0" applyNumberFormat="1" applyFont="1" applyFill="1" applyBorder="1" applyAlignment="1">
      <alignment horizontal="justify" vertical="center" wrapText="1"/>
    </xf>
    <xf numFmtId="167" fontId="18" fillId="7" borderId="16" xfId="8" applyFont="1" applyFill="1" applyBorder="1" applyAlignment="1">
      <alignment horizontal="center" vertical="center"/>
    </xf>
    <xf numFmtId="168" fontId="17" fillId="2" borderId="16" xfId="0" applyFont="1" applyFill="1" applyBorder="1"/>
    <xf numFmtId="43" fontId="18" fillId="7" borderId="16" xfId="0" applyNumberFormat="1" applyFont="1" applyFill="1" applyBorder="1" applyAlignment="1">
      <alignment vertical="center"/>
    </xf>
    <xf numFmtId="167" fontId="17" fillId="0" borderId="16" xfId="0" applyNumberFormat="1" applyFont="1" applyBorder="1" applyAlignment="1">
      <alignment vertical="center"/>
    </xf>
    <xf numFmtId="167" fontId="17" fillId="2" borderId="16" xfId="0" applyNumberFormat="1" applyFont="1" applyFill="1" applyBorder="1" applyAlignment="1">
      <alignment vertical="center"/>
    </xf>
    <xf numFmtId="167" fontId="17" fillId="0" borderId="16" xfId="5" applyFont="1" applyBorder="1" applyAlignment="1">
      <alignment horizontal="justify" vertical="center"/>
    </xf>
    <xf numFmtId="168" fontId="17" fillId="12" borderId="16" xfId="0" applyFont="1" applyFill="1" applyBorder="1"/>
    <xf numFmtId="43" fontId="3" fillId="0" borderId="11" xfId="0" applyNumberFormat="1" applyFont="1" applyFill="1" applyBorder="1"/>
    <xf numFmtId="43" fontId="3" fillId="11" borderId="9" xfId="0" applyNumberFormat="1" applyFont="1" applyFill="1" applyBorder="1"/>
    <xf numFmtId="0" fontId="18" fillId="6" borderId="13" xfId="0" applyNumberFormat="1" applyFont="1" applyFill="1" applyBorder="1" applyAlignment="1">
      <alignment vertical="center"/>
    </xf>
    <xf numFmtId="168" fontId="18" fillId="6" borderId="13" xfId="0" applyNumberFormat="1" applyFont="1" applyFill="1" applyBorder="1" applyAlignment="1">
      <alignment vertical="center"/>
    </xf>
    <xf numFmtId="0" fontId="18" fillId="0" borderId="13" xfId="0" applyNumberFormat="1" applyFont="1" applyFill="1" applyBorder="1" applyAlignment="1">
      <alignment horizontal="center" vertical="center"/>
    </xf>
    <xf numFmtId="168" fontId="18" fillId="0" borderId="13" xfId="0" applyFont="1" applyFill="1" applyBorder="1" applyAlignment="1">
      <alignment horizontal="left" vertical="center"/>
    </xf>
    <xf numFmtId="168" fontId="18" fillId="0" borderId="13" xfId="0" applyFont="1" applyFill="1" applyBorder="1" applyAlignment="1">
      <alignment vertical="center"/>
    </xf>
    <xf numFmtId="175" fontId="18" fillId="6" borderId="13" xfId="0" applyNumberFormat="1" applyFont="1" applyFill="1" applyBorder="1" applyAlignment="1">
      <alignment vertical="center"/>
    </xf>
    <xf numFmtId="167" fontId="18" fillId="21" borderId="15" xfId="0" applyNumberFormat="1" applyFont="1" applyFill="1" applyBorder="1" applyAlignment="1">
      <alignment vertical="center"/>
    </xf>
    <xf numFmtId="168" fontId="17" fillId="0" borderId="13" xfId="0" applyFont="1" applyFill="1" applyBorder="1"/>
    <xf numFmtId="0" fontId="18" fillId="0" borderId="13" xfId="0" applyNumberFormat="1" applyFont="1" applyFill="1" applyBorder="1" applyAlignment="1">
      <alignment horizontal="center" vertical="center" wrapText="1"/>
    </xf>
    <xf numFmtId="168" fontId="2" fillId="0" borderId="0" xfId="0" applyFont="1" applyFill="1"/>
    <xf numFmtId="168" fontId="18" fillId="0" borderId="13" xfId="0" applyFont="1" applyFill="1" applyBorder="1" applyAlignment="1">
      <alignment horizontal="left" vertical="center" wrapText="1" indent="2"/>
    </xf>
    <xf numFmtId="168" fontId="18" fillId="0" borderId="13" xfId="0" applyFont="1" applyFill="1" applyBorder="1" applyAlignment="1">
      <alignment vertical="center" wrapText="1" indent="2"/>
    </xf>
    <xf numFmtId="168" fontId="18" fillId="0" borderId="13" xfId="0" applyFont="1" applyFill="1" applyBorder="1" applyAlignment="1">
      <alignment horizontal="left" vertical="center" wrapText="1"/>
    </xf>
    <xf numFmtId="0" fontId="20" fillId="5" borderId="19" xfId="0" applyNumberFormat="1" applyFont="1" applyFill="1" applyBorder="1" applyAlignment="1">
      <alignment horizontal="left" vertical="center"/>
    </xf>
    <xf numFmtId="0" fontId="20" fillId="5" borderId="19" xfId="0" applyNumberFormat="1" applyFont="1" applyFill="1" applyBorder="1" applyAlignment="1">
      <alignment horizontal="center" vertical="center"/>
    </xf>
    <xf numFmtId="168" fontId="20" fillId="5" borderId="19" xfId="0" applyFont="1" applyFill="1" applyBorder="1" applyAlignment="1">
      <alignment horizontal="center" vertical="center"/>
    </xf>
    <xf numFmtId="168" fontId="17" fillId="0" borderId="0" xfId="0" applyFont="1" applyBorder="1"/>
    <xf numFmtId="0" fontId="17" fillId="0" borderId="0" xfId="0" applyNumberFormat="1" applyFont="1" applyBorder="1" applyAlignment="1">
      <alignment horizontal="center" vertical="center"/>
    </xf>
    <xf numFmtId="168" fontId="17" fillId="0" borderId="0" xfId="0" applyFont="1" applyBorder="1" applyAlignment="1">
      <alignment horizontal="center"/>
    </xf>
    <xf numFmtId="170" fontId="17" fillId="0" borderId="15" xfId="5" applyNumberFormat="1" applyFont="1" applyFill="1" applyBorder="1" applyAlignment="1">
      <alignment horizontal="center" vertical="center" wrapText="1"/>
    </xf>
    <xf numFmtId="0" fontId="17" fillId="0" borderId="17" xfId="0" applyNumberFormat="1" applyFont="1" applyBorder="1" applyAlignment="1">
      <alignment horizontal="center" vertical="center" wrapText="1"/>
    </xf>
    <xf numFmtId="0" fontId="17" fillId="0" borderId="19" xfId="0" applyNumberFormat="1" applyFont="1" applyBorder="1" applyAlignment="1">
      <alignment horizontal="center" vertical="center" wrapText="1"/>
    </xf>
    <xf numFmtId="168" fontId="18" fillId="0" borderId="13" xfId="0" applyFont="1" applyFill="1" applyBorder="1" applyAlignment="1">
      <alignment vertical="center" wrapText="1"/>
    </xf>
    <xf numFmtId="168" fontId="17" fillId="0" borderId="15" xfId="0" applyFont="1" applyBorder="1" applyAlignment="1">
      <alignment horizontal="center" vertical="center" wrapText="1"/>
    </xf>
    <xf numFmtId="0" fontId="18" fillId="7" borderId="17" xfId="0" applyNumberFormat="1" applyFont="1" applyFill="1" applyBorder="1" applyAlignment="1">
      <alignment horizontal="center" vertical="center" wrapText="1"/>
    </xf>
    <xf numFmtId="0" fontId="2" fillId="11" borderId="0" xfId="0" applyNumberFormat="1" applyFont="1" applyFill="1" applyAlignment="1">
      <alignment horizontal="left" vertical="center"/>
    </xf>
    <xf numFmtId="168" fontId="17" fillId="0" borderId="15" xfId="0" applyFont="1" applyBorder="1" applyAlignment="1">
      <alignment horizontal="center" vertical="center"/>
    </xf>
    <xf numFmtId="0" fontId="17" fillId="0" borderId="15" xfId="7" applyFont="1" applyBorder="1" applyAlignment="1">
      <alignment horizontal="center" vertical="center" wrapText="1"/>
    </xf>
    <xf numFmtId="167" fontId="3" fillId="0" borderId="0" xfId="0" applyNumberFormat="1" applyFont="1" applyFill="1" applyAlignment="1">
      <alignment vertical="center"/>
    </xf>
    <xf numFmtId="0" fontId="17" fillId="0" borderId="13" xfId="0" applyNumberFormat="1" applyFont="1" applyFill="1" applyBorder="1" applyAlignment="1">
      <alignment horizontal="center" vertical="center" wrapText="1"/>
    </xf>
    <xf numFmtId="0" fontId="18" fillId="6" borderId="13" xfId="0" applyNumberFormat="1" applyFont="1" applyFill="1" applyBorder="1" applyAlignment="1">
      <alignment horizontal="center" vertical="center"/>
    </xf>
    <xf numFmtId="168" fontId="3" fillId="0" borderId="0" xfId="0" applyFont="1" applyFill="1" applyAlignment="1">
      <alignment vertical="center"/>
    </xf>
    <xf numFmtId="168" fontId="16" fillId="0" borderId="13" xfId="0" applyFont="1" applyFill="1" applyBorder="1"/>
    <xf numFmtId="0" fontId="18" fillId="0" borderId="13" xfId="7" applyFont="1" applyFill="1" applyBorder="1" applyAlignment="1">
      <alignment horizontal="left" vertical="center"/>
    </xf>
    <xf numFmtId="168" fontId="6" fillId="0" borderId="0" xfId="0" applyFont="1" applyFill="1"/>
    <xf numFmtId="43" fontId="18" fillId="2" borderId="13" xfId="8" applyNumberFormat="1" applyFont="1" applyFill="1" applyBorder="1" applyAlignment="1">
      <alignment horizontal="center"/>
    </xf>
    <xf numFmtId="0" fontId="17" fillId="0" borderId="13" xfId="7" applyFont="1" applyFill="1" applyBorder="1" applyAlignment="1">
      <alignment horizontal="center" vertical="center" wrapText="1"/>
    </xf>
    <xf numFmtId="1" fontId="17" fillId="0" borderId="13" xfId="0" applyNumberFormat="1" applyFont="1" applyFill="1" applyBorder="1" applyAlignment="1">
      <alignment horizontal="center" vertical="center" wrapText="1"/>
    </xf>
    <xf numFmtId="168" fontId="18" fillId="9" borderId="13" xfId="0" applyNumberFormat="1" applyFont="1" applyFill="1" applyBorder="1" applyAlignment="1">
      <alignment horizontal="left" vertical="center" wrapText="1"/>
    </xf>
    <xf numFmtId="168" fontId="2" fillId="0" borderId="0" xfId="0" applyFont="1" applyFill="1" applyAlignment="1">
      <alignment vertical="center"/>
    </xf>
    <xf numFmtId="168" fontId="6" fillId="2" borderId="0" xfId="0" applyFont="1" applyFill="1" applyAlignment="1">
      <alignment vertical="center"/>
    </xf>
    <xf numFmtId="168" fontId="6" fillId="0" borderId="0" xfId="0" applyFont="1" applyFill="1" applyAlignment="1">
      <alignment vertical="center"/>
    </xf>
    <xf numFmtId="168" fontId="22" fillId="0" borderId="13" xfId="0" applyFont="1" applyFill="1" applyBorder="1" applyAlignment="1">
      <alignment horizontal="center" vertical="center" wrapText="1"/>
    </xf>
    <xf numFmtId="0" fontId="18" fillId="9" borderId="13" xfId="0" applyNumberFormat="1" applyFont="1" applyFill="1" applyBorder="1" applyAlignment="1">
      <alignment horizontal="left" vertical="center"/>
    </xf>
    <xf numFmtId="0" fontId="18" fillId="9" borderId="13" xfId="0" applyNumberFormat="1" applyFont="1" applyFill="1" applyBorder="1" applyAlignment="1">
      <alignment horizontal="center" vertical="center"/>
    </xf>
    <xf numFmtId="0" fontId="18" fillId="0" borderId="13" xfId="0" applyNumberFormat="1" applyFont="1" applyFill="1" applyBorder="1" applyAlignment="1">
      <alignment horizontal="left" vertical="center"/>
    </xf>
    <xf numFmtId="168" fontId="16" fillId="0" borderId="0" xfId="0" applyFont="1"/>
    <xf numFmtId="168" fontId="17" fillId="0" borderId="0" xfId="0" applyFont="1"/>
    <xf numFmtId="0" fontId="17" fillId="0" borderId="0" xfId="0" applyNumberFormat="1" applyFont="1" applyAlignment="1">
      <alignment horizontal="center" vertical="center"/>
    </xf>
    <xf numFmtId="168" fontId="17" fillId="0" borderId="0" xfId="0" applyFont="1" applyAlignment="1">
      <alignment horizontal="center"/>
    </xf>
    <xf numFmtId="168" fontId="16" fillId="2" borderId="0" xfId="0" applyFont="1" applyFill="1" applyAlignment="1">
      <alignment vertical="center"/>
    </xf>
    <xf numFmtId="168" fontId="16" fillId="2" borderId="0" xfId="0" applyFont="1" applyFill="1"/>
    <xf numFmtId="0" fontId="3" fillId="4" borderId="0" xfId="0" applyNumberFormat="1" applyFont="1" applyFill="1" applyAlignment="1">
      <alignment horizontal="left" vertical="center"/>
    </xf>
    <xf numFmtId="0" fontId="3" fillId="4" borderId="0" xfId="0" applyNumberFormat="1" applyFont="1" applyFill="1" applyAlignment="1">
      <alignment horizontal="center" vertical="center"/>
    </xf>
    <xf numFmtId="0" fontId="2" fillId="4" borderId="0" xfId="0" applyNumberFormat="1" applyFont="1" applyFill="1" applyAlignment="1">
      <alignment horizontal="center" vertical="center"/>
    </xf>
    <xf numFmtId="168" fontId="2" fillId="4" borderId="0" xfId="0" applyFont="1" applyFill="1" applyAlignment="1">
      <alignment horizontal="center"/>
    </xf>
    <xf numFmtId="0" fontId="26" fillId="16" borderId="13" xfId="0" applyNumberFormat="1" applyFont="1" applyFill="1" applyBorder="1" applyAlignment="1">
      <alignment horizontal="center" vertical="center"/>
    </xf>
    <xf numFmtId="168" fontId="18" fillId="9" borderId="13" xfId="0" applyNumberFormat="1" applyFont="1" applyFill="1" applyBorder="1" applyAlignment="1">
      <alignment horizontal="left" vertical="center"/>
    </xf>
    <xf numFmtId="168" fontId="18" fillId="9" borderId="13" xfId="0" applyFont="1" applyFill="1" applyBorder="1" applyAlignment="1">
      <alignment horizontal="left" vertical="center"/>
    </xf>
    <xf numFmtId="168" fontId="2" fillId="4" borderId="0" xfId="0" applyFont="1" applyFill="1" applyAlignment="1">
      <alignment horizontal="center" vertical="center"/>
    </xf>
    <xf numFmtId="168" fontId="17" fillId="4" borderId="0" xfId="0" applyFont="1" applyFill="1" applyAlignment="1">
      <alignment horizontal="center" vertical="center"/>
    </xf>
    <xf numFmtId="0" fontId="22" fillId="16" borderId="13" xfId="6" applyNumberFormat="1" applyFont="1" applyFill="1" applyBorder="1" applyAlignment="1">
      <alignment horizontal="center" vertical="center" wrapText="1"/>
    </xf>
    <xf numFmtId="168" fontId="17" fillId="0" borderId="13" xfId="0" applyFont="1" applyFill="1" applyBorder="1" applyAlignment="1">
      <alignment horizontal="justify" vertical="center" wrapText="1"/>
    </xf>
    <xf numFmtId="0" fontId="17" fillId="16" borderId="13" xfId="12" applyNumberFormat="1" applyFont="1" applyFill="1" applyBorder="1" applyAlignment="1">
      <alignment horizontal="center" vertical="center" wrapText="1"/>
    </xf>
    <xf numFmtId="0" fontId="17" fillId="0" borderId="13" xfId="7" applyFont="1" applyFill="1" applyBorder="1" applyAlignment="1">
      <alignment horizontal="justify" vertical="center" wrapText="1"/>
    </xf>
    <xf numFmtId="168" fontId="18" fillId="2" borderId="13" xfId="0" applyFont="1" applyFill="1" applyBorder="1"/>
    <xf numFmtId="0" fontId="19" fillId="4" borderId="20" xfId="0" applyNumberFormat="1" applyFont="1" applyFill="1" applyBorder="1" applyAlignment="1">
      <alignment horizontal="center" vertical="center" wrapText="1"/>
    </xf>
    <xf numFmtId="0" fontId="19" fillId="4" borderId="21" xfId="0" applyNumberFormat="1" applyFont="1" applyFill="1" applyBorder="1" applyAlignment="1">
      <alignment horizontal="center" vertical="center" wrapText="1"/>
    </xf>
    <xf numFmtId="170" fontId="19" fillId="4" borderId="21" xfId="5" applyNumberFormat="1" applyFont="1" applyFill="1" applyBorder="1" applyAlignment="1">
      <alignment horizontal="center" vertical="center" wrapText="1"/>
    </xf>
    <xf numFmtId="170" fontId="19" fillId="4" borderId="22" xfId="5" applyNumberFormat="1" applyFont="1" applyFill="1" applyBorder="1" applyAlignment="1">
      <alignment horizontal="center" vertical="center" wrapText="1"/>
    </xf>
    <xf numFmtId="170" fontId="19" fillId="4" borderId="13" xfId="5" applyNumberFormat="1" applyFont="1" applyFill="1" applyBorder="1" applyAlignment="1">
      <alignment horizontal="center" vertical="center" wrapText="1"/>
    </xf>
    <xf numFmtId="168" fontId="18" fillId="0" borderId="0" xfId="0" applyFont="1" applyFill="1" applyBorder="1" applyAlignment="1">
      <alignment vertical="center"/>
    </xf>
    <xf numFmtId="168" fontId="2" fillId="2" borderId="0" xfId="0" applyFont="1" applyFill="1" applyBorder="1"/>
    <xf numFmtId="168" fontId="4" fillId="2" borderId="0" xfId="0" applyFont="1" applyFill="1" applyBorder="1" applyAlignment="1">
      <alignment horizontal="center" vertical="center"/>
    </xf>
    <xf numFmtId="168" fontId="3" fillId="2" borderId="0" xfId="0" applyFont="1" applyFill="1" applyBorder="1" applyAlignment="1">
      <alignment vertical="center"/>
    </xf>
    <xf numFmtId="168" fontId="2" fillId="0" borderId="0" xfId="0" applyFont="1" applyFill="1" applyBorder="1"/>
    <xf numFmtId="168" fontId="6" fillId="2" borderId="0" xfId="0" applyFont="1" applyFill="1" applyBorder="1"/>
    <xf numFmtId="168" fontId="2" fillId="0" borderId="0" xfId="0" applyFont="1" applyBorder="1"/>
    <xf numFmtId="168" fontId="3" fillId="0" borderId="0" xfId="0" applyFont="1" applyFill="1" applyBorder="1" applyAlignment="1">
      <alignment vertical="center"/>
    </xf>
    <xf numFmtId="168" fontId="6" fillId="0" borderId="0" xfId="0" applyFont="1" applyFill="1" applyBorder="1"/>
    <xf numFmtId="168" fontId="3" fillId="2" borderId="0" xfId="0" applyFont="1" applyFill="1" applyBorder="1"/>
    <xf numFmtId="168" fontId="16" fillId="2" borderId="0" xfId="0" applyFont="1" applyFill="1" applyBorder="1"/>
    <xf numFmtId="168" fontId="3" fillId="0" borderId="0" xfId="0" applyFont="1" applyFill="1" applyBorder="1"/>
    <xf numFmtId="170" fontId="19" fillId="4" borderId="23" xfId="5" applyNumberFormat="1" applyFont="1" applyFill="1" applyBorder="1" applyAlignment="1">
      <alignment horizontal="center" vertical="center" wrapText="1"/>
    </xf>
    <xf numFmtId="168" fontId="20" fillId="5" borderId="15" xfId="0" applyFont="1" applyFill="1" applyBorder="1" applyAlignment="1">
      <alignment horizontal="center" vertical="center"/>
    </xf>
    <xf numFmtId="168" fontId="18" fillId="0" borderId="15" xfId="0" applyFont="1" applyFill="1" applyBorder="1" applyAlignment="1">
      <alignment vertical="center"/>
    </xf>
    <xf numFmtId="170" fontId="19" fillId="4" borderId="17" xfId="5" applyNumberFormat="1" applyFont="1" applyFill="1" applyBorder="1" applyAlignment="1">
      <alignment horizontal="center" vertical="center" wrapText="1"/>
    </xf>
    <xf numFmtId="168" fontId="19" fillId="4" borderId="21" xfId="0" applyFont="1" applyFill="1" applyBorder="1" applyAlignment="1">
      <alignment horizontal="center" vertical="center" wrapText="1"/>
    </xf>
    <xf numFmtId="3" fontId="17" fillId="0" borderId="13" xfId="0" applyNumberFormat="1" applyFont="1" applyBorder="1" applyAlignment="1">
      <alignment horizontal="center" vertical="center" wrapText="1"/>
    </xf>
    <xf numFmtId="168" fontId="17" fillId="0" borderId="13" xfId="0" applyFont="1" applyFill="1" applyBorder="1" applyAlignment="1">
      <alignment horizontal="center" vertical="center" wrapText="1"/>
    </xf>
    <xf numFmtId="168" fontId="17" fillId="0" borderId="13" xfId="0" applyFont="1" applyBorder="1" applyAlignment="1">
      <alignment horizontal="left" vertical="center" wrapText="1"/>
    </xf>
    <xf numFmtId="168" fontId="16" fillId="0" borderId="13" xfId="0" applyFont="1" applyFill="1" applyBorder="1" applyAlignment="1">
      <alignment horizontal="center" vertical="center" wrapText="1"/>
    </xf>
    <xf numFmtId="168" fontId="17" fillId="0" borderId="13" xfId="0" applyFont="1" applyBorder="1" applyAlignment="1">
      <alignment horizontal="center" vertical="center" wrapText="1"/>
    </xf>
    <xf numFmtId="0" fontId="17" fillId="0" borderId="13" xfId="0" applyNumberFormat="1" applyFont="1" applyBorder="1" applyAlignment="1">
      <alignment horizontal="left" vertical="center" wrapText="1"/>
    </xf>
    <xf numFmtId="1" fontId="17" fillId="0" borderId="13" xfId="0" applyNumberFormat="1" applyFont="1" applyBorder="1" applyAlignment="1">
      <alignment horizontal="center" vertical="center"/>
    </xf>
    <xf numFmtId="0" fontId="17" fillId="2" borderId="13" xfId="7" applyFont="1" applyFill="1" applyBorder="1" applyAlignment="1">
      <alignment horizontal="center" vertical="center" wrapText="1"/>
    </xf>
    <xf numFmtId="0" fontId="17" fillId="0" borderId="13" xfId="0" applyNumberFormat="1" applyFont="1" applyBorder="1" applyAlignment="1">
      <alignment horizontal="center" vertical="center" wrapText="1"/>
    </xf>
    <xf numFmtId="168" fontId="17" fillId="0" borderId="13" xfId="0" applyFont="1" applyBorder="1" applyAlignment="1">
      <alignment horizontal="center" vertical="center"/>
    </xf>
    <xf numFmtId="0" fontId="16" fillId="0" borderId="13" xfId="0" applyNumberFormat="1" applyFont="1" applyBorder="1" applyAlignment="1">
      <alignment horizontal="center" vertical="center" wrapText="1"/>
    </xf>
    <xf numFmtId="0" fontId="16" fillId="0" borderId="13" xfId="0" applyNumberFormat="1" applyFont="1" applyBorder="1" applyAlignment="1">
      <alignment horizontal="left" vertical="center" wrapText="1"/>
    </xf>
    <xf numFmtId="168" fontId="22" fillId="19" borderId="13" xfId="0" applyFont="1" applyFill="1" applyBorder="1" applyAlignment="1">
      <alignment horizontal="center" vertical="center" wrapText="1"/>
    </xf>
    <xf numFmtId="0" fontId="17" fillId="0" borderId="13" xfId="7" applyFont="1" applyBorder="1" applyAlignment="1">
      <alignment horizontal="center" vertical="center" wrapText="1"/>
    </xf>
    <xf numFmtId="170" fontId="19" fillId="4" borderId="7" xfId="5" applyNumberFormat="1" applyFont="1" applyFill="1" applyBorder="1" applyAlignment="1">
      <alignment horizontal="center" vertical="center" wrapText="1"/>
    </xf>
    <xf numFmtId="167" fontId="18" fillId="7" borderId="19" xfId="0" applyNumberFormat="1" applyFont="1" applyFill="1" applyBorder="1" applyAlignment="1">
      <alignment vertical="center"/>
    </xf>
    <xf numFmtId="168" fontId="17" fillId="15" borderId="13" xfId="0" applyFont="1" applyFill="1" applyBorder="1" applyAlignment="1">
      <alignment horizontal="center" vertical="center"/>
    </xf>
    <xf numFmtId="0" fontId="17" fillId="2" borderId="13" xfId="7" applyFont="1" applyFill="1" applyBorder="1" applyAlignment="1">
      <alignment horizontal="center" vertical="center" wrapText="1"/>
    </xf>
    <xf numFmtId="168" fontId="18" fillId="7" borderId="15" xfId="0" applyFont="1" applyFill="1" applyBorder="1" applyAlignment="1">
      <alignment vertical="center"/>
    </xf>
    <xf numFmtId="168" fontId="18" fillId="7" borderId="18" xfId="0" applyFont="1" applyFill="1" applyBorder="1" applyAlignment="1">
      <alignment vertical="center"/>
    </xf>
    <xf numFmtId="168" fontId="18" fillId="7" borderId="16" xfId="0" applyFont="1" applyFill="1" applyBorder="1" applyAlignment="1">
      <alignment vertical="center"/>
    </xf>
    <xf numFmtId="168" fontId="19" fillId="4" borderId="3" xfId="0" applyFont="1" applyFill="1" applyBorder="1" applyAlignment="1">
      <alignment horizontal="justify" vertical="center" wrapText="1"/>
    </xf>
    <xf numFmtId="168" fontId="3" fillId="0" borderId="2" xfId="0" applyFont="1" applyBorder="1" applyAlignment="1">
      <alignment horizontal="justify" vertical="center" wrapText="1"/>
    </xf>
    <xf numFmtId="168" fontId="3" fillId="0" borderId="0" xfId="0" applyFont="1" applyAlignment="1">
      <alignment horizontal="justify" vertical="center" wrapText="1"/>
    </xf>
    <xf numFmtId="168" fontId="3" fillId="0" borderId="6" xfId="0" applyFont="1" applyBorder="1" applyAlignment="1">
      <alignment horizontal="justify" vertical="center" wrapText="1"/>
    </xf>
    <xf numFmtId="0" fontId="24" fillId="7" borderId="13" xfId="0" applyNumberFormat="1" applyFont="1" applyFill="1" applyBorder="1" applyAlignment="1">
      <alignment horizontal="justify" vertical="center" wrapText="1"/>
    </xf>
    <xf numFmtId="168" fontId="16" fillId="0" borderId="13" xfId="0" applyFont="1" applyFill="1" applyBorder="1" applyAlignment="1">
      <alignment horizontal="justify" vertical="center" wrapText="1"/>
    </xf>
    <xf numFmtId="168" fontId="17" fillId="15" borderId="13" xfId="0" applyFont="1" applyFill="1" applyBorder="1" applyAlignment="1">
      <alignment horizontal="justify" vertical="center" wrapText="1"/>
    </xf>
    <xf numFmtId="168" fontId="24" fillId="7" borderId="13" xfId="0" applyFont="1" applyFill="1" applyBorder="1" applyAlignment="1">
      <alignment horizontal="justify" vertical="center" wrapText="1"/>
    </xf>
    <xf numFmtId="0" fontId="16" fillId="0" borderId="13" xfId="0" applyNumberFormat="1" applyFont="1" applyFill="1" applyBorder="1" applyAlignment="1">
      <alignment horizontal="justify" vertical="center" wrapText="1"/>
    </xf>
    <xf numFmtId="168" fontId="22" fillId="0" borderId="13" xfId="0" applyFont="1" applyFill="1" applyBorder="1" applyAlignment="1">
      <alignment horizontal="justify" vertical="center" wrapText="1"/>
    </xf>
    <xf numFmtId="168" fontId="16" fillId="15" borderId="13" xfId="0" applyFont="1" applyFill="1" applyBorder="1" applyAlignment="1">
      <alignment horizontal="justify" vertical="center" wrapText="1"/>
    </xf>
    <xf numFmtId="168" fontId="16" fillId="15" borderId="13" xfId="0" applyFont="1" applyFill="1" applyBorder="1" applyAlignment="1">
      <alignment horizontal="justify" vertical="center"/>
    </xf>
    <xf numFmtId="0" fontId="16" fillId="0" borderId="13" xfId="0" applyNumberFormat="1" applyFont="1" applyBorder="1" applyAlignment="1">
      <alignment horizontal="justify" vertical="center"/>
    </xf>
    <xf numFmtId="0" fontId="18" fillId="7" borderId="13" xfId="0" applyNumberFormat="1" applyFont="1" applyFill="1" applyBorder="1" applyAlignment="1">
      <alignment horizontal="justify" vertical="center" wrapText="1"/>
    </xf>
    <xf numFmtId="168" fontId="17" fillId="0" borderId="13" xfId="0" applyFont="1" applyFill="1" applyBorder="1" applyAlignment="1" applyProtection="1">
      <alignment horizontal="justify" vertical="center" wrapText="1"/>
      <protection locked="0"/>
    </xf>
    <xf numFmtId="0" fontId="18" fillId="6" borderId="13" xfId="0" applyNumberFormat="1" applyFont="1" applyFill="1" applyBorder="1" applyAlignment="1">
      <alignment horizontal="justify" vertical="center" wrapText="1"/>
    </xf>
    <xf numFmtId="0" fontId="17" fillId="0" borderId="13" xfId="0" applyNumberFormat="1" applyFont="1" applyBorder="1" applyAlignment="1" applyProtection="1">
      <alignment horizontal="justify" vertical="center" wrapText="1"/>
      <protection locked="0"/>
    </xf>
    <xf numFmtId="0" fontId="18" fillId="9" borderId="13" xfId="0" applyNumberFormat="1" applyFont="1" applyFill="1" applyBorder="1" applyAlignment="1">
      <alignment horizontal="justify" vertical="center" wrapText="1"/>
    </xf>
    <xf numFmtId="3" fontId="16" fillId="0" borderId="13" xfId="0" applyNumberFormat="1" applyFont="1" applyBorder="1" applyAlignment="1">
      <alignment horizontal="justify" vertical="center" wrapText="1"/>
    </xf>
    <xf numFmtId="170" fontId="17" fillId="0" borderId="13" xfId="0" applyNumberFormat="1" applyFont="1" applyFill="1" applyBorder="1" applyAlignment="1">
      <alignment horizontal="justify" vertical="center" wrapText="1"/>
    </xf>
    <xf numFmtId="0" fontId="17" fillId="0" borderId="13" xfId="0" applyNumberFormat="1" applyFont="1" applyFill="1" applyBorder="1" applyAlignment="1" applyProtection="1">
      <alignment horizontal="justify" vertical="center" wrapText="1"/>
      <protection locked="0"/>
    </xf>
    <xf numFmtId="0" fontId="3" fillId="0" borderId="2" xfId="0" applyNumberFormat="1" applyFont="1" applyBorder="1" applyAlignment="1">
      <alignment horizontal="justify" vertical="center" wrapText="1"/>
    </xf>
    <xf numFmtId="0" fontId="3" fillId="0" borderId="0" xfId="0" applyNumberFormat="1" applyFont="1" applyAlignment="1">
      <alignment horizontal="justify" vertical="center" wrapText="1"/>
    </xf>
    <xf numFmtId="0" fontId="3" fillId="0" borderId="6" xfId="0" applyNumberFormat="1" applyFont="1" applyBorder="1" applyAlignment="1">
      <alignment horizontal="justify" vertical="center" wrapText="1"/>
    </xf>
    <xf numFmtId="0" fontId="6" fillId="0" borderId="2" xfId="0" applyNumberFormat="1" applyFont="1" applyBorder="1" applyAlignment="1">
      <alignment horizontal="justify" vertical="center" wrapText="1"/>
    </xf>
    <xf numFmtId="0" fontId="16" fillId="0" borderId="13" xfId="7" applyNumberFormat="1" applyFont="1" applyBorder="1" applyAlignment="1">
      <alignment horizontal="justify" vertical="center"/>
    </xf>
    <xf numFmtId="0" fontId="16" fillId="0" borderId="13" xfId="0" applyNumberFormat="1" applyFont="1" applyBorder="1" applyAlignment="1" applyProtection="1">
      <alignment horizontal="justify" vertical="center" wrapText="1"/>
      <protection locked="0"/>
    </xf>
    <xf numFmtId="0" fontId="17" fillId="0" borderId="13" xfId="0" applyNumberFormat="1" applyFont="1" applyBorder="1" applyAlignment="1">
      <alignment horizontal="justify" vertical="center"/>
    </xf>
    <xf numFmtId="0" fontId="22" fillId="0" borderId="13" xfId="0" applyNumberFormat="1" applyFont="1" applyBorder="1" applyAlignment="1">
      <alignment horizontal="justify" vertical="center" wrapText="1"/>
    </xf>
    <xf numFmtId="0" fontId="17" fillId="0" borderId="13" xfId="0" applyNumberFormat="1" applyFont="1" applyFill="1" applyBorder="1" applyAlignment="1">
      <alignment horizontal="justify" vertical="center" wrapText="1"/>
    </xf>
    <xf numFmtId="0" fontId="18" fillId="7" borderId="13" xfId="0" applyNumberFormat="1" applyFont="1" applyFill="1" applyBorder="1" applyAlignment="1">
      <alignment horizontal="justify" vertical="center"/>
    </xf>
    <xf numFmtId="0" fontId="17" fillId="2" borderId="13" xfId="8" applyNumberFormat="1" applyFont="1" applyFill="1" applyBorder="1" applyAlignment="1">
      <alignment horizontal="justify" vertical="center" wrapText="1"/>
    </xf>
    <xf numFmtId="0" fontId="16" fillId="0" borderId="13" xfId="7" applyNumberFormat="1" applyFont="1" applyBorder="1" applyAlignment="1">
      <alignment horizontal="justify" vertical="center" wrapText="1"/>
    </xf>
    <xf numFmtId="0" fontId="17" fillId="7" borderId="13" xfId="0" applyNumberFormat="1" applyFont="1" applyFill="1" applyBorder="1" applyAlignment="1">
      <alignment horizontal="justify" vertical="center" wrapText="1"/>
    </xf>
    <xf numFmtId="0" fontId="19" fillId="4" borderId="3" xfId="0" applyNumberFormat="1" applyFont="1" applyFill="1" applyBorder="1" applyAlignment="1">
      <alignment horizontal="center" vertical="center"/>
    </xf>
    <xf numFmtId="0" fontId="17" fillId="7" borderId="13" xfId="0" applyNumberFormat="1" applyFont="1" applyFill="1" applyBorder="1" applyAlignment="1">
      <alignment horizontal="justify" vertical="justify"/>
    </xf>
    <xf numFmtId="167" fontId="17" fillId="2" borderId="13" xfId="5" applyFont="1" applyFill="1" applyBorder="1" applyAlignment="1">
      <alignment horizontal="center" vertical="center" wrapText="1"/>
    </xf>
    <xf numFmtId="168" fontId="2" fillId="2" borderId="13" xfId="0" applyFont="1" applyFill="1" applyBorder="1"/>
    <xf numFmtId="0" fontId="18" fillId="2" borderId="13" xfId="0" applyNumberFormat="1" applyFont="1" applyFill="1" applyBorder="1" applyAlignment="1">
      <alignment horizontal="left" vertical="center"/>
    </xf>
    <xf numFmtId="0" fontId="18" fillId="2" borderId="13" xfId="0" applyNumberFormat="1" applyFont="1" applyFill="1" applyBorder="1" applyAlignment="1">
      <alignment horizontal="center" vertical="center"/>
    </xf>
    <xf numFmtId="168" fontId="18" fillId="2" borderId="13" xfId="0" applyFont="1" applyFill="1" applyBorder="1" applyAlignment="1">
      <alignment horizontal="center"/>
    </xf>
    <xf numFmtId="0" fontId="18" fillId="2" borderId="13" xfId="0" applyNumberFormat="1" applyFont="1" applyFill="1" applyBorder="1" applyAlignment="1">
      <alignment horizontal="justify" vertical="center" wrapText="1"/>
    </xf>
    <xf numFmtId="168" fontId="18" fillId="2" borderId="13" xfId="0" applyFont="1" applyFill="1" applyBorder="1" applyAlignment="1">
      <alignment horizontal="justify" vertical="center" wrapText="1"/>
    </xf>
    <xf numFmtId="168" fontId="18" fillId="2" borderId="16" xfId="0" applyFont="1" applyFill="1" applyBorder="1"/>
    <xf numFmtId="168" fontId="3" fillId="2" borderId="13" xfId="0" applyFont="1" applyFill="1" applyBorder="1"/>
    <xf numFmtId="0" fontId="3" fillId="2" borderId="13" xfId="0" applyNumberFormat="1" applyFont="1" applyFill="1" applyBorder="1" applyAlignment="1">
      <alignment horizontal="left" vertical="center"/>
    </xf>
    <xf numFmtId="0" fontId="18" fillId="7" borderId="15" xfId="0" applyNumberFormat="1" applyFont="1" applyFill="1" applyBorder="1" applyAlignment="1">
      <alignment vertical="center"/>
    </xf>
    <xf numFmtId="0" fontId="18" fillId="7" borderId="16" xfId="0" applyNumberFormat="1" applyFont="1" applyFill="1" applyBorder="1" applyAlignment="1">
      <alignment vertical="center"/>
    </xf>
    <xf numFmtId="173" fontId="16" fillId="2" borderId="13" xfId="4" applyNumberFormat="1" applyFont="1" applyFill="1" applyBorder="1" applyAlignment="1">
      <alignment horizontal="center" vertical="center"/>
    </xf>
    <xf numFmtId="173" fontId="17" fillId="2" borderId="13" xfId="4" applyNumberFormat="1" applyFont="1" applyFill="1" applyBorder="1" applyAlignment="1">
      <alignment horizontal="center" vertical="center"/>
    </xf>
    <xf numFmtId="167" fontId="17" fillId="2" borderId="13" xfId="8" applyNumberFormat="1" applyFont="1" applyFill="1" applyBorder="1" applyAlignment="1">
      <alignment horizontal="right" vertical="center" wrapText="1"/>
    </xf>
    <xf numFmtId="0" fontId="18" fillId="7" borderId="15" xfId="7" applyFont="1" applyFill="1" applyBorder="1" applyAlignment="1">
      <alignment vertical="center"/>
    </xf>
    <xf numFmtId="0" fontId="18" fillId="7" borderId="16" xfId="7" applyFont="1" applyFill="1" applyBorder="1" applyAlignment="1">
      <alignment vertical="center"/>
    </xf>
    <xf numFmtId="173" fontId="17" fillId="0" borderId="13" xfId="4" applyNumberFormat="1" applyFont="1" applyFill="1" applyBorder="1" applyAlignment="1">
      <alignment horizontal="justify" vertical="center"/>
    </xf>
    <xf numFmtId="168" fontId="17" fillId="14" borderId="13" xfId="0" applyFont="1" applyFill="1" applyBorder="1"/>
    <xf numFmtId="0" fontId="18" fillId="14" borderId="13" xfId="0" applyNumberFormat="1" applyFont="1" applyFill="1" applyBorder="1" applyAlignment="1">
      <alignment horizontal="left" vertical="center"/>
    </xf>
    <xf numFmtId="0" fontId="17" fillId="14" borderId="13" xfId="0" applyNumberFormat="1" applyFont="1" applyFill="1" applyBorder="1" applyAlignment="1">
      <alignment horizontal="center" vertical="center"/>
    </xf>
    <xf numFmtId="168" fontId="17" fillId="14" borderId="13" xfId="0" applyFont="1" applyFill="1" applyBorder="1" applyAlignment="1">
      <alignment horizontal="center"/>
    </xf>
    <xf numFmtId="0" fontId="17" fillId="14" borderId="13" xfId="0" applyNumberFormat="1" applyFont="1" applyFill="1" applyBorder="1" applyAlignment="1">
      <alignment horizontal="justify" vertical="center" wrapText="1"/>
    </xf>
    <xf numFmtId="0" fontId="17" fillId="14" borderId="13" xfId="0" applyNumberFormat="1" applyFont="1" applyFill="1" applyBorder="1" applyAlignment="1">
      <alignment horizontal="center" vertical="center" wrapText="1"/>
    </xf>
    <xf numFmtId="168" fontId="17" fillId="14" borderId="13" xfId="0" applyFont="1" applyFill="1" applyBorder="1" applyAlignment="1">
      <alignment horizontal="justify" vertical="center" wrapText="1"/>
    </xf>
    <xf numFmtId="168" fontId="17" fillId="14" borderId="15" xfId="0" applyFont="1" applyFill="1" applyBorder="1"/>
    <xf numFmtId="168" fontId="17" fillId="14" borderId="16" xfId="0" applyFont="1" applyFill="1" applyBorder="1"/>
    <xf numFmtId="168" fontId="2" fillId="2" borderId="0" xfId="0" applyFont="1" applyFill="1" applyAlignment="1">
      <alignment horizontal="left" vertical="center" wrapText="1"/>
    </xf>
    <xf numFmtId="168" fontId="3" fillId="0" borderId="3" xfId="0" applyFont="1" applyBorder="1" applyAlignment="1">
      <alignment horizontal="center"/>
    </xf>
    <xf numFmtId="169" fontId="3" fillId="0" borderId="3" xfId="0" applyNumberFormat="1" applyFont="1" applyBorder="1" applyAlignment="1">
      <alignment horizontal="center"/>
    </xf>
    <xf numFmtId="17" fontId="3" fillId="0" borderId="3" xfId="0" applyNumberFormat="1" applyFont="1" applyBorder="1" applyAlignment="1">
      <alignment horizontal="center"/>
    </xf>
    <xf numFmtId="3" fontId="3" fillId="3" borderId="3" xfId="0" applyNumberFormat="1" applyFont="1" applyFill="1" applyBorder="1" applyAlignment="1">
      <alignment horizontal="center" wrapText="1"/>
    </xf>
    <xf numFmtId="168" fontId="6" fillId="0" borderId="2" xfId="0" applyFont="1" applyBorder="1" applyAlignment="1">
      <alignment horizontal="center" vertical="center"/>
    </xf>
    <xf numFmtId="167" fontId="18" fillId="6" borderId="13" xfId="0" applyNumberFormat="1" applyFont="1" applyFill="1" applyBorder="1" applyAlignment="1">
      <alignment horizontal="center" vertical="center"/>
    </xf>
    <xf numFmtId="167" fontId="18" fillId="7" borderId="13" xfId="0" applyNumberFormat="1" applyFont="1" applyFill="1" applyBorder="1" applyAlignment="1">
      <alignment horizontal="center" vertical="center"/>
    </xf>
    <xf numFmtId="4" fontId="2" fillId="0" borderId="13" xfId="0" applyNumberFormat="1" applyFont="1" applyBorder="1" applyAlignment="1">
      <alignment horizontal="center" vertical="center"/>
    </xf>
    <xf numFmtId="167" fontId="17" fillId="0" borderId="13" xfId="0" applyNumberFormat="1" applyFont="1" applyBorder="1" applyAlignment="1">
      <alignment horizontal="center" vertical="center"/>
    </xf>
    <xf numFmtId="167" fontId="18" fillId="7" borderId="13" xfId="5" applyFont="1" applyFill="1" applyBorder="1" applyAlignment="1">
      <alignment horizontal="center" vertical="center"/>
    </xf>
    <xf numFmtId="43" fontId="18" fillId="7" borderId="13" xfId="0" applyNumberFormat="1" applyFont="1" applyFill="1" applyBorder="1" applyAlignment="1">
      <alignment horizontal="center" vertical="center"/>
    </xf>
    <xf numFmtId="43" fontId="18" fillId="6" borderId="13" xfId="0" applyNumberFormat="1" applyFont="1" applyFill="1" applyBorder="1" applyAlignment="1">
      <alignment horizontal="center" vertical="center"/>
    </xf>
    <xf numFmtId="168" fontId="2" fillId="2" borderId="13" xfId="0" applyFont="1" applyFill="1" applyBorder="1" applyAlignment="1">
      <alignment horizontal="center"/>
    </xf>
    <xf numFmtId="167" fontId="18" fillId="6" borderId="13" xfId="0" applyNumberFormat="1" applyFont="1" applyFill="1" applyBorder="1" applyAlignment="1">
      <alignment horizontal="center" vertical="center" wrapText="1"/>
    </xf>
    <xf numFmtId="43" fontId="18" fillId="10" borderId="13" xfId="0" applyNumberFormat="1" applyFont="1" applyFill="1" applyBorder="1" applyAlignment="1">
      <alignment horizontal="center"/>
    </xf>
    <xf numFmtId="43" fontId="3" fillId="0" borderId="0" xfId="0" applyNumberFormat="1" applyFont="1" applyFill="1" applyBorder="1" applyAlignment="1">
      <alignment horizontal="center"/>
    </xf>
    <xf numFmtId="43" fontId="3" fillId="11" borderId="0" xfId="0" applyNumberFormat="1" applyFont="1" applyFill="1" applyBorder="1" applyAlignment="1">
      <alignment horizontal="center"/>
    </xf>
    <xf numFmtId="168" fontId="2" fillId="2" borderId="0" xfId="0" applyFont="1" applyFill="1" applyAlignment="1">
      <alignment horizontal="center"/>
    </xf>
    <xf numFmtId="167" fontId="17" fillId="0" borderId="25" xfId="0" applyNumberFormat="1" applyFont="1" applyBorder="1" applyAlignment="1">
      <alignment horizontal="center" vertical="center"/>
    </xf>
    <xf numFmtId="167" fontId="2" fillId="0" borderId="13" xfId="0" applyNumberFormat="1" applyFont="1" applyBorder="1" applyAlignment="1">
      <alignment horizontal="center" vertical="center"/>
    </xf>
    <xf numFmtId="0" fontId="17" fillId="2" borderId="19" xfId="7" applyFont="1" applyFill="1" applyBorder="1" applyAlignment="1">
      <alignment horizontal="center" vertical="center" wrapText="1"/>
    </xf>
    <xf numFmtId="1" fontId="16" fillId="2" borderId="13" xfId="13" applyNumberFormat="1" applyFont="1" applyFill="1" applyBorder="1" applyAlignment="1">
      <alignment horizontal="center" vertical="center"/>
    </xf>
    <xf numFmtId="0" fontId="17" fillId="2" borderId="17" xfId="7" applyFont="1" applyFill="1" applyBorder="1" applyAlignment="1">
      <alignment horizontal="center" vertical="center" wrapText="1"/>
    </xf>
    <xf numFmtId="0" fontId="22" fillId="2" borderId="13" xfId="7" applyFont="1" applyFill="1" applyBorder="1" applyAlignment="1">
      <alignment horizontal="center" vertical="center" wrapText="1"/>
    </xf>
    <xf numFmtId="0" fontId="16" fillId="2" borderId="13" xfId="7" applyFont="1" applyFill="1" applyBorder="1" applyAlignment="1">
      <alignment horizontal="center" vertical="center"/>
    </xf>
    <xf numFmtId="0" fontId="17" fillId="2" borderId="13" xfId="7" applyFont="1" applyFill="1" applyBorder="1" applyAlignment="1">
      <alignment horizontal="center" vertical="center"/>
    </xf>
    <xf numFmtId="0" fontId="16" fillId="2" borderId="13" xfId="7" applyFont="1" applyFill="1" applyBorder="1" applyAlignment="1">
      <alignment horizontal="center" vertical="center" wrapText="1"/>
    </xf>
    <xf numFmtId="0" fontId="17" fillId="2" borderId="13" xfId="9" applyFont="1" applyFill="1" applyBorder="1" applyAlignment="1">
      <alignment horizontal="center" vertical="center" wrapText="1"/>
    </xf>
    <xf numFmtId="0" fontId="17" fillId="2" borderId="13" xfId="7" applyFont="1" applyFill="1" applyBorder="1" applyAlignment="1">
      <alignment horizontal="center" vertical="center" wrapText="1"/>
    </xf>
    <xf numFmtId="3" fontId="17" fillId="2" borderId="13" xfId="0" applyNumberFormat="1" applyFont="1" applyFill="1" applyBorder="1" applyAlignment="1">
      <alignment horizontal="center" vertical="center" wrapText="1"/>
    </xf>
    <xf numFmtId="170" fontId="4" fillId="4" borderId="13" xfId="5" applyNumberFormat="1" applyFont="1" applyFill="1" applyBorder="1" applyAlignment="1">
      <alignment horizontal="center" vertical="center" wrapText="1"/>
    </xf>
    <xf numFmtId="0" fontId="18" fillId="6" borderId="13" xfId="0" applyNumberFormat="1" applyFont="1" applyFill="1" applyBorder="1" applyAlignment="1">
      <alignment horizontal="left" vertical="center"/>
    </xf>
    <xf numFmtId="168" fontId="3" fillId="0" borderId="0" xfId="0" applyFont="1" applyBorder="1" applyAlignment="1">
      <alignment horizontal="center" vertical="center" wrapText="1"/>
    </xf>
    <xf numFmtId="168" fontId="17" fillId="0" borderId="13" xfId="0" applyFont="1" applyBorder="1" applyAlignment="1">
      <alignment horizontal="justify" vertical="center" wrapText="1"/>
    </xf>
    <xf numFmtId="168" fontId="18" fillId="7" borderId="13" xfId="0" applyFont="1" applyFill="1" applyBorder="1" applyAlignment="1">
      <alignment horizontal="justify" vertical="center"/>
    </xf>
    <xf numFmtId="168" fontId="18" fillId="7" borderId="18" xfId="0" applyFont="1" applyFill="1" applyBorder="1" applyAlignment="1">
      <alignment vertical="justify"/>
    </xf>
    <xf numFmtId="168" fontId="18" fillId="7" borderId="16" xfId="0" applyFont="1" applyFill="1" applyBorder="1" applyAlignment="1">
      <alignment vertical="justify"/>
    </xf>
    <xf numFmtId="0" fontId="4" fillId="4" borderId="7" xfId="0" applyNumberFormat="1" applyFont="1" applyFill="1" applyBorder="1" applyAlignment="1">
      <alignment horizontal="center" vertical="center" wrapText="1"/>
    </xf>
    <xf numFmtId="0" fontId="18" fillId="0" borderId="13" xfId="0" applyNumberFormat="1" applyFont="1" applyFill="1" applyBorder="1" applyAlignment="1">
      <alignment horizontal="left" vertical="center" wrapText="1"/>
    </xf>
    <xf numFmtId="0" fontId="18" fillId="22" borderId="13" xfId="0" applyNumberFormat="1" applyFont="1" applyFill="1" applyBorder="1" applyAlignment="1">
      <alignment horizontal="left" vertical="center" wrapText="1"/>
    </xf>
    <xf numFmtId="0" fontId="18" fillId="22" borderId="13" xfId="0" applyNumberFormat="1" applyFont="1" applyFill="1" applyBorder="1" applyAlignment="1">
      <alignment horizontal="left" vertical="center"/>
    </xf>
    <xf numFmtId="0" fontId="18" fillId="22" borderId="15" xfId="0" applyNumberFormat="1" applyFont="1" applyFill="1" applyBorder="1" applyAlignment="1">
      <alignment horizontal="left" vertical="center"/>
    </xf>
    <xf numFmtId="0" fontId="18" fillId="22" borderId="18" xfId="0" applyNumberFormat="1" applyFont="1" applyFill="1" applyBorder="1" applyAlignment="1">
      <alignment horizontal="left" vertical="center"/>
    </xf>
    <xf numFmtId="0" fontId="17" fillId="22" borderId="18" xfId="0" applyNumberFormat="1" applyFont="1" applyFill="1" applyBorder="1" applyAlignment="1">
      <alignment horizontal="center" vertical="center"/>
    </xf>
    <xf numFmtId="0" fontId="18" fillId="22" borderId="18" xfId="0" applyNumberFormat="1" applyFont="1" applyFill="1" applyBorder="1" applyAlignment="1">
      <alignment horizontal="justify" vertical="center" wrapText="1"/>
    </xf>
    <xf numFmtId="0" fontId="18" fillId="22" borderId="18" xfId="0" applyNumberFormat="1" applyFont="1" applyFill="1" applyBorder="1" applyAlignment="1">
      <alignment horizontal="center" vertical="center" wrapText="1"/>
    </xf>
    <xf numFmtId="168" fontId="18" fillId="22" borderId="18" xfId="0" applyFont="1" applyFill="1" applyBorder="1" applyAlignment="1">
      <alignment horizontal="justify" vertical="center" wrapText="1"/>
    </xf>
    <xf numFmtId="168" fontId="17" fillId="22" borderId="18" xfId="0" applyFont="1" applyFill="1" applyBorder="1" applyAlignment="1">
      <alignment vertical="center"/>
    </xf>
    <xf numFmtId="168" fontId="18" fillId="22" borderId="18" xfId="0" applyFont="1" applyFill="1" applyBorder="1" applyAlignment="1">
      <alignment horizontal="center" vertical="center"/>
    </xf>
    <xf numFmtId="168" fontId="18" fillId="22" borderId="16" xfId="0" applyFont="1" applyFill="1" applyBorder="1" applyAlignment="1">
      <alignment horizontal="center" vertical="center"/>
    </xf>
    <xf numFmtId="168" fontId="18" fillId="22" borderId="13" xfId="0" applyFont="1" applyFill="1" applyBorder="1" applyAlignment="1">
      <alignment horizontal="justify" vertical="center" wrapText="1"/>
    </xf>
    <xf numFmtId="167" fontId="18" fillId="22" borderId="13" xfId="0" applyNumberFormat="1" applyFont="1" applyFill="1" applyBorder="1" applyAlignment="1">
      <alignment vertical="center"/>
    </xf>
    <xf numFmtId="167" fontId="18" fillId="22" borderId="13" xfId="0" applyNumberFormat="1" applyFont="1" applyFill="1" applyBorder="1" applyAlignment="1">
      <alignment horizontal="center" vertical="center"/>
    </xf>
    <xf numFmtId="0" fontId="3" fillId="6" borderId="13" xfId="0" applyNumberFormat="1" applyFont="1" applyFill="1" applyBorder="1" applyAlignment="1">
      <alignment vertical="center"/>
    </xf>
    <xf numFmtId="0" fontId="3" fillId="22" borderId="13" xfId="0" applyNumberFormat="1" applyFont="1" applyFill="1" applyBorder="1" applyAlignment="1">
      <alignment horizontal="left" vertical="center"/>
    </xf>
    <xf numFmtId="0" fontId="18" fillId="22" borderId="13" xfId="0" applyNumberFormat="1" applyFont="1" applyFill="1" applyBorder="1" applyAlignment="1">
      <alignment horizontal="center" vertical="center" wrapText="1"/>
    </xf>
    <xf numFmtId="0" fontId="3" fillId="6" borderId="13" xfId="0" applyNumberFormat="1" applyFont="1" applyFill="1" applyBorder="1" applyAlignment="1">
      <alignment horizontal="left" vertical="center"/>
    </xf>
    <xf numFmtId="0" fontId="3" fillId="22" borderId="13" xfId="0" applyNumberFormat="1" applyFont="1" applyFill="1" applyBorder="1" applyAlignment="1">
      <alignment horizontal="center" vertical="center" wrapText="1"/>
    </xf>
    <xf numFmtId="167" fontId="18" fillId="21" borderId="25" xfId="0" applyNumberFormat="1" applyFont="1" applyFill="1" applyBorder="1" applyAlignment="1">
      <alignment horizontal="center" vertical="center"/>
    </xf>
    <xf numFmtId="168" fontId="17" fillId="0" borderId="18" xfId="0" applyFont="1" applyBorder="1"/>
    <xf numFmtId="0" fontId="17" fillId="0" borderId="18" xfId="0" applyNumberFormat="1" applyFont="1" applyBorder="1" applyAlignment="1">
      <alignment horizontal="left" vertical="center"/>
    </xf>
    <xf numFmtId="0" fontId="17" fillId="0" borderId="18" xfId="0" applyNumberFormat="1" applyFont="1" applyBorder="1" applyAlignment="1">
      <alignment horizontal="center" vertical="center"/>
    </xf>
    <xf numFmtId="168" fontId="17" fillId="0" borderId="18" xfId="0" applyFont="1" applyBorder="1" applyAlignment="1">
      <alignment horizontal="center"/>
    </xf>
    <xf numFmtId="0" fontId="17" fillId="0" borderId="18" xfId="0" applyNumberFormat="1" applyFont="1" applyBorder="1" applyAlignment="1">
      <alignment horizontal="justify" vertical="center" wrapText="1"/>
    </xf>
    <xf numFmtId="0" fontId="17" fillId="0" borderId="18" xfId="0" applyNumberFormat="1" applyFont="1" applyBorder="1" applyAlignment="1">
      <alignment horizontal="center" vertical="center" wrapText="1"/>
    </xf>
    <xf numFmtId="168" fontId="17" fillId="0" borderId="18" xfId="0" applyFont="1" applyBorder="1" applyAlignment="1">
      <alignment horizontal="justify" vertical="center" wrapText="1"/>
    </xf>
    <xf numFmtId="171" fontId="17" fillId="0" borderId="18" xfId="8" applyNumberFormat="1" applyFont="1" applyFill="1" applyBorder="1" applyAlignment="1">
      <alignment horizontal="center"/>
    </xf>
    <xf numFmtId="0" fontId="18" fillId="0" borderId="18" xfId="0" applyNumberFormat="1" applyFont="1" applyBorder="1" applyAlignment="1">
      <alignment horizontal="left" vertical="center" wrapText="1"/>
    </xf>
    <xf numFmtId="0" fontId="18" fillId="0" borderId="18" xfId="0" applyNumberFormat="1" applyFont="1" applyBorder="1" applyAlignment="1">
      <alignment horizontal="center" vertical="center" wrapText="1"/>
    </xf>
    <xf numFmtId="0" fontId="16" fillId="0" borderId="18" xfId="0" applyNumberFormat="1" applyFont="1" applyBorder="1" applyAlignment="1">
      <alignment horizontal="justify" vertical="center" wrapText="1"/>
    </xf>
    <xf numFmtId="0" fontId="16" fillId="0" borderId="18" xfId="0" applyNumberFormat="1" applyFont="1" applyBorder="1" applyAlignment="1">
      <alignment horizontal="center" vertical="center" wrapText="1"/>
    </xf>
    <xf numFmtId="168" fontId="16" fillId="0" borderId="18" xfId="0" applyFont="1" applyBorder="1" applyAlignment="1">
      <alignment horizontal="justify" vertical="center" wrapText="1"/>
    </xf>
    <xf numFmtId="168" fontId="17" fillId="0" borderId="18" xfId="0" applyFont="1" applyBorder="1" applyAlignment="1">
      <alignment horizontal="center" vertical="center" wrapText="1"/>
    </xf>
    <xf numFmtId="167" fontId="17" fillId="0" borderId="18" xfId="5" applyFont="1" applyFill="1" applyBorder="1" applyAlignment="1">
      <alignment horizontal="justify" vertical="center"/>
    </xf>
    <xf numFmtId="168" fontId="16" fillId="0" borderId="18" xfId="0" applyFont="1" applyBorder="1" applyAlignment="1">
      <alignment vertical="center"/>
    </xf>
    <xf numFmtId="168" fontId="16" fillId="0" borderId="18" xfId="0" applyFont="1" applyBorder="1" applyAlignment="1">
      <alignment horizontal="center" vertical="center"/>
    </xf>
    <xf numFmtId="0" fontId="18" fillId="6" borderId="15" xfId="0" applyNumberFormat="1" applyFont="1" applyFill="1" applyBorder="1" applyAlignment="1">
      <alignment vertical="center"/>
    </xf>
    <xf numFmtId="0" fontId="17" fillId="6" borderId="18" xfId="0" applyNumberFormat="1" applyFont="1" applyFill="1" applyBorder="1" applyAlignment="1">
      <alignment horizontal="center" vertical="center"/>
    </xf>
    <xf numFmtId="0" fontId="18" fillId="6" borderId="18" xfId="0" applyNumberFormat="1" applyFont="1" applyFill="1" applyBorder="1" applyAlignment="1">
      <alignment horizontal="justify" vertical="center" wrapText="1"/>
    </xf>
    <xf numFmtId="0" fontId="18" fillId="6" borderId="18" xfId="0" applyNumberFormat="1" applyFont="1" applyFill="1" applyBorder="1" applyAlignment="1">
      <alignment horizontal="center" vertical="center" wrapText="1"/>
    </xf>
    <xf numFmtId="168" fontId="18" fillId="6" borderId="16" xfId="0" applyFont="1" applyFill="1" applyBorder="1" applyAlignment="1">
      <alignment horizontal="justify" vertical="center" wrapText="1"/>
    </xf>
    <xf numFmtId="168" fontId="18" fillId="6" borderId="18" xfId="0" applyFont="1" applyFill="1" applyBorder="1" applyAlignment="1">
      <alignment horizontal="center" vertical="center"/>
    </xf>
    <xf numFmtId="168" fontId="18" fillId="6" borderId="18" xfId="0" applyFont="1" applyFill="1" applyBorder="1" applyAlignment="1">
      <alignment horizontal="justify" vertical="center" wrapText="1"/>
    </xf>
    <xf numFmtId="0" fontId="18" fillId="7" borderId="26" xfId="0" applyNumberFormat="1" applyFont="1" applyFill="1" applyBorder="1" applyAlignment="1">
      <alignment horizontal="justify" vertical="center" wrapText="1"/>
    </xf>
    <xf numFmtId="0" fontId="18" fillId="7" borderId="27" xfId="0" applyNumberFormat="1" applyFont="1" applyFill="1" applyBorder="1" applyAlignment="1">
      <alignment horizontal="center" vertical="center" wrapText="1"/>
    </xf>
    <xf numFmtId="168" fontId="18" fillId="7" borderId="27" xfId="0" applyFont="1" applyFill="1" applyBorder="1" applyAlignment="1">
      <alignment horizontal="justify" vertical="center" wrapText="1"/>
    </xf>
    <xf numFmtId="168" fontId="17" fillId="7" borderId="27" xfId="0" applyFont="1" applyFill="1" applyBorder="1" applyAlignment="1">
      <alignment vertical="center"/>
    </xf>
    <xf numFmtId="168" fontId="18" fillId="7" borderId="27" xfId="0" applyFont="1" applyFill="1" applyBorder="1" applyAlignment="1">
      <alignment horizontal="center" vertical="center"/>
    </xf>
    <xf numFmtId="168" fontId="18" fillId="7" borderId="28" xfId="0" applyFont="1" applyFill="1" applyBorder="1" applyAlignment="1">
      <alignment horizontal="justify" vertical="center" wrapText="1"/>
    </xf>
    <xf numFmtId="0" fontId="17" fillId="7" borderId="26" xfId="0" applyNumberFormat="1" applyFont="1" applyFill="1" applyBorder="1" applyAlignment="1">
      <alignment horizontal="center" vertical="center"/>
    </xf>
    <xf numFmtId="168" fontId="17" fillId="6" borderId="18" xfId="0" applyFont="1" applyFill="1" applyBorder="1" applyAlignment="1">
      <alignment vertical="center"/>
    </xf>
    <xf numFmtId="167" fontId="18" fillId="22" borderId="16" xfId="0" applyNumberFormat="1" applyFont="1" applyFill="1" applyBorder="1" applyAlignment="1">
      <alignment vertical="center"/>
    </xf>
    <xf numFmtId="168" fontId="16" fillId="0" borderId="18" xfId="0" applyFont="1" applyBorder="1"/>
    <xf numFmtId="0" fontId="16" fillId="0" borderId="18" xfId="0" applyNumberFormat="1" applyFont="1" applyBorder="1" applyAlignment="1">
      <alignment horizontal="left" vertical="center"/>
    </xf>
    <xf numFmtId="0" fontId="16" fillId="0" borderId="18" xfId="0" applyNumberFormat="1" applyFont="1" applyBorder="1" applyAlignment="1">
      <alignment horizontal="center" vertical="center"/>
    </xf>
    <xf numFmtId="0" fontId="17" fillId="0" borderId="18" xfId="6" applyNumberFormat="1" applyFont="1" applyFill="1" applyBorder="1" applyAlignment="1">
      <alignment horizontal="center" vertical="center" wrapText="1"/>
    </xf>
    <xf numFmtId="168" fontId="16" fillId="0" borderId="18" xfId="0" applyFont="1" applyBorder="1" applyAlignment="1">
      <alignment horizontal="center"/>
    </xf>
    <xf numFmtId="168" fontId="6" fillId="0" borderId="0" xfId="0" applyFont="1" applyBorder="1"/>
    <xf numFmtId="43" fontId="18" fillId="7" borderId="13" xfId="1" applyFont="1" applyFill="1" applyBorder="1" applyAlignment="1">
      <alignment horizontal="left" vertical="center"/>
    </xf>
    <xf numFmtId="43" fontId="18" fillId="7" borderId="13" xfId="1" applyFont="1" applyFill="1" applyBorder="1" applyAlignment="1">
      <alignment vertical="center"/>
    </xf>
    <xf numFmtId="43" fontId="16" fillId="0" borderId="13" xfId="1" applyFont="1" applyFill="1" applyBorder="1" applyAlignment="1">
      <alignment horizontal="center" vertical="center" wrapText="1"/>
    </xf>
    <xf numFmtId="43" fontId="17" fillId="0" borderId="13" xfId="1" applyFont="1" applyFill="1" applyBorder="1" applyAlignment="1">
      <alignment horizontal="right" vertical="center" wrapText="1"/>
    </xf>
    <xf numFmtId="43" fontId="17" fillId="0" borderId="13" xfId="1" applyFont="1" applyFill="1" applyBorder="1" applyAlignment="1">
      <alignment horizontal="justify" vertical="center"/>
    </xf>
    <xf numFmtId="43" fontId="17" fillId="0" borderId="13" xfId="1" applyFont="1" applyBorder="1"/>
    <xf numFmtId="43" fontId="22" fillId="2" borderId="13" xfId="1" applyFont="1" applyFill="1" applyBorder="1" applyAlignment="1">
      <alignment horizontal="center" vertical="center" wrapText="1"/>
    </xf>
    <xf numFmtId="43" fontId="22" fillId="0" borderId="13" xfId="1" applyFont="1" applyFill="1" applyBorder="1" applyAlignment="1">
      <alignment vertical="center" wrapText="1"/>
    </xf>
    <xf numFmtId="43" fontId="22" fillId="15" borderId="13" xfId="1" applyFont="1" applyFill="1" applyBorder="1" applyAlignment="1">
      <alignment horizontal="center" vertical="center" wrapText="1"/>
    </xf>
    <xf numFmtId="43" fontId="17" fillId="15" borderId="13" xfId="1" applyFont="1" applyFill="1" applyBorder="1" applyAlignment="1">
      <alignment horizontal="center" vertical="center" wrapText="1"/>
    </xf>
    <xf numFmtId="43" fontId="22" fillId="2" borderId="13" xfId="1" applyFont="1" applyFill="1" applyBorder="1" applyAlignment="1">
      <alignment vertical="center" wrapText="1"/>
    </xf>
    <xf numFmtId="43" fontId="17" fillId="0" borderId="13" xfId="1" applyFont="1" applyFill="1" applyBorder="1" applyAlignment="1">
      <alignment horizontal="left" vertical="center" wrapText="1"/>
    </xf>
    <xf numFmtId="168" fontId="17" fillId="2" borderId="18" xfId="0" applyFont="1" applyFill="1" applyBorder="1"/>
    <xf numFmtId="171" fontId="17" fillId="0" borderId="18" xfId="8" applyNumberFormat="1" applyFont="1" applyBorder="1" applyAlignment="1">
      <alignment horizontal="center"/>
    </xf>
    <xf numFmtId="168" fontId="17" fillId="2" borderId="18" xfId="0" applyFont="1" applyFill="1" applyBorder="1" applyAlignment="1">
      <alignment horizontal="center"/>
    </xf>
    <xf numFmtId="168" fontId="17" fillId="2" borderId="23" xfId="0" applyFont="1" applyFill="1" applyBorder="1"/>
    <xf numFmtId="0" fontId="17" fillId="2" borderId="18" xfId="0" applyNumberFormat="1" applyFont="1" applyFill="1" applyBorder="1" applyAlignment="1">
      <alignment horizontal="left" vertical="center"/>
    </xf>
    <xf numFmtId="0" fontId="17" fillId="2" borderId="18" xfId="0" applyNumberFormat="1" applyFont="1" applyFill="1" applyBorder="1" applyAlignment="1">
      <alignment horizontal="center" vertical="center"/>
    </xf>
    <xf numFmtId="0" fontId="17" fillId="2" borderId="18" xfId="0" applyNumberFormat="1" applyFont="1" applyFill="1" applyBorder="1" applyAlignment="1">
      <alignment horizontal="justify" vertical="center" wrapText="1"/>
    </xf>
    <xf numFmtId="0" fontId="17" fillId="2" borderId="18" xfId="0" applyNumberFormat="1" applyFont="1" applyFill="1" applyBorder="1" applyAlignment="1">
      <alignment horizontal="center" vertical="center" wrapText="1"/>
    </xf>
    <xf numFmtId="168" fontId="17" fillId="2" borderId="18" xfId="0" applyFont="1" applyFill="1" applyBorder="1" applyAlignment="1">
      <alignment horizontal="justify" vertical="center" wrapText="1"/>
    </xf>
    <xf numFmtId="168" fontId="18" fillId="2" borderId="18" xfId="0" applyFont="1" applyFill="1" applyBorder="1" applyAlignment="1">
      <alignment horizontal="center" vertical="center"/>
    </xf>
    <xf numFmtId="171" fontId="17" fillId="2" borderId="18" xfId="8" applyNumberFormat="1" applyFont="1" applyFill="1" applyBorder="1" applyAlignment="1">
      <alignment horizontal="center"/>
    </xf>
    <xf numFmtId="167" fontId="17" fillId="2" borderId="18" xfId="0" applyNumberFormat="1" applyFont="1" applyFill="1" applyBorder="1"/>
    <xf numFmtId="168" fontId="16" fillId="0" borderId="18" xfId="0" applyFont="1" applyFill="1" applyBorder="1" applyAlignment="1">
      <alignment horizontal="center"/>
    </xf>
    <xf numFmtId="43" fontId="17" fillId="2" borderId="13" xfId="1" applyFont="1" applyFill="1" applyBorder="1" applyAlignment="1">
      <alignment vertical="center"/>
    </xf>
    <xf numFmtId="0" fontId="18" fillId="22" borderId="13" xfId="0" applyNumberFormat="1" applyFont="1" applyFill="1" applyBorder="1" applyAlignment="1">
      <alignment vertical="center"/>
    </xf>
    <xf numFmtId="175" fontId="18" fillId="22" borderId="13" xfId="0" applyNumberFormat="1" applyFont="1" applyFill="1" applyBorder="1" applyAlignment="1">
      <alignment vertical="center"/>
    </xf>
    <xf numFmtId="168" fontId="18" fillId="0" borderId="13" xfId="0" applyFont="1" applyFill="1" applyBorder="1" applyAlignment="1">
      <alignment horizontal="justify" vertical="center" wrapText="1"/>
    </xf>
    <xf numFmtId="168" fontId="18" fillId="22" borderId="13" xfId="0" applyNumberFormat="1" applyFont="1" applyFill="1" applyBorder="1" applyAlignment="1">
      <alignment vertical="center"/>
    </xf>
    <xf numFmtId="0" fontId="18" fillId="22" borderId="15" xfId="0" applyNumberFormat="1" applyFont="1" applyFill="1" applyBorder="1" applyAlignment="1">
      <alignment vertical="center"/>
    </xf>
    <xf numFmtId="0" fontId="18" fillId="22" borderId="16" xfId="0" applyNumberFormat="1" applyFont="1" applyFill="1" applyBorder="1" applyAlignment="1">
      <alignment vertical="center"/>
    </xf>
    <xf numFmtId="0" fontId="18" fillId="22" borderId="15" xfId="0" applyNumberFormat="1" applyFont="1" applyFill="1" applyBorder="1" applyAlignment="1">
      <alignment horizontal="center" vertical="center" wrapText="1"/>
    </xf>
    <xf numFmtId="0" fontId="18" fillId="0" borderId="13" xfId="0" applyNumberFormat="1" applyFont="1" applyFill="1" applyBorder="1" applyAlignment="1">
      <alignment horizontal="justify" vertical="center" wrapText="1"/>
    </xf>
    <xf numFmtId="0" fontId="18" fillId="0" borderId="13" xfId="0" applyNumberFormat="1" applyFont="1" applyFill="1" applyBorder="1" applyAlignment="1">
      <alignment horizontal="justify" vertical="center"/>
    </xf>
    <xf numFmtId="0" fontId="18" fillId="22" borderId="16" xfId="0" applyNumberFormat="1" applyFont="1" applyFill="1" applyBorder="1" applyAlignment="1">
      <alignment horizontal="center" vertical="center" wrapText="1"/>
    </xf>
    <xf numFmtId="0" fontId="18" fillId="22" borderId="16" xfId="0" applyNumberFormat="1" applyFont="1" applyFill="1" applyBorder="1" applyAlignment="1">
      <alignment horizontal="left" vertical="center"/>
    </xf>
    <xf numFmtId="0" fontId="18" fillId="22" borderId="25" xfId="0" applyNumberFormat="1" applyFont="1" applyFill="1" applyBorder="1" applyAlignment="1">
      <alignment horizontal="center" vertical="center" wrapText="1"/>
    </xf>
    <xf numFmtId="168" fontId="18" fillId="0" borderId="13" xfId="0" applyFont="1" applyFill="1" applyBorder="1" applyAlignment="1">
      <alignment horizontal="justify" vertical="center"/>
    </xf>
    <xf numFmtId="0" fontId="18" fillId="0" borderId="13" xfId="7" applyFont="1" applyFill="1" applyBorder="1" applyAlignment="1">
      <alignment horizontal="justify" vertical="center" wrapText="1"/>
    </xf>
    <xf numFmtId="0" fontId="18" fillId="6" borderId="13" xfId="0" applyNumberFormat="1" applyFont="1" applyFill="1" applyBorder="1" applyAlignment="1">
      <alignment horizontal="justify" vertical="center"/>
    </xf>
    <xf numFmtId="0" fontId="18" fillId="22" borderId="13" xfId="0" applyNumberFormat="1" applyFont="1" applyFill="1" applyBorder="1" applyAlignment="1">
      <alignment horizontal="justify" vertical="center"/>
    </xf>
    <xf numFmtId="0" fontId="19" fillId="4" borderId="5" xfId="0" applyNumberFormat="1" applyFont="1" applyFill="1" applyBorder="1" applyAlignment="1">
      <alignment horizontal="center" vertical="center" wrapText="1"/>
    </xf>
    <xf numFmtId="168" fontId="20" fillId="5" borderId="13" xfId="0" applyFont="1" applyFill="1" applyBorder="1" applyAlignment="1">
      <alignment horizontal="justify" vertical="center"/>
    </xf>
    <xf numFmtId="168" fontId="2" fillId="2" borderId="0" xfId="0" applyFont="1" applyFill="1" applyAlignment="1">
      <alignment horizontal="justify" vertical="center"/>
    </xf>
    <xf numFmtId="168" fontId="20" fillId="5" borderId="19" xfId="0" applyFont="1" applyFill="1" applyBorder="1" applyAlignment="1">
      <alignment horizontal="justify" vertical="center"/>
    </xf>
    <xf numFmtId="168" fontId="17" fillId="0" borderId="0" xfId="0" applyFont="1" applyBorder="1" applyAlignment="1">
      <alignment horizontal="justify"/>
    </xf>
    <xf numFmtId="168" fontId="18" fillId="22" borderId="13" xfId="0" applyNumberFormat="1" applyFont="1" applyFill="1" applyBorder="1" applyAlignment="1">
      <alignment horizontal="left" vertical="center"/>
    </xf>
    <xf numFmtId="168" fontId="18" fillId="22" borderId="16" xfId="0" applyNumberFormat="1" applyFont="1" applyFill="1" applyBorder="1" applyAlignment="1">
      <alignment vertical="center"/>
    </xf>
    <xf numFmtId="168" fontId="18" fillId="22" borderId="13" xfId="0" applyFont="1" applyFill="1" applyBorder="1" applyAlignment="1">
      <alignment horizontal="left" vertical="center"/>
    </xf>
    <xf numFmtId="0" fontId="18" fillId="22" borderId="29" xfId="0" applyNumberFormat="1" applyFont="1" applyFill="1" applyBorder="1" applyAlignment="1">
      <alignment horizontal="center" vertical="center" wrapText="1"/>
    </xf>
    <xf numFmtId="0" fontId="18" fillId="22" borderId="15" xfId="0" applyNumberFormat="1" applyFont="1" applyFill="1" applyBorder="1" applyAlignment="1">
      <alignment horizontal="left" vertical="center" wrapText="1"/>
    </xf>
    <xf numFmtId="0" fontId="18" fillId="22" borderId="18" xfId="0" applyNumberFormat="1" applyFont="1" applyFill="1" applyBorder="1" applyAlignment="1">
      <alignment horizontal="left" vertical="center" wrapText="1"/>
    </xf>
    <xf numFmtId="168" fontId="18" fillId="23" borderId="13" xfId="0" applyFont="1" applyFill="1" applyBorder="1" applyAlignment="1">
      <alignment horizontal="left" vertical="center"/>
    </xf>
    <xf numFmtId="170" fontId="19" fillId="4" borderId="30" xfId="5" applyNumberFormat="1" applyFont="1" applyFill="1" applyBorder="1" applyAlignment="1">
      <alignment horizontal="center" vertical="center" wrapText="1"/>
    </xf>
    <xf numFmtId="0" fontId="3" fillId="24" borderId="0" xfId="0" applyNumberFormat="1" applyFont="1" applyFill="1" applyAlignment="1">
      <alignment horizontal="left" vertical="center"/>
    </xf>
    <xf numFmtId="0" fontId="3" fillId="24" borderId="0" xfId="0" applyNumberFormat="1" applyFont="1" applyFill="1" applyAlignment="1">
      <alignment horizontal="center" vertical="center"/>
    </xf>
    <xf numFmtId="0" fontId="2" fillId="24" borderId="0" xfId="0" applyNumberFormat="1" applyFont="1" applyFill="1" applyAlignment="1">
      <alignment horizontal="center" vertical="center"/>
    </xf>
    <xf numFmtId="168" fontId="2" fillId="24" borderId="0" xfId="0" applyFont="1" applyFill="1" applyAlignment="1">
      <alignment horizontal="center"/>
    </xf>
    <xf numFmtId="168" fontId="3" fillId="24" borderId="0" xfId="0" applyFont="1" applyFill="1" applyAlignment="1">
      <alignment horizontal="center" vertical="center"/>
    </xf>
    <xf numFmtId="0" fontId="2" fillId="16" borderId="13" xfId="0" applyNumberFormat="1" applyFont="1" applyFill="1" applyBorder="1" applyAlignment="1">
      <alignment horizontal="center" vertical="center" wrapText="1"/>
    </xf>
    <xf numFmtId="0" fontId="21" fillId="16" borderId="13" xfId="6" applyNumberFormat="1" applyFont="1" applyFill="1" applyBorder="1" applyAlignment="1">
      <alignment horizontal="center" vertical="center" wrapText="1"/>
    </xf>
    <xf numFmtId="0" fontId="17" fillId="0" borderId="13" xfId="0" applyNumberFormat="1" applyFont="1" applyBorder="1" applyAlignment="1">
      <alignment horizontal="center" vertical="center" wrapText="1"/>
    </xf>
    <xf numFmtId="0" fontId="21" fillId="16" borderId="13" xfId="0" applyNumberFormat="1" applyFont="1" applyFill="1" applyBorder="1" applyAlignment="1">
      <alignment horizontal="center" vertical="center" wrapText="1"/>
    </xf>
    <xf numFmtId="0" fontId="21" fillId="16" borderId="13" xfId="0" applyNumberFormat="1" applyFont="1" applyFill="1" applyBorder="1" applyAlignment="1" applyProtection="1">
      <alignment horizontal="center" vertical="center" wrapText="1"/>
      <protection locked="0"/>
    </xf>
    <xf numFmtId="0" fontId="21" fillId="16" borderId="13" xfId="7" applyNumberFormat="1" applyFont="1" applyFill="1" applyBorder="1" applyAlignment="1">
      <alignment horizontal="center" vertical="center" wrapText="1"/>
    </xf>
    <xf numFmtId="0" fontId="2" fillId="2" borderId="13" xfId="0" applyNumberFormat="1" applyFont="1" applyFill="1" applyBorder="1" applyAlignment="1">
      <alignment horizontal="justify" vertical="center" wrapText="1"/>
    </xf>
    <xf numFmtId="168" fontId="0" fillId="0" borderId="3" xfId="0" applyBorder="1"/>
    <xf numFmtId="168" fontId="28" fillId="0" borderId="3" xfId="0" applyFont="1" applyBorder="1"/>
    <xf numFmtId="168" fontId="28" fillId="0" borderId="0" xfId="0" applyFont="1"/>
    <xf numFmtId="168" fontId="28" fillId="0" borderId="3" xfId="0" applyFont="1" applyBorder="1" applyAlignment="1">
      <alignment horizontal="left"/>
    </xf>
    <xf numFmtId="3" fontId="29" fillId="2" borderId="3" xfId="0" applyNumberFormat="1" applyFont="1" applyFill="1" applyBorder="1" applyAlignment="1">
      <alignment horizontal="right" vertical="center"/>
    </xf>
    <xf numFmtId="3" fontId="30" fillId="2" borderId="3" xfId="0" applyNumberFormat="1" applyFont="1" applyFill="1" applyBorder="1" applyAlignment="1">
      <alignment horizontal="right"/>
    </xf>
    <xf numFmtId="3" fontId="30" fillId="2" borderId="0" xfId="0" applyNumberFormat="1" applyFont="1" applyFill="1" applyAlignment="1">
      <alignment horizontal="right"/>
    </xf>
    <xf numFmtId="168" fontId="31" fillId="0" borderId="3" xfId="0" applyFont="1" applyBorder="1" applyAlignment="1">
      <alignment horizontal="center"/>
    </xf>
    <xf numFmtId="3" fontId="32" fillId="2" borderId="3" xfId="0" applyNumberFormat="1" applyFont="1" applyFill="1" applyBorder="1" applyAlignment="1">
      <alignment horizontal="center"/>
    </xf>
    <xf numFmtId="168" fontId="27" fillId="0" borderId="3" xfId="0" applyFont="1" applyBorder="1" applyAlignment="1">
      <alignment horizontal="center"/>
    </xf>
    <xf numFmtId="168" fontId="2" fillId="0" borderId="13" xfId="0" applyFont="1" applyBorder="1" applyAlignment="1">
      <alignment horizontal="justify" vertical="center" wrapText="1"/>
    </xf>
    <xf numFmtId="0" fontId="17" fillId="0" borderId="13" xfId="0" applyNumberFormat="1" applyFont="1" applyBorder="1" applyAlignment="1">
      <alignment horizontal="justify" vertical="center" wrapText="1"/>
    </xf>
    <xf numFmtId="0" fontId="16" fillId="0" borderId="13" xfId="0" applyNumberFormat="1" applyFont="1" applyBorder="1" applyAlignment="1">
      <alignment horizontal="justify" vertical="center" wrapText="1"/>
    </xf>
    <xf numFmtId="0" fontId="17" fillId="0" borderId="19" xfId="0" applyNumberFormat="1" applyFont="1" applyBorder="1" applyAlignment="1">
      <alignment horizontal="justify" vertical="center" wrapText="1"/>
    </xf>
    <xf numFmtId="0" fontId="17" fillId="0" borderId="13" xfId="7" applyFont="1" applyBorder="1" applyAlignment="1">
      <alignment horizontal="justify" vertical="center" wrapText="1"/>
    </xf>
    <xf numFmtId="168" fontId="22" fillId="0" borderId="13" xfId="0" applyFont="1" applyFill="1" applyBorder="1" applyAlignment="1">
      <alignment horizontal="justify" vertical="center" wrapText="1"/>
    </xf>
    <xf numFmtId="0" fontId="0" fillId="0" borderId="0" xfId="0" applyNumberFormat="1" applyAlignment="1">
      <alignment horizontal="center" vertical="center"/>
    </xf>
    <xf numFmtId="0" fontId="17" fillId="13" borderId="16" xfId="0" applyNumberFormat="1" applyFont="1" applyFill="1" applyBorder="1" applyAlignment="1">
      <alignment horizontal="center" vertical="center" wrapText="1"/>
    </xf>
    <xf numFmtId="0" fontId="17" fillId="13" borderId="16" xfId="0" applyNumberFormat="1" applyFont="1" applyFill="1" applyBorder="1" applyAlignment="1" applyProtection="1">
      <alignment horizontal="center" vertical="center" wrapText="1"/>
      <protection locked="0"/>
    </xf>
    <xf numFmtId="0" fontId="17" fillId="13" borderId="16" xfId="6" applyNumberFormat="1" applyFont="1" applyFill="1" applyBorder="1" applyAlignment="1">
      <alignment horizontal="center" vertical="center" wrapText="1"/>
    </xf>
    <xf numFmtId="0" fontId="0" fillId="0" borderId="3" xfId="0" applyNumberFormat="1" applyBorder="1" applyAlignment="1">
      <alignment horizontal="center" vertical="center"/>
    </xf>
    <xf numFmtId="0" fontId="0" fillId="0" borderId="12" xfId="0" applyNumberFormat="1" applyBorder="1" applyAlignment="1">
      <alignment horizontal="center" vertical="center"/>
    </xf>
    <xf numFmtId="0" fontId="17" fillId="13" borderId="28" xfId="0" applyNumberFormat="1" applyFont="1" applyFill="1" applyBorder="1" applyAlignment="1">
      <alignment horizontal="center" vertical="center" wrapText="1"/>
    </xf>
    <xf numFmtId="0" fontId="17" fillId="13" borderId="19" xfId="7" applyNumberFormat="1" applyFont="1" applyFill="1" applyBorder="1" applyAlignment="1">
      <alignment horizontal="center" vertical="center" wrapText="1"/>
    </xf>
    <xf numFmtId="0" fontId="27" fillId="0" borderId="3" xfId="0" applyNumberFormat="1" applyFont="1" applyBorder="1" applyAlignment="1">
      <alignment horizontal="center" vertical="center"/>
    </xf>
    <xf numFmtId="168" fontId="27" fillId="0" borderId="3" xfId="0" applyFont="1" applyBorder="1" applyAlignment="1">
      <alignment horizontal="center" vertical="center"/>
    </xf>
    <xf numFmtId="0" fontId="0" fillId="0" borderId="0" xfId="0" applyNumberFormat="1" applyAlignment="1">
      <alignment horizontal="justify" vertical="justify"/>
    </xf>
    <xf numFmtId="0" fontId="27" fillId="0" borderId="3" xfId="0" applyNumberFormat="1" applyFont="1" applyBorder="1" applyAlignment="1">
      <alignment horizontal="center" vertical="justify"/>
    </xf>
    <xf numFmtId="0" fontId="0" fillId="0" borderId="3" xfId="0" applyNumberFormat="1" applyBorder="1" applyAlignment="1">
      <alignment horizontal="justify" vertical="justify"/>
    </xf>
    <xf numFmtId="168" fontId="3" fillId="7" borderId="15" xfId="0" applyFont="1" applyFill="1" applyBorder="1" applyAlignment="1">
      <alignment vertical="center"/>
    </xf>
    <xf numFmtId="168" fontId="27" fillId="0" borderId="7" xfId="0" applyFont="1" applyBorder="1" applyAlignment="1">
      <alignment horizontal="center" vertical="center"/>
    </xf>
    <xf numFmtId="0" fontId="17" fillId="0" borderId="26" xfId="7" applyFont="1" applyBorder="1" applyAlignment="1">
      <alignment horizontal="justify" vertical="center" wrapText="1"/>
    </xf>
    <xf numFmtId="0" fontId="17" fillId="0" borderId="15" xfId="7" applyFont="1" applyBorder="1" applyAlignment="1">
      <alignment horizontal="justify" vertical="center" wrapText="1"/>
    </xf>
    <xf numFmtId="168" fontId="17" fillId="0" borderId="15" xfId="0" applyFont="1" applyBorder="1" applyAlignment="1">
      <alignment horizontal="justify" vertical="center" wrapText="1"/>
    </xf>
    <xf numFmtId="0" fontId="16" fillId="0" borderId="15" xfId="7" applyFont="1" applyBorder="1" applyAlignment="1">
      <alignment horizontal="justify" vertical="center" wrapText="1"/>
    </xf>
    <xf numFmtId="49" fontId="16" fillId="0" borderId="15" xfId="7" applyNumberFormat="1" applyFont="1" applyBorder="1" applyAlignment="1">
      <alignment horizontal="justify" vertical="center" wrapText="1"/>
    </xf>
    <xf numFmtId="168" fontId="17" fillId="0" borderId="15" xfId="0" applyFont="1" applyFill="1" applyBorder="1" applyAlignment="1">
      <alignment horizontal="justify" vertical="center" wrapText="1"/>
    </xf>
    <xf numFmtId="168" fontId="6" fillId="2" borderId="3" xfId="0" applyFont="1" applyFill="1" applyBorder="1" applyAlignment="1">
      <alignment horizontal="justify" vertical="center" wrapText="1"/>
    </xf>
    <xf numFmtId="168" fontId="27" fillId="2" borderId="3" xfId="0" applyFont="1" applyFill="1" applyBorder="1" applyAlignment="1">
      <alignment horizontal="center" vertical="center"/>
    </xf>
    <xf numFmtId="168" fontId="27" fillId="2" borderId="3" xfId="0" applyFont="1" applyFill="1" applyBorder="1" applyAlignment="1">
      <alignment horizontal="justify" vertical="center"/>
    </xf>
    <xf numFmtId="0" fontId="2" fillId="2" borderId="9" xfId="0" applyNumberFormat="1" applyFont="1" applyFill="1" applyBorder="1" applyAlignment="1">
      <alignment horizontal="justify" vertical="center"/>
    </xf>
    <xf numFmtId="0" fontId="2" fillId="2" borderId="9" xfId="0" applyNumberFormat="1" applyFont="1" applyFill="1" applyBorder="1" applyAlignment="1">
      <alignment horizontal="justify" vertical="center" wrapText="1"/>
    </xf>
    <xf numFmtId="168" fontId="27" fillId="2" borderId="31" xfId="0" applyFont="1" applyFill="1" applyBorder="1" applyAlignment="1">
      <alignment horizontal="center" vertical="center"/>
    </xf>
    <xf numFmtId="168" fontId="0" fillId="2" borderId="0" xfId="0" applyFill="1"/>
    <xf numFmtId="0" fontId="20" fillId="2" borderId="0" xfId="0" applyNumberFormat="1" applyFont="1" applyFill="1" applyBorder="1" applyAlignment="1">
      <alignment horizontal="center" vertical="center"/>
    </xf>
    <xf numFmtId="0" fontId="20" fillId="26" borderId="5" xfId="0" applyNumberFormat="1" applyFont="1" applyFill="1" applyBorder="1" applyAlignment="1">
      <alignment horizontal="center" vertical="center" wrapText="1"/>
    </xf>
    <xf numFmtId="0" fontId="3" fillId="27" borderId="8" xfId="0" applyNumberFormat="1" applyFont="1" applyFill="1" applyBorder="1" applyAlignment="1">
      <alignment horizontal="center" vertical="center" wrapText="1"/>
    </xf>
    <xf numFmtId="0" fontId="3" fillId="2" borderId="0" xfId="0" applyNumberFormat="1" applyFont="1" applyFill="1" applyBorder="1" applyAlignment="1">
      <alignment horizontal="center" vertical="center"/>
    </xf>
    <xf numFmtId="0" fontId="3" fillId="25" borderId="0" xfId="0" applyNumberFormat="1" applyFont="1" applyFill="1" applyBorder="1" applyAlignment="1">
      <alignment horizontal="center" vertical="center"/>
    </xf>
    <xf numFmtId="0" fontId="3" fillId="28" borderId="7" xfId="0" applyNumberFormat="1" applyFont="1" applyFill="1" applyBorder="1" applyAlignment="1">
      <alignment horizontal="center" vertical="center" wrapText="1"/>
    </xf>
    <xf numFmtId="0" fontId="20" fillId="29" borderId="5" xfId="0" applyNumberFormat="1" applyFont="1" applyFill="1" applyBorder="1" applyAlignment="1">
      <alignment horizontal="center" vertical="center" wrapText="1"/>
    </xf>
    <xf numFmtId="168" fontId="3" fillId="2" borderId="0" xfId="0" applyFont="1" applyFill="1" applyBorder="1" applyAlignment="1">
      <alignment horizontal="center" vertical="center" wrapText="1"/>
    </xf>
    <xf numFmtId="168" fontId="20" fillId="26" borderId="0" xfId="0" applyFont="1" applyFill="1" applyBorder="1" applyAlignment="1">
      <alignment horizontal="center" vertical="center" wrapText="1"/>
    </xf>
    <xf numFmtId="168" fontId="3" fillId="2" borderId="0" xfId="0" applyFont="1" applyFill="1" applyAlignment="1">
      <alignment horizontal="center" vertical="center"/>
    </xf>
    <xf numFmtId="168" fontId="3" fillId="0" borderId="0" xfId="0" applyFont="1" applyAlignment="1">
      <alignment horizontal="center" vertical="center"/>
    </xf>
    <xf numFmtId="0" fontId="3" fillId="28" borderId="0" xfId="0" applyNumberFormat="1" applyFont="1" applyFill="1" applyBorder="1" applyAlignment="1">
      <alignment horizontal="center" vertical="center" wrapText="1"/>
    </xf>
    <xf numFmtId="0" fontId="3" fillId="26" borderId="0" xfId="0" applyNumberFormat="1" applyFont="1" applyFill="1" applyBorder="1" applyAlignment="1">
      <alignment horizontal="center" vertical="center" wrapText="1"/>
    </xf>
    <xf numFmtId="0" fontId="21" fillId="26" borderId="5" xfId="0" applyNumberFormat="1" applyFont="1" applyFill="1" applyBorder="1" applyAlignment="1">
      <alignment horizontal="center" vertical="center" wrapText="1"/>
    </xf>
    <xf numFmtId="168" fontId="3" fillId="26" borderId="3" xfId="0" applyFont="1" applyFill="1" applyBorder="1" applyAlignment="1">
      <alignment horizontal="center" vertical="center"/>
    </xf>
    <xf numFmtId="0" fontId="2" fillId="0" borderId="13" xfId="0" applyNumberFormat="1" applyFont="1" applyFill="1" applyBorder="1" applyAlignment="1">
      <alignment horizontal="justify" vertical="center"/>
    </xf>
    <xf numFmtId="0" fontId="2" fillId="0" borderId="13" xfId="0" applyNumberFormat="1" applyFont="1" applyFill="1" applyBorder="1" applyAlignment="1">
      <alignment horizontal="center" vertical="center" wrapText="1"/>
    </xf>
    <xf numFmtId="168" fontId="2" fillId="0" borderId="15" xfId="0" applyFont="1" applyFill="1" applyBorder="1" applyAlignment="1">
      <alignment horizontal="justify" vertical="center" wrapText="1"/>
    </xf>
    <xf numFmtId="168" fontId="2" fillId="0" borderId="3" xfId="0" applyFont="1" applyFill="1" applyBorder="1" applyAlignment="1">
      <alignment horizontal="justify" vertical="center" wrapText="1"/>
    </xf>
    <xf numFmtId="168" fontId="2" fillId="0" borderId="0" xfId="0" applyFont="1" applyFill="1" applyBorder="1" applyAlignment="1">
      <alignment horizontal="justify" vertical="center" wrapText="1"/>
    </xf>
    <xf numFmtId="0" fontId="2" fillId="0" borderId="3" xfId="0" applyNumberFormat="1" applyFont="1" applyFill="1" applyBorder="1" applyAlignment="1">
      <alignment horizontal="center" vertical="center" wrapText="1"/>
    </xf>
    <xf numFmtId="168" fontId="35" fillId="0" borderId="3" xfId="0" applyFont="1" applyFill="1" applyBorder="1" applyAlignment="1">
      <alignment horizontal="center" vertical="center" wrapText="1"/>
    </xf>
    <xf numFmtId="0" fontId="2" fillId="0" borderId="16" xfId="0" applyNumberFormat="1" applyFont="1" applyFill="1" applyBorder="1" applyAlignment="1">
      <alignment horizontal="center" vertical="center" wrapText="1"/>
    </xf>
    <xf numFmtId="168" fontId="2" fillId="0" borderId="13" xfId="0" applyFont="1" applyFill="1" applyBorder="1" applyAlignment="1">
      <alignment horizontal="justify" vertical="center" wrapText="1"/>
    </xf>
    <xf numFmtId="0" fontId="2" fillId="0" borderId="13" xfId="0" applyNumberFormat="1" applyFont="1" applyFill="1" applyBorder="1" applyAlignment="1">
      <alignment horizontal="justify" vertical="center" wrapText="1"/>
    </xf>
    <xf numFmtId="0" fontId="2" fillId="18" borderId="13" xfId="0" applyNumberFormat="1" applyFont="1" applyFill="1" applyBorder="1" applyAlignment="1">
      <alignment horizontal="center" vertical="center" wrapText="1"/>
    </xf>
    <xf numFmtId="168" fontId="6" fillId="0" borderId="13" xfId="0" applyFont="1" applyFill="1" applyBorder="1" applyAlignment="1">
      <alignment horizontal="justify" vertical="center" wrapText="1"/>
    </xf>
    <xf numFmtId="1" fontId="6" fillId="0" borderId="15" xfId="0" applyNumberFormat="1" applyFont="1" applyFill="1" applyBorder="1" applyAlignment="1">
      <alignment horizontal="center" vertical="center" wrapText="1"/>
    </xf>
    <xf numFmtId="168" fontId="6" fillId="0" borderId="3" xfId="0" applyFont="1" applyFill="1" applyBorder="1" applyAlignment="1">
      <alignment horizontal="justify" vertical="center" wrapText="1"/>
    </xf>
    <xf numFmtId="168" fontId="6" fillId="0" borderId="0" xfId="0" applyFont="1" applyFill="1" applyBorder="1" applyAlignment="1">
      <alignment horizontal="justify" vertical="center" wrapText="1"/>
    </xf>
    <xf numFmtId="168" fontId="2" fillId="0" borderId="3" xfId="0" applyFont="1" applyFill="1" applyBorder="1"/>
    <xf numFmtId="0" fontId="3" fillId="0" borderId="3" xfId="0" applyNumberFormat="1" applyFont="1" applyFill="1" applyBorder="1" applyAlignment="1">
      <alignment horizontal="left" vertical="center" wrapText="1"/>
    </xf>
    <xf numFmtId="0" fontId="3" fillId="0" borderId="0" xfId="0" applyNumberFormat="1" applyFont="1" applyFill="1" applyBorder="1" applyAlignment="1">
      <alignment horizontal="left" vertical="center" wrapText="1"/>
    </xf>
    <xf numFmtId="168" fontId="2" fillId="0" borderId="13" xfId="0" applyFont="1" applyFill="1" applyBorder="1" applyAlignment="1">
      <alignment horizontal="center" vertical="center" wrapText="1"/>
    </xf>
    <xf numFmtId="0" fontId="6" fillId="0" borderId="13" xfId="0" applyNumberFormat="1" applyFont="1" applyFill="1" applyBorder="1" applyAlignment="1">
      <alignment horizontal="justify" vertical="center"/>
    </xf>
    <xf numFmtId="0" fontId="6" fillId="0" borderId="13" xfId="0" applyNumberFormat="1" applyFont="1" applyFill="1" applyBorder="1" applyAlignment="1">
      <alignment horizontal="center" vertical="center" wrapText="1"/>
    </xf>
    <xf numFmtId="0" fontId="6" fillId="0" borderId="13" xfId="0" applyNumberFormat="1" applyFont="1" applyFill="1" applyBorder="1" applyAlignment="1">
      <alignment horizontal="justify" vertical="center" wrapText="1"/>
    </xf>
    <xf numFmtId="0" fontId="2" fillId="0" borderId="3" xfId="0" applyNumberFormat="1" applyFont="1" applyFill="1" applyBorder="1" applyAlignment="1">
      <alignment horizontal="left" vertical="center" wrapText="1"/>
    </xf>
    <xf numFmtId="0" fontId="2" fillId="0" borderId="13" xfId="0" applyNumberFormat="1" applyFont="1" applyFill="1" applyBorder="1" applyAlignment="1">
      <alignment horizontal="left" vertical="center" wrapText="1"/>
    </xf>
    <xf numFmtId="0" fontId="2" fillId="13" borderId="13" xfId="0" applyNumberFormat="1" applyFont="1" applyFill="1" applyBorder="1" applyAlignment="1">
      <alignment horizontal="center" vertical="center" wrapText="1"/>
    </xf>
    <xf numFmtId="0" fontId="2" fillId="0" borderId="13" xfId="6" applyNumberFormat="1" applyFont="1" applyFill="1" applyBorder="1" applyAlignment="1">
      <alignment horizontal="justify" vertical="center" wrapText="1"/>
    </xf>
    <xf numFmtId="1" fontId="2" fillId="0" borderId="15" xfId="0" applyNumberFormat="1" applyFont="1" applyFill="1" applyBorder="1" applyAlignment="1">
      <alignment horizontal="center" vertical="center" wrapText="1"/>
    </xf>
    <xf numFmtId="0" fontId="3" fillId="0" borderId="16" xfId="0" applyNumberFormat="1" applyFont="1" applyFill="1" applyBorder="1" applyAlignment="1">
      <alignment horizontal="left" vertical="center" wrapText="1"/>
    </xf>
    <xf numFmtId="0" fontId="3" fillId="0" borderId="13" xfId="0" applyNumberFormat="1" applyFont="1" applyFill="1" applyBorder="1" applyAlignment="1">
      <alignment horizontal="left" vertical="center" wrapText="1"/>
    </xf>
    <xf numFmtId="0" fontId="2" fillId="0" borderId="13" xfId="0" applyNumberFormat="1" applyFont="1" applyBorder="1" applyAlignment="1">
      <alignment horizontal="justify" vertical="center" wrapText="1"/>
    </xf>
    <xf numFmtId="0" fontId="2" fillId="2" borderId="13" xfId="0" applyNumberFormat="1" applyFont="1" applyFill="1" applyBorder="1" applyAlignment="1">
      <alignment horizontal="center" vertical="center" wrapText="1"/>
    </xf>
    <xf numFmtId="0" fontId="2" fillId="0" borderId="13" xfId="0" applyNumberFormat="1" applyFont="1" applyBorder="1" applyAlignment="1">
      <alignment horizontal="center" vertical="center" wrapText="1"/>
    </xf>
    <xf numFmtId="0" fontId="6" fillId="0" borderId="3" xfId="0" applyNumberFormat="1" applyFont="1" applyFill="1" applyBorder="1" applyAlignment="1">
      <alignment horizontal="justify" vertical="center" wrapText="1"/>
    </xf>
    <xf numFmtId="0" fontId="6" fillId="0" borderId="0" xfId="0" applyNumberFormat="1" applyFont="1" applyFill="1" applyBorder="1" applyAlignment="1">
      <alignment horizontal="justify" vertical="center" wrapText="1"/>
    </xf>
    <xf numFmtId="168" fontId="36" fillId="0" borderId="3" xfId="0" applyFont="1" applyFill="1" applyBorder="1" applyAlignment="1">
      <alignment horizontal="justify" vertical="center" wrapText="1"/>
    </xf>
    <xf numFmtId="0" fontId="2" fillId="0" borderId="13" xfId="6" applyNumberFormat="1" applyFont="1" applyFill="1" applyBorder="1" applyAlignment="1">
      <alignment horizontal="center" vertical="center" wrapText="1"/>
    </xf>
    <xf numFmtId="0" fontId="2" fillId="0" borderId="13" xfId="8" applyNumberFormat="1" applyFont="1" applyFill="1" applyBorder="1" applyAlignment="1">
      <alignment horizontal="center" vertical="center" wrapText="1"/>
    </xf>
    <xf numFmtId="168" fontId="22" fillId="0" borderId="0" xfId="0" applyFont="1" applyFill="1" applyBorder="1" applyAlignment="1">
      <alignment horizontal="justify" vertical="center" wrapText="1"/>
    </xf>
    <xf numFmtId="168" fontId="2" fillId="0" borderId="13" xfId="6" applyFont="1" applyFill="1" applyBorder="1" applyAlignment="1">
      <alignment horizontal="justify" vertical="center" wrapText="1"/>
    </xf>
    <xf numFmtId="0" fontId="2" fillId="18" borderId="13" xfId="6" applyNumberFormat="1" applyFont="1" applyFill="1" applyBorder="1" applyAlignment="1">
      <alignment horizontal="center" vertical="center" wrapText="1"/>
    </xf>
    <xf numFmtId="168" fontId="6" fillId="0" borderId="13" xfId="0" applyFont="1" applyFill="1" applyBorder="1" applyAlignment="1">
      <alignment horizontal="justify" vertical="center"/>
    </xf>
    <xf numFmtId="168" fontId="6" fillId="0" borderId="0" xfId="0" applyFont="1" applyFill="1" applyBorder="1" applyAlignment="1">
      <alignment horizontal="justify" vertical="center"/>
    </xf>
    <xf numFmtId="168" fontId="2" fillId="0" borderId="13" xfId="0" applyFont="1" applyFill="1" applyBorder="1" applyAlignment="1">
      <alignment horizontal="justify" vertical="center"/>
    </xf>
    <xf numFmtId="49" fontId="6" fillId="0" borderId="3" xfId="0" applyNumberFormat="1" applyFont="1" applyBorder="1" applyAlignment="1">
      <alignment horizontal="justify" vertical="center" wrapText="1"/>
    </xf>
    <xf numFmtId="0" fontId="2" fillId="0" borderId="16" xfId="6" applyNumberFormat="1" applyFont="1" applyFill="1" applyBorder="1" applyAlignment="1">
      <alignment horizontal="center" vertical="center" wrapText="1"/>
    </xf>
    <xf numFmtId="0" fontId="2" fillId="0" borderId="15" xfId="0" applyNumberFormat="1" applyFont="1" applyFill="1" applyBorder="1" applyAlignment="1">
      <alignment horizontal="left" vertical="center" wrapText="1"/>
    </xf>
    <xf numFmtId="0" fontId="2" fillId="0" borderId="16" xfId="0" applyNumberFormat="1" applyFont="1" applyFill="1" applyBorder="1" applyAlignment="1">
      <alignment horizontal="left" vertical="center" wrapText="1"/>
    </xf>
    <xf numFmtId="0" fontId="6" fillId="0" borderId="0" xfId="0" applyNumberFormat="1" applyFont="1" applyFill="1" applyBorder="1" applyAlignment="1">
      <alignment horizontal="justify" vertical="center"/>
    </xf>
    <xf numFmtId="49" fontId="2" fillId="0" borderId="13" xfId="0" applyNumberFormat="1" applyFont="1" applyFill="1" applyBorder="1" applyAlignment="1">
      <alignment horizontal="justify" vertical="center" wrapText="1"/>
    </xf>
    <xf numFmtId="49" fontId="2" fillId="0" borderId="3" xfId="0" applyNumberFormat="1" applyFont="1" applyFill="1" applyBorder="1" applyAlignment="1">
      <alignment horizontal="justify" vertical="center" wrapText="1"/>
    </xf>
    <xf numFmtId="49" fontId="2" fillId="0" borderId="0" xfId="0" applyNumberFormat="1" applyFont="1" applyFill="1" applyBorder="1" applyAlignment="1">
      <alignment horizontal="justify" vertical="center" wrapText="1"/>
    </xf>
    <xf numFmtId="0" fontId="6" fillId="0" borderId="13" xfId="0" applyNumberFormat="1" applyFont="1" applyBorder="1" applyAlignment="1">
      <alignment horizontal="center" vertical="center"/>
    </xf>
    <xf numFmtId="0" fontId="3" fillId="0" borderId="13" xfId="0" applyNumberFormat="1" applyFont="1" applyBorder="1" applyAlignment="1">
      <alignment horizontal="center" vertical="center" wrapText="1"/>
    </xf>
    <xf numFmtId="0" fontId="3" fillId="0" borderId="3" xfId="0" applyNumberFormat="1" applyFont="1" applyBorder="1" applyAlignment="1">
      <alignment horizontal="center" vertical="center" wrapText="1"/>
    </xf>
    <xf numFmtId="0" fontId="3" fillId="0" borderId="0" xfId="0" applyNumberFormat="1" applyFont="1" applyBorder="1" applyAlignment="1">
      <alignment horizontal="center" vertical="center" wrapText="1"/>
    </xf>
    <xf numFmtId="0" fontId="28" fillId="0" borderId="3" xfId="7" applyFont="1" applyFill="1" applyBorder="1" applyAlignment="1">
      <alignment horizontal="center" vertical="center" wrapText="1"/>
    </xf>
    <xf numFmtId="9" fontId="8" fillId="0" borderId="3" xfId="7" applyNumberFormat="1" applyFont="1" applyFill="1" applyBorder="1" applyAlignment="1">
      <alignment horizontal="center" vertical="center" wrapText="1"/>
    </xf>
    <xf numFmtId="168" fontId="2" fillId="2" borderId="13" xfId="0" applyFont="1" applyFill="1" applyBorder="1" applyAlignment="1">
      <alignment horizontal="justify" vertical="center"/>
    </xf>
    <xf numFmtId="0" fontId="2" fillId="0" borderId="13" xfId="0" applyNumberFormat="1" applyFont="1" applyBorder="1" applyAlignment="1">
      <alignment horizontal="center" vertical="center"/>
    </xf>
    <xf numFmtId="168" fontId="6" fillId="15" borderId="0" xfId="0" applyFont="1" applyFill="1" applyBorder="1" applyAlignment="1">
      <alignment horizontal="justify" vertical="center" wrapText="1"/>
    </xf>
    <xf numFmtId="168" fontId="2" fillId="0" borderId="3" xfId="0" applyFont="1" applyBorder="1"/>
    <xf numFmtId="1" fontId="6" fillId="0" borderId="15" xfId="0" applyNumberFormat="1" applyFont="1" applyBorder="1" applyAlignment="1">
      <alignment horizontal="center" vertical="center" wrapText="1"/>
    </xf>
    <xf numFmtId="168" fontId="6" fillId="0" borderId="3" xfId="0" applyFont="1" applyBorder="1" applyAlignment="1">
      <alignment horizontal="justify" vertical="center" wrapText="1"/>
    </xf>
    <xf numFmtId="168" fontId="6" fillId="0" borderId="0" xfId="0" applyFont="1" applyBorder="1" applyAlignment="1">
      <alignment horizontal="justify" vertical="center" wrapText="1"/>
    </xf>
    <xf numFmtId="0" fontId="2" fillId="2" borderId="13" xfId="6" applyNumberFormat="1" applyFont="1" applyFill="1" applyBorder="1" applyAlignment="1">
      <alignment horizontal="center" vertical="center" wrapText="1"/>
    </xf>
    <xf numFmtId="168" fontId="2" fillId="2" borderId="3" xfId="0" applyFont="1" applyFill="1" applyBorder="1"/>
    <xf numFmtId="0" fontId="2" fillId="16" borderId="13" xfId="6" applyNumberFormat="1" applyFont="1" applyFill="1" applyBorder="1" applyAlignment="1">
      <alignment horizontal="center" vertical="center" wrapText="1"/>
    </xf>
    <xf numFmtId="1" fontId="2" fillId="0" borderId="15" xfId="7" applyNumberFormat="1" applyFont="1" applyBorder="1" applyAlignment="1">
      <alignment horizontal="center" vertical="center" wrapText="1"/>
    </xf>
    <xf numFmtId="0" fontId="2" fillId="0" borderId="13" xfId="0" applyNumberFormat="1" applyFont="1" applyBorder="1" applyAlignment="1">
      <alignment vertical="center" wrapText="1"/>
    </xf>
    <xf numFmtId="0" fontId="3" fillId="0" borderId="15"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3" fillId="0" borderId="16" xfId="0" applyNumberFormat="1" applyFont="1" applyBorder="1" applyAlignment="1">
      <alignment horizontal="left" vertical="center" wrapText="1"/>
    </xf>
    <xf numFmtId="0" fontId="3" fillId="0" borderId="13" xfId="0" applyNumberFormat="1" applyFont="1" applyBorder="1" applyAlignment="1">
      <alignment horizontal="left" vertical="center" wrapText="1"/>
    </xf>
    <xf numFmtId="1" fontId="2" fillId="0" borderId="15" xfId="0" applyNumberFormat="1" applyFont="1" applyBorder="1" applyAlignment="1">
      <alignment horizontal="center" vertical="center" wrapText="1"/>
    </xf>
    <xf numFmtId="0" fontId="2" fillId="0" borderId="3" xfId="0" applyNumberFormat="1" applyFont="1" applyBorder="1" applyAlignment="1">
      <alignment horizontal="justify" vertical="center" wrapText="1"/>
    </xf>
    <xf numFmtId="0" fontId="2" fillId="0" borderId="0" xfId="0" applyNumberFormat="1" applyFont="1" applyBorder="1" applyAlignment="1">
      <alignment horizontal="justify" vertical="center" wrapText="1"/>
    </xf>
    <xf numFmtId="0" fontId="2" fillId="0" borderId="13" xfId="6" applyNumberFormat="1" applyFont="1" applyFill="1" applyBorder="1" applyAlignment="1">
      <alignment horizontal="center" vertical="center"/>
    </xf>
    <xf numFmtId="0" fontId="2" fillId="0" borderId="13" xfId="7" applyFont="1" applyFill="1" applyBorder="1" applyAlignment="1">
      <alignment horizontal="justify" vertical="center" wrapText="1"/>
    </xf>
    <xf numFmtId="0" fontId="2" fillId="0" borderId="3" xfId="7" applyFont="1" applyBorder="1" applyAlignment="1">
      <alignment horizontal="justify" vertical="center" wrapText="1"/>
    </xf>
    <xf numFmtId="0" fontId="2" fillId="0" borderId="0" xfId="7" applyFont="1" applyBorder="1" applyAlignment="1">
      <alignment horizontal="justify" vertical="center" wrapText="1"/>
    </xf>
    <xf numFmtId="168" fontId="2" fillId="2" borderId="13" xfId="0" applyFont="1" applyFill="1" applyBorder="1" applyAlignment="1">
      <alignment horizontal="justify" vertical="center" wrapText="1"/>
    </xf>
    <xf numFmtId="168" fontId="2" fillId="2" borderId="13" xfId="0" applyFont="1" applyFill="1" applyBorder="1" applyAlignment="1">
      <alignment vertical="center" wrapText="1"/>
    </xf>
    <xf numFmtId="168" fontId="2" fillId="0" borderId="3" xfId="0" applyFont="1" applyBorder="1" applyAlignment="1">
      <alignment horizontal="justify" vertical="center" wrapText="1"/>
    </xf>
    <xf numFmtId="168" fontId="2" fillId="0" borderId="0" xfId="0" applyFont="1" applyBorder="1" applyAlignment="1">
      <alignment horizontal="justify" vertical="center" wrapText="1"/>
    </xf>
    <xf numFmtId="168" fontId="2" fillId="0" borderId="13" xfId="0" applyFont="1" applyFill="1" applyBorder="1" applyAlignment="1">
      <alignment vertical="center" wrapText="1"/>
    </xf>
    <xf numFmtId="168" fontId="6" fillId="0" borderId="3" xfId="0" applyFont="1" applyBorder="1" applyAlignment="1">
      <alignment horizontal="center" vertical="center" wrapText="1"/>
    </xf>
    <xf numFmtId="168" fontId="6" fillId="0" borderId="0" xfId="0" applyFont="1" applyBorder="1" applyAlignment="1">
      <alignment horizontal="center" vertical="center" wrapText="1"/>
    </xf>
    <xf numFmtId="168" fontId="2" fillId="0" borderId="13" xfId="0" applyFont="1" applyBorder="1" applyAlignment="1">
      <alignment horizontal="center" vertical="center" wrapText="1"/>
    </xf>
    <xf numFmtId="0" fontId="2" fillId="0" borderId="15" xfId="0" applyNumberFormat="1" applyFont="1" applyBorder="1" applyAlignment="1">
      <alignment horizontal="left" vertical="center"/>
    </xf>
    <xf numFmtId="0" fontId="2" fillId="0" borderId="3" xfId="0" applyNumberFormat="1" applyFont="1" applyBorder="1" applyAlignment="1">
      <alignment horizontal="left" vertical="center"/>
    </xf>
    <xf numFmtId="0" fontId="2" fillId="0" borderId="16" xfId="0" applyNumberFormat="1" applyFont="1" applyBorder="1" applyAlignment="1">
      <alignment horizontal="left" vertical="center"/>
    </xf>
    <xf numFmtId="0" fontId="2" fillId="0" borderId="13" xfId="0" applyNumberFormat="1" applyFont="1" applyBorder="1" applyAlignment="1">
      <alignment horizontal="left" vertical="center"/>
    </xf>
    <xf numFmtId="0" fontId="2" fillId="0" borderId="13" xfId="0" applyNumberFormat="1" applyFont="1" applyBorder="1" applyAlignment="1">
      <alignment horizontal="justify" wrapText="1"/>
    </xf>
    <xf numFmtId="168" fontId="2" fillId="0" borderId="3" xfId="0" applyFont="1" applyBorder="1" applyAlignment="1">
      <alignment horizontal="center" vertical="center" wrapText="1"/>
    </xf>
    <xf numFmtId="168" fontId="2" fillId="0" borderId="0" xfId="0" applyFont="1" applyBorder="1" applyAlignment="1">
      <alignment horizontal="center" vertical="center" wrapText="1"/>
    </xf>
    <xf numFmtId="168" fontId="2" fillId="0" borderId="13" xfId="0" applyFont="1" applyBorder="1" applyAlignment="1">
      <alignment horizontal="justify" vertical="center"/>
    </xf>
    <xf numFmtId="168" fontId="2" fillId="0" borderId="13" xfId="0" applyFont="1" applyFill="1" applyBorder="1" applyAlignment="1">
      <alignment vertical="center"/>
    </xf>
    <xf numFmtId="0" fontId="3" fillId="0" borderId="0" xfId="0" applyNumberFormat="1" applyFont="1" applyBorder="1" applyAlignment="1">
      <alignment horizontal="left" vertical="center" wrapText="1"/>
    </xf>
    <xf numFmtId="0" fontId="2" fillId="0" borderId="15"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0" borderId="0" xfId="0" applyNumberFormat="1" applyFont="1" applyBorder="1" applyAlignment="1">
      <alignment horizontal="left" vertical="center" wrapText="1"/>
    </xf>
    <xf numFmtId="0" fontId="8" fillId="0" borderId="3" xfId="7" applyFont="1" applyFill="1" applyBorder="1" applyAlignment="1">
      <alignment horizontal="center" vertical="center" wrapText="1"/>
    </xf>
    <xf numFmtId="49" fontId="6" fillId="0" borderId="0" xfId="0" applyNumberFormat="1" applyFont="1" applyAlignment="1">
      <alignment horizontal="justify" vertical="center" wrapText="1"/>
    </xf>
    <xf numFmtId="0" fontId="2" fillId="0" borderId="15" xfId="0" applyNumberFormat="1" applyFont="1" applyBorder="1" applyAlignment="1">
      <alignment horizontal="center" vertical="center" wrapText="1"/>
    </xf>
    <xf numFmtId="0" fontId="2" fillId="13" borderId="16" xfId="0" applyNumberFormat="1" applyFont="1" applyFill="1" applyBorder="1" applyAlignment="1">
      <alignment horizontal="center" vertical="center" wrapText="1"/>
    </xf>
    <xf numFmtId="168" fontId="2" fillId="13" borderId="3" xfId="0" applyFont="1" applyFill="1" applyBorder="1" applyAlignment="1">
      <alignment horizontal="justify" vertical="center"/>
    </xf>
    <xf numFmtId="0" fontId="2" fillId="0" borderId="13" xfId="0" applyNumberFormat="1" applyFont="1" applyBorder="1" applyAlignment="1">
      <alignment horizontal="justify" vertical="center"/>
    </xf>
    <xf numFmtId="1" fontId="6" fillId="0" borderId="15" xfId="0" applyNumberFormat="1" applyFont="1" applyBorder="1" applyAlignment="1">
      <alignment horizontal="center" vertical="center"/>
    </xf>
    <xf numFmtId="0" fontId="6" fillId="0" borderId="3" xfId="0" applyNumberFormat="1" applyFont="1" applyBorder="1" applyAlignment="1">
      <alignment horizontal="justify" vertical="center"/>
    </xf>
    <xf numFmtId="0" fontId="6" fillId="0" borderId="0" xfId="0" applyNumberFormat="1" applyFont="1" applyBorder="1" applyAlignment="1">
      <alignment horizontal="justify" vertical="center"/>
    </xf>
    <xf numFmtId="1" fontId="2" fillId="2" borderId="15" xfId="0" applyNumberFormat="1" applyFont="1" applyFill="1" applyBorder="1" applyAlignment="1">
      <alignment horizontal="center" vertical="center" wrapText="1"/>
    </xf>
    <xf numFmtId="168" fontId="2" fillId="2" borderId="3" xfId="0" applyFont="1" applyFill="1" applyBorder="1" applyAlignment="1">
      <alignment horizontal="justify" vertical="center" wrapText="1"/>
    </xf>
    <xf numFmtId="168" fontId="2" fillId="2" borderId="0" xfId="0" applyFont="1" applyFill="1" applyBorder="1" applyAlignment="1">
      <alignment horizontal="justify" vertical="center" wrapText="1"/>
    </xf>
    <xf numFmtId="168" fontId="2" fillId="2" borderId="7" xfId="0" applyFont="1" applyFill="1" applyBorder="1" applyAlignment="1">
      <alignment horizontal="justify" vertical="center" wrapText="1"/>
    </xf>
    <xf numFmtId="0" fontId="2" fillId="2" borderId="3" xfId="0" applyNumberFormat="1" applyFont="1" applyFill="1" applyBorder="1" applyAlignment="1">
      <alignment horizontal="justify" vertical="center" wrapText="1"/>
    </xf>
    <xf numFmtId="0" fontId="2" fillId="2" borderId="0" xfId="0" applyNumberFormat="1" applyFont="1" applyFill="1" applyBorder="1" applyAlignment="1">
      <alignment horizontal="justify" vertical="center" wrapText="1"/>
    </xf>
    <xf numFmtId="0" fontId="2" fillId="0" borderId="13" xfId="8" applyNumberFormat="1" applyFont="1" applyFill="1" applyBorder="1" applyAlignment="1">
      <alignment horizontal="justify" vertical="center" wrapText="1"/>
    </xf>
    <xf numFmtId="0" fontId="2" fillId="15" borderId="13" xfId="0" applyNumberFormat="1" applyFont="1" applyFill="1" applyBorder="1" applyAlignment="1">
      <alignment horizontal="center" vertical="center" wrapText="1"/>
    </xf>
    <xf numFmtId="1" fontId="2" fillId="15" borderId="13" xfId="0" applyNumberFormat="1" applyFont="1" applyFill="1" applyBorder="1" applyAlignment="1">
      <alignment horizontal="justify" vertical="center" wrapText="1"/>
    </xf>
    <xf numFmtId="0" fontId="2" fillId="15" borderId="13" xfId="0" applyNumberFormat="1" applyFont="1" applyFill="1" applyBorder="1" applyAlignment="1">
      <alignment horizontal="justify" vertical="center" wrapText="1"/>
    </xf>
    <xf numFmtId="0" fontId="6" fillId="0" borderId="13" xfId="0" applyNumberFormat="1" applyFont="1" applyBorder="1" applyAlignment="1">
      <alignment horizontal="justify" vertical="center"/>
    </xf>
    <xf numFmtId="0" fontId="2" fillId="0" borderId="13" xfId="0" applyNumberFormat="1" applyFont="1" applyBorder="1" applyAlignment="1">
      <alignment horizontal="left" vertical="center" wrapText="1"/>
    </xf>
    <xf numFmtId="168" fontId="22" fillId="0" borderId="13" xfId="0" applyFont="1" applyFill="1" applyBorder="1" applyAlignment="1">
      <alignment vertical="center" wrapText="1"/>
    </xf>
    <xf numFmtId="0" fontId="2" fillId="0" borderId="13" xfId="0" applyNumberFormat="1" applyFont="1" applyBorder="1" applyAlignment="1" applyProtection="1">
      <alignment horizontal="center" vertical="center" wrapText="1"/>
      <protection locked="0"/>
    </xf>
    <xf numFmtId="168" fontId="2" fillId="0" borderId="13" xfId="0" applyFont="1" applyFill="1" applyBorder="1" applyAlignment="1" applyProtection="1">
      <alignment horizontal="justify" vertical="center" wrapText="1"/>
      <protection locked="0"/>
    </xf>
    <xf numFmtId="168" fontId="2" fillId="0" borderId="0" xfId="0" applyFont="1" applyBorder="1" applyAlignment="1" applyProtection="1">
      <alignment horizontal="justify" vertical="center" wrapText="1"/>
      <protection locked="0"/>
    </xf>
    <xf numFmtId="0" fontId="2" fillId="0" borderId="0" xfId="6" applyNumberFormat="1" applyFont="1" applyFill="1" applyBorder="1" applyAlignment="1">
      <alignment horizontal="justify" vertical="center" wrapText="1"/>
    </xf>
    <xf numFmtId="168" fontId="2" fillId="0" borderId="0" xfId="0" applyFont="1" applyFill="1" applyBorder="1" applyAlignment="1" applyProtection="1">
      <alignment horizontal="justify" vertical="center" wrapText="1"/>
      <protection locked="0"/>
    </xf>
    <xf numFmtId="0" fontId="6" fillId="0" borderId="0" xfId="0" applyNumberFormat="1" applyFont="1" applyBorder="1" applyAlignment="1">
      <alignment horizontal="justify" vertical="center" wrapText="1"/>
    </xf>
    <xf numFmtId="0" fontId="6" fillId="0" borderId="13" xfId="0" applyNumberFormat="1" applyFont="1" applyBorder="1" applyAlignment="1">
      <alignment horizontal="center" vertical="center" wrapText="1"/>
    </xf>
    <xf numFmtId="0" fontId="2" fillId="13" borderId="13" xfId="0" applyNumberFormat="1" applyFont="1" applyFill="1" applyBorder="1" applyAlignment="1" applyProtection="1">
      <alignment horizontal="center" vertical="center" wrapText="1"/>
      <protection locked="0"/>
    </xf>
    <xf numFmtId="0" fontId="2" fillId="15" borderId="13" xfId="6" applyNumberFormat="1" applyFont="1" applyFill="1" applyBorder="1" applyAlignment="1">
      <alignment horizontal="center" vertical="center" wrapText="1"/>
    </xf>
    <xf numFmtId="0" fontId="6" fillId="16" borderId="13" xfId="0" applyNumberFormat="1" applyFont="1" applyFill="1" applyBorder="1" applyAlignment="1">
      <alignment horizontal="center" vertical="center" wrapText="1"/>
    </xf>
    <xf numFmtId="168" fontId="6" fillId="13" borderId="3" xfId="0" applyFont="1" applyFill="1" applyBorder="1" applyAlignment="1">
      <alignment horizontal="justify" vertical="center" wrapText="1"/>
    </xf>
    <xf numFmtId="0" fontId="2" fillId="13" borderId="13" xfId="6" applyNumberFormat="1" applyFont="1" applyFill="1" applyBorder="1" applyAlignment="1">
      <alignment horizontal="center" vertical="center" wrapText="1"/>
    </xf>
    <xf numFmtId="0" fontId="2" fillId="0" borderId="15" xfId="0" applyNumberFormat="1" applyFont="1" applyBorder="1" applyAlignment="1">
      <alignment horizontal="justify" vertical="center" wrapText="1"/>
    </xf>
    <xf numFmtId="0" fontId="8" fillId="0" borderId="3" xfId="2" applyNumberFormat="1" applyFont="1" applyFill="1" applyBorder="1" applyAlignment="1">
      <alignment horizontal="center" vertical="center" wrapText="1"/>
    </xf>
    <xf numFmtId="176" fontId="8" fillId="0" borderId="3" xfId="7" applyNumberFormat="1" applyFont="1" applyFill="1" applyBorder="1" applyAlignment="1">
      <alignment horizontal="center" vertical="center" wrapText="1"/>
    </xf>
    <xf numFmtId="0" fontId="6" fillId="0" borderId="13" xfId="6" applyNumberFormat="1" applyFont="1" applyFill="1" applyBorder="1" applyAlignment="1">
      <alignment horizontal="center" vertical="center" wrapText="1"/>
    </xf>
    <xf numFmtId="49" fontId="2" fillId="0" borderId="13" xfId="0" applyNumberFormat="1" applyFont="1" applyBorder="1" applyAlignment="1">
      <alignment horizontal="justify" vertical="center" wrapText="1"/>
    </xf>
    <xf numFmtId="0" fontId="2" fillId="0" borderId="13" xfId="0" applyNumberFormat="1" applyFont="1" applyFill="1" applyBorder="1" applyAlignment="1" applyProtection="1">
      <alignment horizontal="justify" vertical="center" wrapText="1"/>
      <protection locked="0"/>
    </xf>
    <xf numFmtId="0" fontId="2" fillId="0" borderId="0" xfId="0" applyNumberFormat="1" applyFont="1" applyBorder="1" applyAlignment="1" applyProtection="1">
      <alignment horizontal="justify" vertical="center" wrapText="1"/>
      <protection locked="0"/>
    </xf>
    <xf numFmtId="0" fontId="28" fillId="0" borderId="12" xfId="7" applyFont="1" applyFill="1" applyBorder="1" applyAlignment="1">
      <alignment horizontal="center" vertical="center" wrapText="1"/>
    </xf>
    <xf numFmtId="0" fontId="28" fillId="0" borderId="12" xfId="7" applyFont="1" applyFill="1" applyBorder="1" applyAlignment="1">
      <alignment horizontal="justify" vertical="center" wrapText="1"/>
    </xf>
    <xf numFmtId="0" fontId="2" fillId="2" borderId="15" xfId="0" applyNumberFormat="1" applyFont="1" applyFill="1" applyBorder="1" applyAlignment="1">
      <alignment horizontal="justify" vertical="center" wrapText="1"/>
    </xf>
    <xf numFmtId="0" fontId="2" fillId="0" borderId="13" xfId="7" applyNumberFormat="1" applyFont="1" applyBorder="1" applyAlignment="1">
      <alignment horizontal="center" vertical="center" wrapText="1"/>
    </xf>
    <xf numFmtId="0" fontId="6" fillId="0" borderId="13" xfId="7" applyFont="1" applyFill="1" applyBorder="1" applyAlignment="1">
      <alignment horizontal="justify" vertical="center" wrapText="1"/>
    </xf>
    <xf numFmtId="168" fontId="6" fillId="0" borderId="13" xfId="0" applyFont="1" applyFill="1" applyBorder="1" applyAlignment="1">
      <alignment vertical="center" wrapText="1"/>
    </xf>
    <xf numFmtId="1" fontId="22" fillId="0" borderId="15" xfId="0" applyNumberFormat="1" applyFont="1" applyBorder="1" applyAlignment="1">
      <alignment horizontal="center" vertical="center" wrapText="1"/>
    </xf>
    <xf numFmtId="168" fontId="22" fillId="0" borderId="3" xfId="0" applyFont="1" applyBorder="1" applyAlignment="1">
      <alignment horizontal="justify" vertical="center" wrapText="1"/>
    </xf>
    <xf numFmtId="168" fontId="22" fillId="0" borderId="0" xfId="0" applyFont="1" applyBorder="1" applyAlignment="1">
      <alignment horizontal="justify" vertical="center" wrapText="1"/>
    </xf>
    <xf numFmtId="168" fontId="2" fillId="0" borderId="9" xfId="0" applyFont="1" applyBorder="1"/>
    <xf numFmtId="0" fontId="2" fillId="28" borderId="9" xfId="0" applyNumberFormat="1" applyFont="1" applyFill="1" applyBorder="1" applyAlignment="1">
      <alignment horizontal="justify" vertical="center"/>
    </xf>
    <xf numFmtId="168" fontId="2" fillId="2" borderId="9" xfId="0" applyFont="1" applyFill="1" applyBorder="1"/>
    <xf numFmtId="0" fontId="2" fillId="28" borderId="9" xfId="0" applyNumberFormat="1" applyFont="1" applyFill="1" applyBorder="1" applyAlignment="1">
      <alignment horizontal="justify" vertical="center" wrapText="1"/>
    </xf>
    <xf numFmtId="168" fontId="22" fillId="2" borderId="0" xfId="0" applyFont="1" applyFill="1" applyBorder="1" applyAlignment="1">
      <alignment horizontal="justify" vertical="center" wrapText="1"/>
    </xf>
    <xf numFmtId="168" fontId="22" fillId="0" borderId="13" xfId="0" applyFont="1" applyFill="1" applyBorder="1" applyAlignment="1">
      <alignment vertical="center"/>
    </xf>
    <xf numFmtId="0" fontId="2" fillId="0" borderId="0" xfId="0" applyNumberFormat="1" applyFont="1" applyAlignment="1">
      <alignment horizontal="center"/>
    </xf>
    <xf numFmtId="168" fontId="2" fillId="0" borderId="0" xfId="0" applyFont="1" applyAlignment="1">
      <alignment horizontal="center" vertical="center"/>
    </xf>
    <xf numFmtId="1" fontId="2" fillId="0" borderId="0" xfId="0" applyNumberFormat="1" applyFont="1" applyAlignment="1">
      <alignment horizontal="center" vertical="center" wrapText="1"/>
    </xf>
    <xf numFmtId="3" fontId="2" fillId="0" borderId="0" xfId="0" applyNumberFormat="1" applyFont="1" applyAlignment="1">
      <alignment horizontal="center" vertical="center"/>
    </xf>
    <xf numFmtId="3" fontId="2" fillId="0" borderId="0" xfId="0" applyNumberFormat="1" applyFont="1" applyAlignment="1">
      <alignment horizontal="center"/>
    </xf>
    <xf numFmtId="0" fontId="2" fillId="0" borderId="0" xfId="0" applyNumberFormat="1" applyFont="1" applyBorder="1" applyAlignment="1">
      <alignment horizontal="justify" vertical="center"/>
    </xf>
    <xf numFmtId="0" fontId="2" fillId="0" borderId="0" xfId="0" applyNumberFormat="1" applyFont="1" applyFill="1" applyBorder="1" applyAlignment="1">
      <alignment horizontal="center" vertical="center" wrapText="1"/>
    </xf>
    <xf numFmtId="0" fontId="8" fillId="0" borderId="0" xfId="7" applyFont="1" applyFill="1" applyBorder="1" applyAlignment="1">
      <alignment horizontal="center" vertical="center" wrapText="1"/>
    </xf>
    <xf numFmtId="0" fontId="28" fillId="0" borderId="0" xfId="7" applyFont="1" applyFill="1" applyBorder="1" applyAlignment="1">
      <alignment horizontal="center" vertical="center" wrapText="1"/>
    </xf>
    <xf numFmtId="0" fontId="2" fillId="0" borderId="0" xfId="0" applyNumberFormat="1" applyFont="1" applyBorder="1" applyAlignment="1">
      <alignment horizontal="center" vertical="center" wrapText="1"/>
    </xf>
    <xf numFmtId="168" fontId="2" fillId="0" borderId="0" xfId="0" applyFont="1" applyFill="1" applyBorder="1" applyAlignment="1">
      <alignment vertical="center"/>
    </xf>
    <xf numFmtId="0" fontId="6" fillId="2" borderId="13" xfId="0" applyNumberFormat="1" applyFont="1" applyFill="1" applyBorder="1" applyAlignment="1">
      <alignment horizontal="center" vertical="center" wrapText="1"/>
    </xf>
    <xf numFmtId="0" fontId="6" fillId="2" borderId="13" xfId="0" applyNumberFormat="1" applyFont="1" applyFill="1" applyBorder="1" applyAlignment="1">
      <alignment horizontal="center" vertical="center"/>
    </xf>
    <xf numFmtId="0" fontId="24" fillId="2" borderId="3" xfId="0" applyNumberFormat="1" applyFont="1" applyFill="1" applyBorder="1" applyAlignment="1">
      <alignment horizontal="left" vertical="center" wrapText="1"/>
    </xf>
    <xf numFmtId="0" fontId="24" fillId="2" borderId="0" xfId="0" applyNumberFormat="1" applyFont="1" applyFill="1" applyBorder="1" applyAlignment="1">
      <alignment horizontal="left" vertical="center" wrapText="1"/>
    </xf>
    <xf numFmtId="168" fontId="16" fillId="0" borderId="13" xfId="0" applyFont="1" applyBorder="1" applyAlignment="1">
      <alignment horizontal="justify" vertical="center" wrapText="1"/>
    </xf>
    <xf numFmtId="168" fontId="17" fillId="15" borderId="13" xfId="0" applyFont="1" applyFill="1" applyBorder="1" applyAlignment="1">
      <alignment horizontal="justify" vertical="center" wrapText="1"/>
    </xf>
    <xf numFmtId="168" fontId="2" fillId="30" borderId="0" xfId="0" applyFont="1" applyFill="1"/>
    <xf numFmtId="0" fontId="24" fillId="28" borderId="7" xfId="0" applyNumberFormat="1" applyFont="1" applyFill="1" applyBorder="1" applyAlignment="1">
      <alignment horizontal="center" vertical="center" wrapText="1"/>
    </xf>
    <xf numFmtId="0" fontId="24" fillId="28" borderId="0" xfId="0" applyNumberFormat="1" applyFont="1" applyFill="1" applyBorder="1" applyAlignment="1">
      <alignment horizontal="center" vertical="center" wrapText="1"/>
    </xf>
    <xf numFmtId="0" fontId="6" fillId="2" borderId="3" xfId="0" applyNumberFormat="1" applyFont="1" applyFill="1" applyBorder="1" applyAlignment="1">
      <alignment horizontal="center" vertical="center"/>
    </xf>
    <xf numFmtId="0" fontId="6" fillId="2" borderId="0" xfId="0" applyNumberFormat="1" applyFont="1" applyFill="1" applyBorder="1" applyAlignment="1">
      <alignment horizontal="center" vertical="center"/>
    </xf>
    <xf numFmtId="168" fontId="22" fillId="0" borderId="13" xfId="0" applyFont="1" applyFill="1" applyBorder="1" applyAlignment="1">
      <alignment horizontal="justify" vertical="center" wrapText="1"/>
    </xf>
    <xf numFmtId="168" fontId="2" fillId="0" borderId="13" xfId="0" applyFont="1" applyFill="1" applyBorder="1" applyAlignment="1">
      <alignment horizontal="center" vertical="center" wrapText="1"/>
    </xf>
    <xf numFmtId="168" fontId="6" fillId="0" borderId="13" xfId="0" applyFont="1" applyFill="1" applyBorder="1" applyAlignment="1">
      <alignment horizontal="justify" vertical="center" wrapText="1"/>
    </xf>
    <xf numFmtId="168" fontId="22" fillId="2" borderId="13" xfId="0" applyFont="1" applyFill="1" applyBorder="1" applyAlignment="1">
      <alignment horizontal="justify" vertical="center" wrapText="1"/>
    </xf>
    <xf numFmtId="0" fontId="2" fillId="0" borderId="19" xfId="0" applyNumberFormat="1" applyFont="1" applyFill="1" applyBorder="1" applyAlignment="1">
      <alignment horizontal="center" vertical="center" wrapText="1"/>
    </xf>
    <xf numFmtId="0" fontId="2" fillId="2" borderId="26" xfId="0" applyNumberFormat="1" applyFont="1" applyFill="1" applyBorder="1" applyAlignment="1">
      <alignment horizontal="justify" vertical="center" wrapText="1"/>
    </xf>
    <xf numFmtId="3" fontId="2" fillId="0" borderId="3" xfId="0" applyNumberFormat="1" applyFont="1" applyFill="1" applyBorder="1" applyAlignment="1">
      <alignment vertical="center" wrapText="1"/>
    </xf>
    <xf numFmtId="0" fontId="2" fillId="0" borderId="35" xfId="0" applyNumberFormat="1" applyFont="1" applyFill="1" applyBorder="1" applyAlignment="1">
      <alignment horizontal="center" vertical="center" wrapText="1"/>
    </xf>
    <xf numFmtId="0" fontId="2" fillId="2" borderId="35" xfId="0" applyNumberFormat="1" applyFont="1" applyFill="1" applyBorder="1" applyAlignment="1">
      <alignment horizontal="justify" vertical="center" wrapText="1"/>
    </xf>
    <xf numFmtId="174" fontId="2" fillId="2" borderId="3" xfId="13" applyNumberFormat="1" applyFont="1" applyFill="1" applyBorder="1" applyAlignment="1">
      <alignment horizontal="left" vertical="center" wrapText="1"/>
    </xf>
    <xf numFmtId="174" fontId="2" fillId="0" borderId="3" xfId="13" applyNumberFormat="1" applyFont="1" applyFill="1" applyBorder="1" applyAlignment="1">
      <alignment horizontal="left" vertical="center" wrapText="1"/>
    </xf>
    <xf numFmtId="0" fontId="2" fillId="2" borderId="17" xfId="0" applyNumberFormat="1" applyFont="1" applyFill="1" applyBorder="1" applyAlignment="1">
      <alignment horizontal="center" vertical="center" wrapText="1"/>
    </xf>
    <xf numFmtId="174" fontId="2" fillId="2" borderId="33" xfId="13" applyNumberFormat="1" applyFont="1" applyFill="1" applyBorder="1" applyAlignment="1">
      <alignment horizontal="left" vertical="center" wrapText="1"/>
    </xf>
    <xf numFmtId="0" fontId="2" fillId="0" borderId="3" xfId="0" applyNumberFormat="1" applyFont="1" applyFill="1" applyBorder="1" applyAlignment="1">
      <alignment horizontal="justify" vertical="center" wrapText="1"/>
    </xf>
    <xf numFmtId="0" fontId="2" fillId="13" borderId="3" xfId="0" applyNumberFormat="1" applyFont="1" applyFill="1" applyBorder="1" applyAlignment="1">
      <alignment horizontal="center" vertical="center" wrapText="1"/>
    </xf>
    <xf numFmtId="168" fontId="2" fillId="13" borderId="0" xfId="0" applyFont="1" applyFill="1"/>
    <xf numFmtId="166" fontId="2" fillId="0" borderId="3" xfId="13" applyFont="1" applyFill="1" applyBorder="1" applyAlignment="1">
      <alignment horizontal="right" vertical="center" wrapText="1"/>
    </xf>
    <xf numFmtId="166" fontId="2" fillId="2" borderId="3" xfId="13" applyFont="1" applyFill="1" applyBorder="1" applyAlignment="1">
      <alignment horizontal="right" vertical="center" wrapText="1"/>
    </xf>
    <xf numFmtId="168" fontId="2" fillId="13" borderId="3" xfId="0" applyFont="1" applyFill="1" applyBorder="1" applyAlignment="1">
      <alignment horizontal="justify" vertical="center" wrapText="1"/>
    </xf>
    <xf numFmtId="0" fontId="2" fillId="0" borderId="19" xfId="0" applyNumberFormat="1" applyFont="1" applyFill="1" applyBorder="1" applyAlignment="1">
      <alignment horizontal="justify" vertical="center"/>
    </xf>
    <xf numFmtId="0" fontId="2" fillId="2" borderId="3" xfId="0" applyNumberFormat="1" applyFont="1" applyFill="1" applyBorder="1" applyAlignment="1">
      <alignment horizontal="center" vertical="center" wrapText="1"/>
    </xf>
    <xf numFmtId="0" fontId="2" fillId="2" borderId="33" xfId="0" applyNumberFormat="1" applyFont="1" applyFill="1" applyBorder="1" applyAlignment="1">
      <alignment horizontal="center" vertical="center" wrapText="1"/>
    </xf>
    <xf numFmtId="166" fontId="2" fillId="2" borderId="33" xfId="13" applyFont="1" applyFill="1" applyBorder="1" applyAlignment="1">
      <alignment horizontal="right" vertical="center" wrapText="1"/>
    </xf>
    <xf numFmtId="168" fontId="2" fillId="2" borderId="15" xfId="0" applyFont="1" applyFill="1" applyBorder="1" applyAlignment="1">
      <alignment horizontal="justify" vertical="center" wrapText="1"/>
    </xf>
    <xf numFmtId="1" fontId="6" fillId="2" borderId="15" xfId="0" applyNumberFormat="1" applyFont="1" applyFill="1" applyBorder="1" applyAlignment="1">
      <alignment horizontal="center" vertical="center" wrapText="1"/>
    </xf>
    <xf numFmtId="0" fontId="6" fillId="2" borderId="3" xfId="0" applyNumberFormat="1" applyFont="1" applyFill="1" applyBorder="1" applyAlignment="1">
      <alignment horizontal="justify" vertical="center" wrapText="1"/>
    </xf>
    <xf numFmtId="168" fontId="6" fillId="2" borderId="0" xfId="0" applyFont="1" applyFill="1" applyBorder="1" applyAlignment="1">
      <alignment horizontal="justify" vertical="center"/>
    </xf>
    <xf numFmtId="168" fontId="6" fillId="2" borderId="0" xfId="0" applyFont="1" applyFill="1" applyBorder="1" applyAlignment="1">
      <alignment horizontal="justify" vertical="center" wrapText="1"/>
    </xf>
    <xf numFmtId="168" fontId="2" fillId="0" borderId="3" xfId="0" applyFont="1" applyFill="1" applyBorder="1" applyAlignment="1">
      <alignment horizontal="justify" vertical="center"/>
    </xf>
    <xf numFmtId="1" fontId="6" fillId="2" borderId="35" xfId="0" applyNumberFormat="1" applyFont="1" applyFill="1" applyBorder="1" applyAlignment="1">
      <alignment horizontal="center" vertical="center" wrapText="1"/>
    </xf>
    <xf numFmtId="1" fontId="2" fillId="2" borderId="15" xfId="0" applyNumberFormat="1" applyFont="1" applyFill="1" applyBorder="1" applyAlignment="1">
      <alignment horizontal="center" vertical="center"/>
    </xf>
    <xf numFmtId="168" fontId="2" fillId="2" borderId="3" xfId="0" applyFont="1" applyFill="1" applyBorder="1" applyAlignment="1">
      <alignment horizontal="justify" vertical="center"/>
    </xf>
    <xf numFmtId="0" fontId="2" fillId="2" borderId="12" xfId="0" applyNumberFormat="1" applyFont="1" applyFill="1" applyBorder="1" applyAlignment="1">
      <alignment horizontal="justify" vertical="center" wrapText="1"/>
    </xf>
    <xf numFmtId="174" fontId="2" fillId="2" borderId="12" xfId="13" applyNumberFormat="1" applyFont="1" applyFill="1" applyBorder="1" applyAlignment="1">
      <alignment horizontal="left" vertical="center" wrapText="1"/>
    </xf>
    <xf numFmtId="0" fontId="2" fillId="2" borderId="15" xfId="0" applyNumberFormat="1" applyFont="1" applyFill="1" applyBorder="1" applyAlignment="1">
      <alignment horizontal="center" vertical="center" wrapText="1"/>
    </xf>
    <xf numFmtId="166" fontId="2" fillId="2" borderId="13" xfId="13" applyFont="1" applyFill="1" applyBorder="1" applyAlignment="1">
      <alignment horizontal="left" vertical="center" wrapText="1"/>
    </xf>
    <xf numFmtId="0" fontId="2" fillId="28" borderId="13" xfId="0" applyNumberFormat="1" applyFont="1" applyFill="1" applyBorder="1" applyAlignment="1">
      <alignment horizontal="center" vertical="center" wrapText="1"/>
    </xf>
    <xf numFmtId="0" fontId="2" fillId="2" borderId="17" xfId="0" applyNumberFormat="1" applyFont="1" applyFill="1" applyBorder="1" applyAlignment="1">
      <alignment horizontal="justify" vertical="center" wrapText="1"/>
    </xf>
    <xf numFmtId="166" fontId="2" fillId="2" borderId="17" xfId="13" applyFont="1" applyFill="1" applyBorder="1" applyAlignment="1">
      <alignment horizontal="left" vertical="center" wrapText="1"/>
    </xf>
    <xf numFmtId="0" fontId="6" fillId="2" borderId="33" xfId="0" applyNumberFormat="1" applyFont="1" applyFill="1" applyBorder="1" applyAlignment="1">
      <alignment horizontal="justify" vertical="center" wrapText="1"/>
    </xf>
    <xf numFmtId="166" fontId="2" fillId="2" borderId="3" xfId="13" applyFont="1" applyFill="1" applyBorder="1" applyAlignment="1">
      <alignment horizontal="left" vertical="center" wrapText="1"/>
    </xf>
    <xf numFmtId="0" fontId="2" fillId="2" borderId="36" xfId="0" applyNumberFormat="1" applyFont="1" applyFill="1" applyBorder="1" applyAlignment="1">
      <alignment horizontal="justify" vertical="center" wrapText="1"/>
    </xf>
    <xf numFmtId="0" fontId="2" fillId="0" borderId="15" xfId="0" applyNumberFormat="1" applyFont="1" applyFill="1" applyBorder="1" applyAlignment="1">
      <alignment horizontal="center" vertical="center" wrapText="1"/>
    </xf>
    <xf numFmtId="0" fontId="2" fillId="0" borderId="17" xfId="0" applyNumberFormat="1" applyFont="1" applyFill="1" applyBorder="1" applyAlignment="1">
      <alignment horizontal="center" vertical="center" wrapText="1"/>
    </xf>
    <xf numFmtId="0" fontId="2" fillId="2" borderId="31" xfId="0" applyNumberFormat="1" applyFont="1" applyFill="1" applyBorder="1" applyAlignment="1">
      <alignment horizontal="justify" vertical="center" wrapText="1"/>
    </xf>
    <xf numFmtId="174" fontId="2" fillId="2" borderId="0" xfId="13" applyNumberFormat="1" applyFont="1" applyFill="1" applyBorder="1" applyAlignment="1">
      <alignment horizontal="left" vertical="center" wrapText="1"/>
    </xf>
    <xf numFmtId="49" fontId="6" fillId="2" borderId="3" xfId="0" applyNumberFormat="1" applyFont="1" applyFill="1" applyBorder="1" applyAlignment="1">
      <alignment horizontal="justify" vertical="center" wrapText="1"/>
    </xf>
    <xf numFmtId="168" fontId="2" fillId="0" borderId="13" xfId="0" applyFont="1" applyFill="1" applyBorder="1" applyAlignment="1">
      <alignment horizontal="center" vertical="center" wrapText="1"/>
    </xf>
    <xf numFmtId="168" fontId="6" fillId="0" borderId="13" xfId="0" applyFont="1" applyFill="1" applyBorder="1" applyAlignment="1">
      <alignment horizontal="justify" vertical="center" wrapText="1"/>
    </xf>
    <xf numFmtId="0" fontId="2" fillId="2" borderId="13" xfId="0" applyNumberFormat="1" applyFont="1" applyFill="1" applyBorder="1" applyAlignment="1">
      <alignment horizontal="justify" vertical="center"/>
    </xf>
    <xf numFmtId="0" fontId="2" fillId="2" borderId="13" xfId="0" applyNumberFormat="1" applyFont="1" applyFill="1" applyBorder="1" applyAlignment="1">
      <alignment horizontal="left" vertical="center" wrapText="1"/>
    </xf>
    <xf numFmtId="0" fontId="2" fillId="2" borderId="15" xfId="0" applyNumberFormat="1" applyFont="1" applyFill="1" applyBorder="1" applyAlignment="1">
      <alignment horizontal="left" vertical="center" wrapText="1"/>
    </xf>
    <xf numFmtId="3" fontId="2" fillId="2" borderId="3" xfId="0" applyNumberFormat="1" applyFont="1" applyFill="1" applyBorder="1" applyAlignment="1">
      <alignment horizontal="right" vertical="center" wrapText="1"/>
    </xf>
    <xf numFmtId="49" fontId="2" fillId="2" borderId="3" xfId="0" applyNumberFormat="1" applyFont="1" applyFill="1" applyBorder="1" applyAlignment="1">
      <alignment horizontal="center" vertical="center" wrapText="1"/>
    </xf>
    <xf numFmtId="0" fontId="2" fillId="2" borderId="13" xfId="8" applyNumberFormat="1" applyFont="1" applyFill="1" applyBorder="1" applyAlignment="1">
      <alignment horizontal="center" vertical="center" wrapText="1"/>
    </xf>
    <xf numFmtId="168" fontId="2" fillId="2" borderId="13" xfId="0" applyFont="1" applyFill="1" applyBorder="1" applyAlignment="1">
      <alignment horizontal="center" vertical="center" wrapText="1"/>
    </xf>
    <xf numFmtId="0" fontId="2" fillId="2" borderId="3" xfId="0" applyNumberFormat="1" applyFont="1" applyFill="1" applyBorder="1" applyAlignment="1">
      <alignment horizontal="left" vertical="center" wrapText="1"/>
    </xf>
    <xf numFmtId="0" fontId="3" fillId="2" borderId="3" xfId="0" applyNumberFormat="1" applyFont="1" applyFill="1" applyBorder="1" applyAlignment="1">
      <alignment horizontal="left" vertical="center" wrapText="1"/>
    </xf>
    <xf numFmtId="0" fontId="3" fillId="2" borderId="3" xfId="0" applyNumberFormat="1" applyFont="1" applyFill="1" applyBorder="1" applyAlignment="1">
      <alignment horizontal="center" vertical="center" wrapText="1"/>
    </xf>
    <xf numFmtId="0" fontId="2" fillId="2" borderId="13" xfId="0" applyNumberFormat="1" applyFont="1" applyFill="1" applyBorder="1" applyAlignment="1">
      <alignment vertical="center" wrapText="1"/>
    </xf>
    <xf numFmtId="0" fontId="3" fillId="2" borderId="16" xfId="0" applyNumberFormat="1" applyFont="1" applyFill="1" applyBorder="1" applyAlignment="1">
      <alignment horizontal="left" vertical="center" wrapText="1"/>
    </xf>
    <xf numFmtId="0" fontId="3" fillId="2" borderId="13" xfId="0" applyNumberFormat="1" applyFont="1" applyFill="1" applyBorder="1" applyAlignment="1">
      <alignment horizontal="left" vertical="center" wrapText="1"/>
    </xf>
    <xf numFmtId="168" fontId="2" fillId="2" borderId="13" xfId="6" applyFont="1" applyFill="1" applyBorder="1" applyAlignment="1">
      <alignment horizontal="justify" vertical="center" wrapText="1"/>
    </xf>
    <xf numFmtId="170" fontId="17" fillId="2" borderId="13" xfId="5" applyNumberFormat="1" applyFont="1" applyFill="1" applyBorder="1" applyAlignment="1">
      <alignment horizontal="right" vertical="center"/>
    </xf>
    <xf numFmtId="0" fontId="3" fillId="2" borderId="9" xfId="0" applyNumberFormat="1" applyFont="1" applyFill="1" applyBorder="1" applyAlignment="1">
      <alignment horizontal="left" vertical="center" wrapText="1"/>
    </xf>
    <xf numFmtId="168" fontId="35" fillId="2" borderId="3" xfId="0" applyFont="1" applyFill="1" applyBorder="1" applyAlignment="1">
      <alignment horizontal="center" vertical="center" wrapText="1"/>
    </xf>
    <xf numFmtId="168" fontId="6" fillId="2" borderId="13" xfId="0" applyFont="1" applyFill="1" applyBorder="1" applyAlignment="1">
      <alignment horizontal="justify" vertical="center" wrapText="1"/>
    </xf>
    <xf numFmtId="168" fontId="35" fillId="2" borderId="3" xfId="0" applyFont="1" applyFill="1" applyBorder="1" applyAlignment="1">
      <alignment vertical="center" wrapText="1"/>
    </xf>
    <xf numFmtId="0" fontId="2" fillId="2" borderId="13" xfId="6" applyNumberFormat="1" applyFont="1" applyFill="1" applyBorder="1" applyAlignment="1">
      <alignment horizontal="justify" vertical="center" wrapText="1"/>
    </xf>
    <xf numFmtId="0" fontId="3" fillId="2" borderId="13" xfId="0" applyNumberFormat="1" applyFont="1" applyFill="1" applyBorder="1" applyAlignment="1">
      <alignment horizontal="center" vertical="center" wrapText="1"/>
    </xf>
    <xf numFmtId="3" fontId="3" fillId="2" borderId="3" xfId="0" applyNumberFormat="1" applyFont="1" applyFill="1" applyBorder="1" applyAlignment="1">
      <alignment horizontal="center" vertical="center" wrapText="1"/>
    </xf>
    <xf numFmtId="0" fontId="3" fillId="2" borderId="0" xfId="0" applyNumberFormat="1" applyFont="1" applyFill="1" applyBorder="1" applyAlignment="1">
      <alignment horizontal="left" vertical="center" wrapText="1"/>
    </xf>
    <xf numFmtId="169" fontId="6" fillId="2" borderId="3" xfId="0" applyNumberFormat="1" applyFont="1" applyFill="1" applyBorder="1" applyAlignment="1">
      <alignment horizontal="center" vertical="center"/>
    </xf>
    <xf numFmtId="0" fontId="6" fillId="2" borderId="13" xfId="0" applyNumberFormat="1" applyFont="1" applyFill="1" applyBorder="1" applyAlignment="1">
      <alignment horizontal="justify" vertical="center"/>
    </xf>
    <xf numFmtId="0" fontId="6" fillId="2" borderId="3" xfId="0" applyNumberFormat="1" applyFont="1" applyFill="1" applyBorder="1" applyAlignment="1">
      <alignment horizontal="center" vertical="center" wrapText="1"/>
    </xf>
    <xf numFmtId="0" fontId="6" fillId="2" borderId="7" xfId="0" applyNumberFormat="1" applyFont="1" applyFill="1" applyBorder="1" applyAlignment="1">
      <alignment horizontal="justify" vertical="center" wrapText="1"/>
    </xf>
    <xf numFmtId="3" fontId="6" fillId="2" borderId="3" xfId="0" applyNumberFormat="1" applyFont="1" applyFill="1" applyBorder="1" applyAlignment="1">
      <alignment horizontal="right" vertical="center" wrapText="1"/>
    </xf>
    <xf numFmtId="168" fontId="6" fillId="2" borderId="3" xfId="0" applyFont="1" applyFill="1" applyBorder="1" applyAlignment="1">
      <alignment horizontal="center" vertical="center" wrapText="1"/>
    </xf>
    <xf numFmtId="0" fontId="6" fillId="2" borderId="13" xfId="0" applyNumberFormat="1" applyFont="1" applyFill="1" applyBorder="1" applyAlignment="1">
      <alignment horizontal="justify" vertical="center" wrapText="1"/>
    </xf>
    <xf numFmtId="168" fontId="6" fillId="2" borderId="13" xfId="0" applyFont="1" applyFill="1" applyBorder="1" applyAlignment="1">
      <alignment horizontal="center" vertical="center" wrapText="1"/>
    </xf>
    <xf numFmtId="168" fontId="6" fillId="2" borderId="3" xfId="0" applyFont="1" applyFill="1" applyBorder="1"/>
    <xf numFmtId="0" fontId="2" fillId="2" borderId="7" xfId="0" applyNumberFormat="1" applyFont="1" applyFill="1" applyBorder="1" applyAlignment="1">
      <alignment horizontal="justify" vertical="center" wrapText="1"/>
    </xf>
    <xf numFmtId="0" fontId="2" fillId="2" borderId="13" xfId="7" applyNumberFormat="1" applyFont="1" applyFill="1" applyBorder="1" applyAlignment="1">
      <alignment horizontal="center" vertical="center" wrapText="1"/>
    </xf>
    <xf numFmtId="0" fontId="6" fillId="2" borderId="13" xfId="7" applyFont="1" applyFill="1" applyBorder="1" applyAlignment="1">
      <alignment horizontal="justify" vertical="center"/>
    </xf>
    <xf numFmtId="0" fontId="6" fillId="2" borderId="17" xfId="0" applyNumberFormat="1" applyFont="1" applyFill="1" applyBorder="1" applyAlignment="1">
      <alignment horizontal="center" vertical="center"/>
    </xf>
    <xf numFmtId="0" fontId="2" fillId="2" borderId="16" xfId="0" applyNumberFormat="1" applyFont="1" applyFill="1" applyBorder="1" applyAlignment="1">
      <alignment horizontal="center" vertical="center" wrapText="1"/>
    </xf>
    <xf numFmtId="1" fontId="6" fillId="2" borderId="3" xfId="0" applyNumberFormat="1" applyFont="1" applyFill="1" applyBorder="1" applyAlignment="1">
      <alignment horizontal="center" vertical="center" wrapText="1"/>
    </xf>
    <xf numFmtId="168" fontId="22" fillId="2" borderId="13" xfId="0" applyFont="1" applyFill="1" applyBorder="1" applyAlignment="1">
      <alignment horizontal="center" vertical="center" wrapText="1"/>
    </xf>
    <xf numFmtId="168" fontId="6" fillId="2" borderId="13" xfId="0" applyFont="1" applyFill="1" applyBorder="1" applyAlignment="1" applyProtection="1">
      <alignment horizontal="justify" vertical="center" wrapText="1"/>
      <protection locked="0"/>
    </xf>
    <xf numFmtId="0" fontId="2" fillId="2" borderId="3" xfId="9" applyFont="1" applyFill="1" applyBorder="1">
      <alignment horizontal="center" vertical="center" wrapText="1"/>
    </xf>
    <xf numFmtId="0" fontId="2" fillId="2" borderId="3" xfId="0" applyNumberFormat="1" applyFont="1" applyFill="1" applyBorder="1" applyAlignment="1">
      <alignment horizontal="justify" vertical="center"/>
    </xf>
    <xf numFmtId="3" fontId="6" fillId="2" borderId="3" xfId="0" applyNumberFormat="1" applyFont="1" applyFill="1" applyBorder="1" applyAlignment="1">
      <alignment horizontal="center" vertical="center" wrapText="1"/>
    </xf>
    <xf numFmtId="0" fontId="6" fillId="2" borderId="0" xfId="0" applyNumberFormat="1" applyFont="1" applyFill="1" applyBorder="1" applyAlignment="1">
      <alignment horizontal="justify" vertical="center" wrapText="1"/>
    </xf>
    <xf numFmtId="0" fontId="3" fillId="2" borderId="19" xfId="0" applyNumberFormat="1" applyFont="1" applyFill="1" applyBorder="1" applyAlignment="1">
      <alignment horizontal="center" vertical="center" wrapText="1"/>
    </xf>
    <xf numFmtId="3" fontId="2" fillId="2" borderId="3" xfId="0" applyNumberFormat="1" applyFont="1" applyFill="1" applyBorder="1" applyAlignment="1">
      <alignment horizontal="center" vertical="center" wrapText="1"/>
    </xf>
    <xf numFmtId="0" fontId="3" fillId="2" borderId="0" xfId="0" applyNumberFormat="1" applyFont="1" applyFill="1" applyBorder="1" applyAlignment="1">
      <alignment horizontal="center" vertical="center" wrapText="1"/>
    </xf>
    <xf numFmtId="168" fontId="35" fillId="2" borderId="12" xfId="0" applyFont="1" applyFill="1" applyBorder="1" applyAlignment="1">
      <alignment horizontal="center" vertical="center" wrapText="1"/>
    </xf>
    <xf numFmtId="0" fontId="36" fillId="2" borderId="3" xfId="0" applyNumberFormat="1" applyFont="1" applyFill="1" applyBorder="1" applyAlignment="1">
      <alignment horizontal="center" vertical="center" wrapText="1"/>
    </xf>
    <xf numFmtId="168" fontId="36" fillId="2" borderId="3" xfId="0" applyFont="1" applyFill="1" applyBorder="1" applyAlignment="1">
      <alignment horizontal="justify" vertical="center" wrapText="1"/>
    </xf>
    <xf numFmtId="168" fontId="23" fillId="2" borderId="0" xfId="0" applyFont="1" applyFill="1"/>
    <xf numFmtId="168" fontId="23" fillId="0" borderId="0" xfId="0" applyFont="1" applyFill="1"/>
    <xf numFmtId="168" fontId="22" fillId="0" borderId="13" xfId="0" applyFont="1" applyFill="1" applyBorder="1" applyAlignment="1">
      <alignment horizontal="justify" vertical="center" wrapText="1"/>
    </xf>
    <xf numFmtId="3" fontId="2" fillId="0" borderId="3" xfId="0" applyNumberFormat="1" applyFont="1" applyFill="1" applyBorder="1" applyAlignment="1">
      <alignment horizontal="right" vertical="center" wrapText="1"/>
    </xf>
    <xf numFmtId="0" fontId="22" fillId="0" borderId="3" xfId="0" applyNumberFormat="1" applyFont="1" applyFill="1" applyBorder="1" applyAlignment="1">
      <alignment horizontal="center" vertical="center" wrapText="1"/>
    </xf>
    <xf numFmtId="168" fontId="2" fillId="31" borderId="9" xfId="0" applyFont="1" applyFill="1" applyBorder="1" applyAlignment="1">
      <alignment horizontal="center" vertical="center" wrapText="1"/>
    </xf>
    <xf numFmtId="0" fontId="2" fillId="13" borderId="15" xfId="0" applyNumberFormat="1" applyFont="1" applyFill="1" applyBorder="1" applyAlignment="1">
      <alignment horizontal="left" vertical="center" wrapText="1"/>
    </xf>
    <xf numFmtId="0" fontId="33" fillId="0" borderId="3" xfId="0" applyNumberFormat="1" applyFont="1" applyFill="1" applyBorder="1" applyAlignment="1">
      <alignment horizontal="left" vertical="center" wrapText="1"/>
    </xf>
    <xf numFmtId="0" fontId="33" fillId="0" borderId="0" xfId="0" applyNumberFormat="1" applyFont="1" applyFill="1" applyBorder="1" applyAlignment="1">
      <alignment horizontal="left" vertical="center" wrapText="1"/>
    </xf>
    <xf numFmtId="168" fontId="23" fillId="0" borderId="3" xfId="0" applyFont="1" applyFill="1" applyBorder="1"/>
    <xf numFmtId="0" fontId="24" fillId="2"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168" fontId="2" fillId="30" borderId="3" xfId="0" applyFont="1" applyFill="1" applyBorder="1" applyAlignment="1">
      <alignment horizontal="justify" vertical="center" wrapText="1"/>
    </xf>
    <xf numFmtId="167" fontId="2" fillId="2" borderId="13" xfId="13" applyNumberFormat="1" applyFont="1" applyFill="1" applyBorder="1" applyAlignment="1">
      <alignment horizontal="left" vertical="center" wrapText="1"/>
    </xf>
    <xf numFmtId="0" fontId="2" fillId="0" borderId="15" xfId="0" applyNumberFormat="1" applyFont="1" applyBorder="1" applyAlignment="1">
      <alignment horizontal="justify" vertical="center"/>
    </xf>
    <xf numFmtId="3" fontId="2" fillId="0" borderId="3" xfId="0" applyNumberFormat="1" applyFont="1" applyBorder="1" applyAlignment="1">
      <alignment vertical="center" wrapText="1"/>
    </xf>
    <xf numFmtId="3" fontId="2" fillId="0" borderId="3" xfId="0" applyNumberFormat="1" applyFont="1" applyBorder="1" applyAlignment="1">
      <alignment horizontal="right" vertical="center" wrapText="1"/>
    </xf>
    <xf numFmtId="168" fontId="30" fillId="0" borderId="3" xfId="0" applyFont="1" applyBorder="1" applyAlignment="1">
      <alignment vertical="center" wrapText="1"/>
    </xf>
    <xf numFmtId="168" fontId="39" fillId="2" borderId="3" xfId="0" applyFont="1" applyFill="1" applyBorder="1" applyAlignment="1">
      <alignment vertical="center" wrapText="1"/>
    </xf>
    <xf numFmtId="1" fontId="38" fillId="2" borderId="3" xfId="1" applyNumberFormat="1" applyFont="1" applyFill="1" applyBorder="1" applyAlignment="1">
      <alignment horizontal="center" vertical="center" wrapText="1"/>
    </xf>
    <xf numFmtId="1" fontId="39" fillId="2" borderId="3" xfId="0" applyNumberFormat="1" applyFont="1" applyFill="1" applyBorder="1" applyAlignment="1">
      <alignment horizontal="center" vertical="center" wrapText="1"/>
    </xf>
    <xf numFmtId="168" fontId="30" fillId="0" borderId="3" xfId="0" applyFont="1" applyBorder="1" applyAlignment="1">
      <alignment horizontal="justify" vertical="center" wrapText="1"/>
    </xf>
    <xf numFmtId="168" fontId="39" fillId="0" borderId="3" xfId="0" applyFont="1" applyBorder="1" applyAlignment="1">
      <alignment vertical="center" wrapText="1"/>
    </xf>
    <xf numFmtId="168" fontId="6" fillId="0" borderId="13" xfId="0" applyFont="1" applyFill="1" applyBorder="1" applyAlignment="1">
      <alignment horizontal="justify" vertical="center" wrapText="1"/>
    </xf>
    <xf numFmtId="168" fontId="2" fillId="0" borderId="13" xfId="0" applyFont="1" applyFill="1" applyBorder="1" applyAlignment="1">
      <alignment horizontal="center" vertical="center" wrapText="1"/>
    </xf>
    <xf numFmtId="168" fontId="6" fillId="0" borderId="13" xfId="0" applyFont="1" applyFill="1" applyBorder="1" applyAlignment="1">
      <alignment horizontal="justify" vertical="center" wrapText="1"/>
    </xf>
    <xf numFmtId="3" fontId="3" fillId="0" borderId="0" xfId="0" applyNumberFormat="1" applyFont="1" applyBorder="1" applyAlignment="1">
      <alignment vertical="center" wrapText="1"/>
    </xf>
    <xf numFmtId="3" fontId="2" fillId="0" borderId="0" xfId="0" applyNumberFormat="1" applyFont="1" applyAlignment="1">
      <alignment vertical="center"/>
    </xf>
    <xf numFmtId="43" fontId="6" fillId="0" borderId="3" xfId="1" applyFont="1" applyBorder="1" applyAlignment="1">
      <alignment horizontal="justify" vertical="center" wrapText="1"/>
    </xf>
    <xf numFmtId="0" fontId="21" fillId="25" borderId="3" xfId="0" applyNumberFormat="1" applyFont="1" applyFill="1" applyBorder="1" applyAlignment="1">
      <alignment horizontal="center" vertical="center" wrapText="1"/>
    </xf>
    <xf numFmtId="0" fontId="21" fillId="25" borderId="5" xfId="0" applyNumberFormat="1" applyFont="1" applyFill="1" applyBorder="1" applyAlignment="1">
      <alignment horizontal="center" vertical="center" wrapText="1"/>
    </xf>
    <xf numFmtId="0" fontId="3" fillId="13" borderId="3" xfId="0" applyNumberFormat="1" applyFont="1" applyFill="1" applyBorder="1" applyAlignment="1">
      <alignment horizontal="center" vertical="center" wrapText="1"/>
    </xf>
    <xf numFmtId="0" fontId="2" fillId="13" borderId="3" xfId="0" applyNumberFormat="1" applyFont="1" applyFill="1" applyBorder="1" applyAlignment="1">
      <alignment horizontal="left" vertical="center" wrapText="1"/>
    </xf>
    <xf numFmtId="1" fontId="22" fillId="2" borderId="15" xfId="0" applyNumberFormat="1" applyFont="1" applyFill="1" applyBorder="1" applyAlignment="1">
      <alignment horizontal="center" vertical="center" wrapText="1"/>
    </xf>
    <xf numFmtId="0" fontId="3" fillId="28" borderId="15" xfId="0" applyNumberFormat="1" applyFont="1" applyFill="1" applyBorder="1" applyAlignment="1">
      <alignment horizontal="left" vertical="center" wrapText="1"/>
    </xf>
    <xf numFmtId="0" fontId="3" fillId="28" borderId="3" xfId="0" applyNumberFormat="1" applyFont="1" applyFill="1" applyBorder="1" applyAlignment="1">
      <alignment horizontal="left" vertical="center" wrapText="1"/>
    </xf>
    <xf numFmtId="0" fontId="2" fillId="2" borderId="18" xfId="0" applyNumberFormat="1" applyFont="1" applyFill="1" applyBorder="1" applyAlignment="1">
      <alignment horizontal="left" vertical="center" wrapText="1"/>
    </xf>
    <xf numFmtId="44" fontId="2" fillId="2" borderId="3" xfId="11" applyFont="1" applyFill="1" applyBorder="1" applyAlignment="1">
      <alignment horizontal="left" vertical="center" wrapText="1"/>
    </xf>
    <xf numFmtId="0" fontId="2" fillId="2" borderId="19" xfId="0" applyNumberFormat="1" applyFont="1" applyFill="1" applyBorder="1" applyAlignment="1">
      <alignment horizontal="center" vertical="center" wrapText="1"/>
    </xf>
    <xf numFmtId="168" fontId="22" fillId="2" borderId="13" xfId="0" applyFont="1" applyFill="1" applyBorder="1" applyAlignment="1">
      <alignment vertical="center" wrapText="1"/>
    </xf>
    <xf numFmtId="0" fontId="2" fillId="0" borderId="17" xfId="0" applyNumberFormat="1" applyFont="1" applyBorder="1" applyAlignment="1">
      <alignment horizontal="justify" vertical="center"/>
    </xf>
    <xf numFmtId="0" fontId="2" fillId="0" borderId="33" xfId="0" applyNumberFormat="1" applyFont="1" applyFill="1" applyBorder="1" applyAlignment="1">
      <alignment horizontal="center" vertical="center" wrapText="1"/>
    </xf>
    <xf numFmtId="0" fontId="2" fillId="0" borderId="17" xfId="0" applyNumberFormat="1" applyFont="1" applyBorder="1" applyAlignment="1">
      <alignment horizontal="center" vertical="center" wrapText="1"/>
    </xf>
    <xf numFmtId="0" fontId="2" fillId="11" borderId="0" xfId="0" applyNumberFormat="1" applyFont="1" applyFill="1" applyAlignment="1">
      <alignment horizontal="left" vertical="center" wrapText="1"/>
    </xf>
    <xf numFmtId="0" fontId="3" fillId="11" borderId="0" xfId="0" applyNumberFormat="1" applyFont="1" applyFill="1" applyAlignment="1">
      <alignment horizontal="left" vertical="center" wrapText="1"/>
    </xf>
    <xf numFmtId="4" fontId="2" fillId="0" borderId="3" xfId="0" applyNumberFormat="1" applyFont="1" applyBorder="1" applyAlignment="1">
      <alignment horizontal="right" vertical="center" wrapText="1"/>
    </xf>
    <xf numFmtId="0" fontId="2" fillId="0" borderId="0" xfId="0" applyNumberFormat="1" applyFont="1" applyAlignment="1">
      <alignment horizontal="left" vertical="center" wrapText="1"/>
    </xf>
    <xf numFmtId="0" fontId="3" fillId="0" borderId="0" xfId="0" applyNumberFormat="1" applyFont="1" applyAlignment="1">
      <alignment horizontal="left" vertical="center" wrapText="1"/>
    </xf>
    <xf numFmtId="0" fontId="8" fillId="0" borderId="3" xfId="7" applyFont="1" applyBorder="1" applyAlignment="1">
      <alignment horizontal="center" vertical="center" wrapText="1"/>
    </xf>
    <xf numFmtId="0" fontId="28" fillId="0" borderId="3" xfId="7" applyFont="1" applyBorder="1" applyAlignment="1">
      <alignment horizontal="center" vertical="center" wrapText="1"/>
    </xf>
    <xf numFmtId="168" fontId="2" fillId="2" borderId="0" xfId="0" applyFont="1" applyFill="1" applyAlignment="1">
      <alignment horizontal="justify" vertical="center" wrapText="1"/>
    </xf>
    <xf numFmtId="0" fontId="2" fillId="28" borderId="3" xfId="0" applyNumberFormat="1" applyFont="1" applyFill="1" applyBorder="1" applyAlignment="1">
      <alignment horizontal="left" vertical="center" wrapText="1"/>
    </xf>
    <xf numFmtId="49" fontId="2" fillId="2" borderId="0" xfId="0" applyNumberFormat="1" applyFont="1" applyFill="1" applyAlignment="1">
      <alignment horizontal="justify" vertical="center" wrapText="1"/>
    </xf>
    <xf numFmtId="0" fontId="2" fillId="2" borderId="0" xfId="0" applyNumberFormat="1" applyFont="1" applyFill="1" applyAlignment="1">
      <alignment horizontal="justify" vertical="center" wrapText="1"/>
    </xf>
    <xf numFmtId="0" fontId="2" fillId="28" borderId="0" xfId="0" applyNumberFormat="1" applyFont="1" applyFill="1" applyAlignment="1">
      <alignment horizontal="left" vertical="center" wrapText="1"/>
    </xf>
    <xf numFmtId="3" fontId="3" fillId="28" borderId="3" xfId="0" applyNumberFormat="1" applyFont="1" applyFill="1" applyBorder="1" applyAlignment="1">
      <alignment horizontal="right" vertical="center" wrapText="1"/>
    </xf>
    <xf numFmtId="168" fontId="2" fillId="2" borderId="13" xfId="0" applyFont="1" applyFill="1" applyBorder="1" applyAlignment="1">
      <alignment horizontal="left" vertical="center" wrapText="1"/>
    </xf>
    <xf numFmtId="0" fontId="8" fillId="0" borderId="3" xfId="7" applyFont="1" applyBorder="1" applyAlignment="1">
      <alignment horizontal="justify" vertical="center" wrapText="1"/>
    </xf>
    <xf numFmtId="0" fontId="2" fillId="2" borderId="13" xfId="0" applyNumberFormat="1" applyFont="1" applyFill="1" applyBorder="1" applyAlignment="1">
      <alignment horizontal="center" vertical="center"/>
    </xf>
    <xf numFmtId="168" fontId="6" fillId="2" borderId="18" xfId="0" applyFont="1" applyFill="1" applyBorder="1" applyAlignment="1">
      <alignment horizontal="justify" vertical="center" wrapText="1"/>
    </xf>
    <xf numFmtId="168" fontId="2" fillId="2" borderId="15" xfId="0" applyFont="1" applyFill="1" applyBorder="1" applyAlignment="1">
      <alignment horizontal="center" vertical="center" wrapText="1"/>
    </xf>
    <xf numFmtId="0" fontId="2" fillId="2" borderId="16" xfId="0" applyNumberFormat="1" applyFont="1" applyFill="1" applyBorder="1" applyAlignment="1">
      <alignment horizontal="justify" vertical="center" wrapText="1"/>
    </xf>
    <xf numFmtId="0" fontId="6" fillId="2" borderId="16" xfId="0" applyNumberFormat="1" applyFont="1" applyFill="1" applyBorder="1" applyAlignment="1">
      <alignment horizontal="justify" vertical="center" wrapText="1"/>
    </xf>
    <xf numFmtId="168" fontId="2" fillId="2" borderId="19" xfId="0" applyFont="1" applyFill="1" applyBorder="1" applyAlignment="1">
      <alignment horizontal="justify" vertical="center" wrapText="1"/>
    </xf>
    <xf numFmtId="0" fontId="2" fillId="2" borderId="18" xfId="0" applyNumberFormat="1" applyFont="1" applyFill="1" applyBorder="1" applyAlignment="1">
      <alignment horizontal="center" vertical="center" wrapText="1"/>
    </xf>
    <xf numFmtId="168" fontId="2" fillId="2" borderId="23" xfId="0" applyFont="1" applyFill="1" applyBorder="1" applyAlignment="1">
      <alignment horizontal="justify" vertical="center" wrapText="1"/>
    </xf>
    <xf numFmtId="169" fontId="6" fillId="2" borderId="33" xfId="0" applyNumberFormat="1" applyFont="1" applyFill="1" applyBorder="1" applyAlignment="1">
      <alignment horizontal="center" vertical="center"/>
    </xf>
    <xf numFmtId="0" fontId="2" fillId="13" borderId="16" xfId="0" applyNumberFormat="1" applyFont="1" applyFill="1" applyBorder="1" applyAlignment="1">
      <alignment horizontal="justify" vertical="center" wrapText="1"/>
    </xf>
    <xf numFmtId="0" fontId="2" fillId="2" borderId="16" xfId="0" applyNumberFormat="1" applyFont="1" applyFill="1" applyBorder="1" applyAlignment="1">
      <alignment horizontal="justify" wrapText="1"/>
    </xf>
    <xf numFmtId="168" fontId="2" fillId="0" borderId="35" xfId="0" applyFont="1" applyFill="1" applyBorder="1" applyAlignment="1">
      <alignment horizontal="justify" vertical="center" wrapText="1"/>
    </xf>
    <xf numFmtId="168" fontId="2" fillId="0" borderId="26" xfId="0" applyFont="1" applyFill="1" applyBorder="1" applyAlignment="1">
      <alignment horizontal="justify" vertical="center" wrapText="1"/>
    </xf>
    <xf numFmtId="0" fontId="2" fillId="0" borderId="7" xfId="0" applyNumberFormat="1" applyFont="1" applyFill="1" applyBorder="1" applyAlignment="1">
      <alignment horizontal="center" vertical="center" wrapText="1"/>
    </xf>
    <xf numFmtId="168" fontId="2" fillId="2" borderId="33" xfId="0" applyFont="1" applyFill="1" applyBorder="1" applyAlignment="1">
      <alignment horizontal="justify" vertical="center" wrapText="1"/>
    </xf>
    <xf numFmtId="168" fontId="2" fillId="0" borderId="33" xfId="0" applyFont="1" applyFill="1" applyBorder="1" applyAlignment="1">
      <alignment horizontal="justify" vertical="center" wrapText="1"/>
    </xf>
    <xf numFmtId="0" fontId="6" fillId="0" borderId="3" xfId="0" applyNumberFormat="1" applyFont="1" applyFill="1" applyBorder="1" applyAlignment="1">
      <alignment horizontal="center" vertical="center" wrapText="1"/>
    </xf>
    <xf numFmtId="0" fontId="6" fillId="0" borderId="3" xfId="0" applyNumberFormat="1" applyFont="1" applyFill="1" applyBorder="1" applyAlignment="1">
      <alignment horizontal="left" vertical="center" wrapText="1"/>
    </xf>
    <xf numFmtId="0" fontId="6" fillId="0" borderId="16" xfId="0" applyNumberFormat="1" applyFont="1" applyFill="1" applyBorder="1" applyAlignment="1">
      <alignment horizontal="left" vertical="center" wrapText="1"/>
    </xf>
    <xf numFmtId="0" fontId="6" fillId="0" borderId="13" xfId="0" applyNumberFormat="1" applyFont="1" applyFill="1" applyBorder="1" applyAlignment="1">
      <alignment horizontal="left" vertical="center" wrapText="1"/>
    </xf>
    <xf numFmtId="168" fontId="6" fillId="0" borderId="13" xfId="0" applyFont="1" applyFill="1" applyBorder="1" applyAlignment="1">
      <alignment horizontal="center" vertical="center" wrapText="1"/>
    </xf>
    <xf numFmtId="0" fontId="2" fillId="0" borderId="35" xfId="0" applyNumberFormat="1" applyFont="1" applyBorder="1" applyAlignment="1">
      <alignment horizontal="left" vertical="center" wrapText="1"/>
    </xf>
    <xf numFmtId="3" fontId="2" fillId="0" borderId="33" xfId="0" applyNumberFormat="1" applyFont="1" applyBorder="1" applyAlignment="1">
      <alignment vertical="center" wrapText="1"/>
    </xf>
    <xf numFmtId="0" fontId="2" fillId="0" borderId="33" xfId="0" applyNumberFormat="1" applyFont="1" applyBorder="1" applyAlignment="1">
      <alignment horizontal="center" vertical="center" wrapText="1"/>
    </xf>
    <xf numFmtId="168" fontId="35" fillId="0" borderId="33" xfId="0" applyFont="1" applyFill="1" applyBorder="1" applyAlignment="1">
      <alignment horizontal="center" vertical="center" wrapText="1"/>
    </xf>
    <xf numFmtId="0" fontId="2" fillId="0" borderId="22" xfId="0" applyNumberFormat="1" applyFont="1" applyFill="1" applyBorder="1" applyAlignment="1">
      <alignment horizontal="center" vertical="center" wrapText="1"/>
    </xf>
    <xf numFmtId="168" fontId="2" fillId="0" borderId="17" xfId="0" applyFont="1" applyFill="1" applyBorder="1" applyAlignment="1">
      <alignment horizontal="justify" vertical="center" wrapText="1"/>
    </xf>
    <xf numFmtId="0" fontId="2" fillId="0" borderId="17" xfId="0" applyNumberFormat="1" applyFont="1" applyFill="1" applyBorder="1" applyAlignment="1">
      <alignment horizontal="justify" vertical="center" wrapText="1"/>
    </xf>
    <xf numFmtId="168" fontId="2" fillId="0" borderId="17" xfId="0" applyFont="1" applyFill="1" applyBorder="1" applyAlignment="1">
      <alignment horizontal="center" vertical="center" wrapText="1"/>
    </xf>
    <xf numFmtId="1" fontId="2" fillId="0" borderId="35" xfId="0" applyNumberFormat="1" applyFont="1" applyBorder="1" applyAlignment="1">
      <alignment horizontal="center" vertical="center" wrapText="1"/>
    </xf>
    <xf numFmtId="168" fontId="2" fillId="0" borderId="33" xfId="0" applyFont="1" applyBorder="1" applyAlignment="1">
      <alignment horizontal="justify" vertical="center" wrapText="1"/>
    </xf>
    <xf numFmtId="168" fontId="2" fillId="30" borderId="33" xfId="0" applyFont="1" applyFill="1" applyBorder="1" applyAlignment="1">
      <alignment horizontal="justify" vertical="center" wrapText="1"/>
    </xf>
    <xf numFmtId="168" fontId="2" fillId="0" borderId="3" xfId="0" applyFont="1" applyBorder="1" applyAlignment="1">
      <alignment horizontal="justify" vertical="center"/>
    </xf>
    <xf numFmtId="0" fontId="22" fillId="2" borderId="3" xfId="0" applyNumberFormat="1" applyFont="1" applyFill="1" applyBorder="1" applyAlignment="1">
      <alignment horizontal="center" vertical="center" wrapText="1"/>
    </xf>
    <xf numFmtId="168" fontId="2" fillId="0" borderId="3" xfId="0" applyFont="1" applyFill="1" applyBorder="1" applyAlignment="1">
      <alignment horizontal="center" vertical="center"/>
    </xf>
    <xf numFmtId="1" fontId="6" fillId="0" borderId="3" xfId="0" applyNumberFormat="1" applyFont="1" applyBorder="1" applyAlignment="1">
      <alignment horizontal="center" vertical="center" wrapText="1"/>
    </xf>
    <xf numFmtId="0" fontId="2" fillId="2" borderId="13" xfId="7" applyNumberFormat="1" applyFont="1" applyFill="1" applyBorder="1" applyAlignment="1">
      <alignment horizontal="justify" vertical="center" wrapText="1"/>
    </xf>
    <xf numFmtId="1" fontId="2" fillId="2" borderId="15" xfId="7" applyNumberFormat="1" applyFont="1" applyFill="1" applyBorder="1" applyAlignment="1">
      <alignment horizontal="center" vertical="center" wrapText="1"/>
    </xf>
    <xf numFmtId="0" fontId="2" fillId="2" borderId="0" xfId="7" applyNumberFormat="1" applyFont="1" applyFill="1" applyBorder="1" applyAlignment="1">
      <alignment horizontal="justify" vertical="center" wrapText="1"/>
    </xf>
    <xf numFmtId="0" fontId="21" fillId="2" borderId="13" xfId="0" applyNumberFormat="1" applyFont="1" applyFill="1" applyBorder="1" applyAlignment="1">
      <alignment horizontal="justify" vertical="center"/>
    </xf>
    <xf numFmtId="0" fontId="28" fillId="2" borderId="3" xfId="7" applyFont="1" applyFill="1" applyBorder="1" applyAlignment="1">
      <alignment horizontal="justify" vertical="center" wrapText="1"/>
    </xf>
    <xf numFmtId="9" fontId="8" fillId="2" borderId="3" xfId="7" applyNumberFormat="1" applyFont="1" applyFill="1" applyBorder="1" applyAlignment="1">
      <alignment horizontal="justify" vertical="center" wrapText="1"/>
    </xf>
    <xf numFmtId="0" fontId="8" fillId="2" borderId="3" xfId="7" applyFont="1" applyFill="1" applyBorder="1" applyAlignment="1">
      <alignment horizontal="justify" vertical="center" wrapText="1"/>
    </xf>
    <xf numFmtId="168" fontId="2" fillId="19" borderId="12" xfId="0" applyFont="1" applyFill="1" applyBorder="1" applyAlignment="1">
      <alignment horizontal="justify" vertical="center" wrapText="1"/>
    </xf>
    <xf numFmtId="168" fontId="2" fillId="2" borderId="3" xfId="0" applyNumberFormat="1" applyFont="1" applyFill="1" applyBorder="1" applyAlignment="1">
      <alignment horizontal="justify" vertical="center" wrapText="1"/>
    </xf>
    <xf numFmtId="168" fontId="2" fillId="19" borderId="3" xfId="0" applyFont="1" applyFill="1" applyBorder="1" applyAlignment="1">
      <alignment horizontal="justify" vertical="center" wrapText="1"/>
    </xf>
    <xf numFmtId="168" fontId="2" fillId="2" borderId="12" xfId="0" applyFont="1" applyFill="1" applyBorder="1" applyAlignment="1">
      <alignment horizontal="justify" vertical="center" wrapText="1"/>
    </xf>
    <xf numFmtId="0" fontId="3" fillId="2" borderId="19" xfId="0" applyNumberFormat="1" applyFont="1" applyFill="1" applyBorder="1" applyAlignment="1">
      <alignment vertical="center" wrapText="1"/>
    </xf>
    <xf numFmtId="0" fontId="6" fillId="2" borderId="3" xfId="0" applyNumberFormat="1" applyFont="1" applyFill="1" applyBorder="1" applyAlignment="1">
      <alignment vertical="center" wrapText="1"/>
    </xf>
    <xf numFmtId="0" fontId="2" fillId="2" borderId="3" xfId="0" applyNumberFormat="1" applyFont="1" applyFill="1" applyBorder="1" applyAlignment="1">
      <alignment vertical="center" wrapText="1"/>
    </xf>
    <xf numFmtId="0" fontId="2" fillId="0" borderId="19" xfId="0" applyNumberFormat="1" applyFont="1" applyFill="1" applyBorder="1" applyAlignment="1">
      <alignment vertical="center" wrapText="1"/>
    </xf>
    <xf numFmtId="0" fontId="2" fillId="0" borderId="13" xfId="0" applyNumberFormat="1" applyFont="1" applyFill="1" applyBorder="1" applyAlignment="1">
      <alignment vertical="center" wrapText="1"/>
    </xf>
    <xf numFmtId="0" fontId="2" fillId="2" borderId="17" xfId="0" applyNumberFormat="1" applyFont="1" applyFill="1" applyBorder="1" applyAlignment="1">
      <alignment vertical="center" wrapText="1"/>
    </xf>
    <xf numFmtId="0" fontId="2" fillId="13" borderId="13" xfId="0" applyNumberFormat="1" applyFont="1" applyFill="1" applyBorder="1" applyAlignment="1">
      <alignment vertical="center" wrapText="1"/>
    </xf>
    <xf numFmtId="0" fontId="2" fillId="2" borderId="16" xfId="0" applyNumberFormat="1" applyFont="1" applyFill="1" applyBorder="1" applyAlignment="1">
      <alignment vertical="center" wrapText="1"/>
    </xf>
    <xf numFmtId="0" fontId="2" fillId="0" borderId="13" xfId="0" applyNumberFormat="1" applyFont="1" applyBorder="1" applyAlignment="1">
      <alignment vertical="center"/>
    </xf>
    <xf numFmtId="0" fontId="3" fillId="0" borderId="13" xfId="0" applyNumberFormat="1" applyFont="1" applyBorder="1" applyAlignment="1">
      <alignment vertical="center" wrapText="1"/>
    </xf>
    <xf numFmtId="0" fontId="2" fillId="0" borderId="17" xfId="0" applyNumberFormat="1" applyFont="1" applyBorder="1" applyAlignment="1">
      <alignment vertical="center" wrapText="1"/>
    </xf>
    <xf numFmtId="0" fontId="2" fillId="0" borderId="3" xfId="0" applyNumberFormat="1" applyFont="1" applyBorder="1" applyAlignment="1">
      <alignment vertical="center" wrapText="1"/>
    </xf>
    <xf numFmtId="0" fontId="2" fillId="2" borderId="19" xfId="0" applyNumberFormat="1" applyFont="1" applyFill="1" applyBorder="1" applyAlignment="1">
      <alignment vertical="center" wrapText="1"/>
    </xf>
    <xf numFmtId="0" fontId="3" fillId="0" borderId="0" xfId="0" applyNumberFormat="1" applyFont="1" applyBorder="1" applyAlignment="1">
      <alignment vertical="center" wrapText="1"/>
    </xf>
    <xf numFmtId="0" fontId="2" fillId="0" borderId="0" xfId="0" applyNumberFormat="1" applyFont="1" applyAlignment="1">
      <alignment vertical="center"/>
    </xf>
    <xf numFmtId="168" fontId="2" fillId="0" borderId="0" xfId="0" applyFont="1" applyAlignment="1"/>
    <xf numFmtId="168" fontId="2" fillId="0" borderId="0" xfId="0" applyFont="1" applyBorder="1" applyAlignment="1">
      <alignment vertical="center" wrapText="1"/>
    </xf>
    <xf numFmtId="168" fontId="2" fillId="13" borderId="15" xfId="0" applyFont="1" applyFill="1" applyBorder="1" applyAlignment="1">
      <alignment horizontal="center" vertical="center" wrapText="1"/>
    </xf>
    <xf numFmtId="0" fontId="2" fillId="2" borderId="3" xfId="18" applyFont="1" applyFill="1" applyBorder="1" applyAlignment="1">
      <alignment vertical="center"/>
    </xf>
    <xf numFmtId="168" fontId="2" fillId="2" borderId="3" xfId="0" applyFont="1" applyFill="1" applyBorder="1" applyAlignment="1">
      <alignment vertical="center"/>
    </xf>
    <xf numFmtId="168" fontId="2" fillId="2" borderId="33" xfId="0" applyFont="1" applyFill="1" applyBorder="1" applyAlignment="1">
      <alignment vertical="center"/>
    </xf>
    <xf numFmtId="0" fontId="2" fillId="2" borderId="3" xfId="7" applyFont="1" applyFill="1" applyBorder="1" applyAlignment="1">
      <alignment horizontal="justify" vertical="center" wrapText="1"/>
    </xf>
    <xf numFmtId="168" fontId="6" fillId="2" borderId="19" xfId="0" applyFont="1" applyFill="1" applyBorder="1" applyAlignment="1">
      <alignment horizontal="justify" vertical="center" wrapText="1"/>
    </xf>
    <xf numFmtId="1" fontId="6" fillId="2" borderId="26" xfId="0" applyNumberFormat="1" applyFont="1" applyFill="1" applyBorder="1" applyAlignment="1">
      <alignment horizontal="center" vertical="center" wrapText="1"/>
    </xf>
    <xf numFmtId="168" fontId="2" fillId="0" borderId="12" xfId="0" applyFont="1" applyBorder="1" applyAlignment="1">
      <alignment horizontal="justify" vertical="center" wrapText="1"/>
    </xf>
    <xf numFmtId="49" fontId="9" fillId="2" borderId="3" xfId="0" applyNumberFormat="1" applyFont="1" applyFill="1" applyBorder="1" applyAlignment="1">
      <alignment horizontal="justify" vertical="center" wrapText="1"/>
    </xf>
    <xf numFmtId="168" fontId="2" fillId="2" borderId="13" xfId="0" applyFont="1" applyFill="1" applyBorder="1" applyAlignment="1">
      <alignment horizontal="center" vertical="center"/>
    </xf>
    <xf numFmtId="168" fontId="17" fillId="0" borderId="17" xfId="0" applyFont="1" applyFill="1" applyBorder="1" applyAlignment="1">
      <alignment vertical="center" wrapText="1"/>
    </xf>
    <xf numFmtId="168" fontId="16" fillId="0" borderId="17" xfId="0" applyFont="1" applyBorder="1" applyAlignment="1">
      <alignment vertical="center" wrapText="1"/>
    </xf>
    <xf numFmtId="0" fontId="2" fillId="2" borderId="19" xfId="0" applyNumberFormat="1" applyFont="1" applyFill="1" applyBorder="1" applyAlignment="1">
      <alignment horizontal="justify" vertical="center" wrapText="1"/>
    </xf>
    <xf numFmtId="0" fontId="2" fillId="2" borderId="26" xfId="0" applyNumberFormat="1" applyFont="1" applyFill="1" applyBorder="1" applyAlignment="1">
      <alignment horizontal="left" vertical="center" wrapText="1"/>
    </xf>
    <xf numFmtId="4" fontId="2" fillId="2" borderId="12" xfId="0" applyNumberFormat="1" applyFont="1" applyFill="1" applyBorder="1" applyAlignment="1">
      <alignment horizontal="right" vertical="center" wrapText="1"/>
    </xf>
    <xf numFmtId="0" fontId="2" fillId="2" borderId="12" xfId="0" applyNumberFormat="1" applyFont="1" applyFill="1" applyBorder="1" applyAlignment="1">
      <alignment horizontal="left" vertical="center" wrapText="1"/>
    </xf>
    <xf numFmtId="0" fontId="8" fillId="2" borderId="12" xfId="7" applyFont="1" applyFill="1" applyBorder="1" applyAlignment="1">
      <alignment horizontal="center" vertical="center" wrapText="1"/>
    </xf>
    <xf numFmtId="0" fontId="28" fillId="2" borderId="12" xfId="7" applyFont="1" applyFill="1" applyBorder="1" applyAlignment="1">
      <alignment horizontal="center" vertical="center" wrapText="1"/>
    </xf>
    <xf numFmtId="0" fontId="2" fillId="2" borderId="19" xfId="0" applyNumberFormat="1" applyFont="1" applyFill="1" applyBorder="1" applyAlignment="1">
      <alignment horizontal="center" vertical="center"/>
    </xf>
    <xf numFmtId="168" fontId="2" fillId="2" borderId="19" xfId="0" applyFont="1" applyFill="1" applyBorder="1" applyAlignment="1">
      <alignment horizontal="justify" vertical="center"/>
    </xf>
    <xf numFmtId="1" fontId="2" fillId="2" borderId="26" xfId="0" applyNumberFormat="1" applyFont="1" applyFill="1" applyBorder="1" applyAlignment="1">
      <alignment horizontal="center" vertical="center" wrapText="1"/>
    </xf>
    <xf numFmtId="4" fontId="2" fillId="2" borderId="3" xfId="0" applyNumberFormat="1" applyFont="1" applyFill="1" applyBorder="1" applyAlignment="1">
      <alignment horizontal="right" vertical="center" wrapText="1"/>
    </xf>
    <xf numFmtId="0" fontId="2" fillId="2" borderId="12" xfId="0" applyNumberFormat="1" applyFont="1" applyFill="1" applyBorder="1" applyAlignment="1">
      <alignment horizontal="center" vertical="center" wrapText="1"/>
    </xf>
    <xf numFmtId="0" fontId="2" fillId="2" borderId="0" xfId="0" applyNumberFormat="1" applyFont="1" applyFill="1" applyAlignment="1">
      <alignment horizontal="center" vertical="center" wrapText="1"/>
    </xf>
    <xf numFmtId="168" fontId="2" fillId="13" borderId="3" xfId="0" applyFont="1" applyFill="1" applyBorder="1" applyAlignment="1">
      <alignment horizontal="left" vertical="center" wrapText="1"/>
    </xf>
    <xf numFmtId="0" fontId="2" fillId="2" borderId="16" xfId="6" applyNumberFormat="1" applyFont="1" applyFill="1" applyBorder="1" applyAlignment="1">
      <alignment horizontal="center" vertical="center" wrapText="1"/>
    </xf>
    <xf numFmtId="168" fontId="2" fillId="13" borderId="13" xfId="0" applyFont="1" applyFill="1" applyBorder="1" applyAlignment="1">
      <alignment horizontal="justify" vertical="center" wrapText="1"/>
    </xf>
    <xf numFmtId="168" fontId="22" fillId="2" borderId="33" xfId="0" applyFont="1" applyFill="1" applyBorder="1" applyAlignment="1">
      <alignment vertical="center"/>
    </xf>
    <xf numFmtId="3" fontId="2" fillId="2" borderId="3" xfId="0" applyNumberFormat="1" applyFont="1" applyFill="1" applyBorder="1" applyAlignment="1">
      <alignment vertical="center" wrapText="1"/>
    </xf>
    <xf numFmtId="0" fontId="6" fillId="2" borderId="13" xfId="6" applyNumberFormat="1" applyFont="1" applyFill="1" applyBorder="1" applyAlignment="1">
      <alignment horizontal="center" vertical="center" wrapText="1"/>
    </xf>
    <xf numFmtId="0" fontId="2" fillId="2" borderId="26" xfId="0" applyNumberFormat="1" applyFont="1" applyFill="1" applyBorder="1" applyAlignment="1">
      <alignment horizontal="center" vertical="center" wrapText="1"/>
    </xf>
    <xf numFmtId="0" fontId="2" fillId="2" borderId="35" xfId="0" applyNumberFormat="1" applyFont="1" applyFill="1" applyBorder="1" applyAlignment="1">
      <alignment horizontal="center" vertical="center" wrapText="1"/>
    </xf>
    <xf numFmtId="174" fontId="6" fillId="2" borderId="3" xfId="13" applyNumberFormat="1" applyFont="1" applyFill="1" applyBorder="1" applyAlignment="1">
      <alignment horizontal="left" vertical="center" wrapText="1"/>
    </xf>
    <xf numFmtId="168" fontId="2" fillId="0" borderId="15" xfId="0" applyFont="1" applyBorder="1" applyAlignment="1">
      <alignment horizontal="justify" vertical="center" wrapText="1"/>
    </xf>
    <xf numFmtId="168" fontId="2" fillId="0" borderId="15" xfId="0" applyFont="1" applyBorder="1" applyAlignment="1">
      <alignment horizontal="center" vertical="center" wrapText="1"/>
    </xf>
    <xf numFmtId="168" fontId="2" fillId="0" borderId="15" xfId="0" applyFont="1" applyBorder="1" applyAlignment="1">
      <alignment horizontal="justify" vertical="center"/>
    </xf>
    <xf numFmtId="168" fontId="2" fillId="0" borderId="35" xfId="0" applyFont="1" applyBorder="1" applyAlignment="1">
      <alignment horizontal="justify" vertical="center" wrapText="1"/>
    </xf>
    <xf numFmtId="168" fontId="2" fillId="0" borderId="7" xfId="0" applyFont="1" applyBorder="1" applyAlignment="1">
      <alignment horizontal="justify" vertical="center" wrapText="1"/>
    </xf>
    <xf numFmtId="168" fontId="2" fillId="0" borderId="26" xfId="0" applyFont="1" applyBorder="1" applyAlignment="1">
      <alignment horizontal="justify" vertical="center" wrapText="1"/>
    </xf>
    <xf numFmtId="0" fontId="2" fillId="0" borderId="16" xfId="0" applyNumberFormat="1" applyFont="1" applyBorder="1" applyAlignment="1">
      <alignment horizontal="justify" vertical="center" wrapText="1"/>
    </xf>
    <xf numFmtId="0" fontId="2" fillId="0" borderId="16" xfId="0" applyNumberFormat="1" applyFont="1" applyBorder="1" applyAlignment="1">
      <alignment horizontal="justify" wrapText="1"/>
    </xf>
    <xf numFmtId="0" fontId="2" fillId="0" borderId="16" xfId="0" applyNumberFormat="1" applyFont="1" applyFill="1" applyBorder="1" applyAlignment="1">
      <alignment horizontal="justify" vertical="center" wrapText="1"/>
    </xf>
    <xf numFmtId="49" fontId="6" fillId="0" borderId="37" xfId="0" applyNumberFormat="1" applyFont="1" applyBorder="1" applyAlignment="1">
      <alignment horizontal="justify" vertical="center" wrapText="1"/>
    </xf>
    <xf numFmtId="49" fontId="6" fillId="0" borderId="38" xfId="0" applyNumberFormat="1" applyFont="1" applyBorder="1" applyAlignment="1">
      <alignment horizontal="justify" vertical="center" wrapText="1"/>
    </xf>
    <xf numFmtId="49" fontId="6" fillId="0" borderId="9" xfId="0" applyNumberFormat="1" applyFont="1" applyBorder="1" applyAlignment="1">
      <alignment horizontal="justify" vertical="center" wrapText="1"/>
    </xf>
    <xf numFmtId="49" fontId="6" fillId="0" borderId="39" xfId="0" applyNumberFormat="1" applyFont="1" applyBorder="1" applyAlignment="1">
      <alignment horizontal="justify" vertical="center" wrapText="1"/>
    </xf>
    <xf numFmtId="0" fontId="2" fillId="0" borderId="28" xfId="0" applyNumberFormat="1" applyFont="1" applyFill="1" applyBorder="1" applyAlignment="1">
      <alignment horizontal="center" vertical="center" wrapText="1"/>
    </xf>
    <xf numFmtId="0" fontId="2" fillId="0" borderId="3" xfId="0" applyNumberFormat="1" applyFont="1" applyBorder="1" applyAlignment="1">
      <alignment horizontal="center" vertical="center"/>
    </xf>
    <xf numFmtId="0" fontId="6" fillId="0" borderId="13" xfId="0" applyNumberFormat="1" applyFont="1" applyFill="1" applyBorder="1" applyAlignment="1">
      <alignment vertical="center" wrapText="1"/>
    </xf>
    <xf numFmtId="0" fontId="6" fillId="0" borderId="15" xfId="0" applyNumberFormat="1" applyFont="1" applyFill="1" applyBorder="1" applyAlignment="1">
      <alignment horizontal="left" vertical="center" wrapText="1"/>
    </xf>
    <xf numFmtId="3" fontId="6" fillId="0" borderId="3" xfId="0" applyNumberFormat="1" applyFont="1" applyFill="1" applyBorder="1" applyAlignment="1">
      <alignment horizontal="right" vertical="center" wrapText="1"/>
    </xf>
    <xf numFmtId="168" fontId="6" fillId="0" borderId="16" xfId="0" applyFont="1" applyFill="1" applyBorder="1" applyAlignment="1">
      <alignment horizontal="justify" vertical="center"/>
    </xf>
    <xf numFmtId="0" fontId="6" fillId="0" borderId="13" xfId="0" applyNumberFormat="1" applyFont="1" applyFill="1" applyBorder="1" applyAlignment="1">
      <alignment horizontal="justify" vertical="top" wrapText="1"/>
    </xf>
    <xf numFmtId="0" fontId="6" fillId="0" borderId="13" xfId="8" applyNumberFormat="1" applyFont="1" applyFill="1" applyBorder="1" applyAlignment="1">
      <alignment horizontal="center" vertical="center" wrapText="1"/>
    </xf>
    <xf numFmtId="168" fontId="22" fillId="2" borderId="13" xfId="0" applyFont="1" applyFill="1" applyBorder="1" applyAlignment="1">
      <alignment vertical="center"/>
    </xf>
    <xf numFmtId="1" fontId="2" fillId="29" borderId="15" xfId="0" applyNumberFormat="1" applyFont="1" applyFill="1" applyBorder="1" applyAlignment="1">
      <alignment horizontal="center" vertical="center" wrapText="1"/>
    </xf>
    <xf numFmtId="1" fontId="6" fillId="29" borderId="15" xfId="0" applyNumberFormat="1" applyFont="1" applyFill="1" applyBorder="1" applyAlignment="1">
      <alignment horizontal="center" vertical="center" wrapText="1"/>
    </xf>
    <xf numFmtId="1" fontId="2" fillId="29" borderId="15" xfId="7" applyNumberFormat="1" applyFont="1" applyFill="1" applyBorder="1" applyAlignment="1">
      <alignment horizontal="center" vertical="center" wrapText="1"/>
    </xf>
    <xf numFmtId="168" fontId="6" fillId="0" borderId="15" xfId="0" applyFont="1" applyFill="1" applyBorder="1" applyAlignment="1">
      <alignment horizontal="center" vertical="center" wrapText="1"/>
    </xf>
    <xf numFmtId="1" fontId="2" fillId="0" borderId="35" xfId="0" applyNumberFormat="1" applyFont="1" applyFill="1" applyBorder="1" applyAlignment="1">
      <alignment horizontal="center" vertical="center" wrapText="1"/>
    </xf>
    <xf numFmtId="1" fontId="6" fillId="0" borderId="3" xfId="0" applyNumberFormat="1" applyFont="1" applyFill="1" applyBorder="1" applyAlignment="1">
      <alignment horizontal="center" vertical="center" wrapText="1"/>
    </xf>
    <xf numFmtId="1" fontId="6" fillId="29" borderId="3" xfId="0" applyNumberFormat="1" applyFont="1" applyFill="1" applyBorder="1" applyAlignment="1">
      <alignment horizontal="center" vertical="center" wrapText="1"/>
    </xf>
    <xf numFmtId="168" fontId="2" fillId="2" borderId="16" xfId="0" applyFont="1" applyFill="1" applyBorder="1" applyAlignment="1">
      <alignment horizontal="justify" vertical="center" wrapText="1"/>
    </xf>
    <xf numFmtId="0" fontId="2" fillId="2" borderId="17" xfId="0" applyNumberFormat="1" applyFont="1" applyFill="1" applyBorder="1" applyAlignment="1">
      <alignment horizontal="center" vertical="center"/>
    </xf>
    <xf numFmtId="168" fontId="2" fillId="0" borderId="12" xfId="0" applyFont="1" applyBorder="1" applyAlignment="1">
      <alignment horizontal="center" vertical="center" wrapText="1"/>
    </xf>
    <xf numFmtId="0" fontId="2" fillId="0" borderId="28" xfId="0" applyNumberFormat="1" applyFont="1" applyBorder="1" applyAlignment="1">
      <alignment horizontal="justify" vertical="center" wrapText="1"/>
    </xf>
    <xf numFmtId="0" fontId="2" fillId="0" borderId="19" xfId="6"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xf>
    <xf numFmtId="1" fontId="39" fillId="19" borderId="3" xfId="0" applyNumberFormat="1" applyFont="1" applyFill="1" applyBorder="1" applyAlignment="1">
      <alignment horizontal="center" vertical="center" wrapText="1"/>
    </xf>
    <xf numFmtId="168" fontId="6" fillId="2" borderId="9" xfId="0" applyFont="1" applyFill="1" applyBorder="1"/>
    <xf numFmtId="168" fontId="6" fillId="0" borderId="9" xfId="0" applyFont="1" applyBorder="1"/>
    <xf numFmtId="168" fontId="2" fillId="7" borderId="16" xfId="0" applyFont="1" applyFill="1" applyBorder="1" applyAlignment="1">
      <alignment horizontal="justify" vertical="center" wrapText="1"/>
    </xf>
    <xf numFmtId="168" fontId="2" fillId="6" borderId="16" xfId="0" applyFont="1" applyFill="1" applyBorder="1" applyAlignment="1" applyProtection="1">
      <alignment horizontal="justify" vertical="center" wrapText="1"/>
      <protection locked="0"/>
    </xf>
    <xf numFmtId="0" fontId="2" fillId="6" borderId="16" xfId="0" applyNumberFormat="1" applyFont="1" applyFill="1" applyBorder="1" applyAlignment="1" applyProtection="1">
      <alignment horizontal="justify" vertical="center" wrapText="1"/>
      <protection locked="0"/>
    </xf>
    <xf numFmtId="168" fontId="28" fillId="7" borderId="9" xfId="0" applyFont="1" applyFill="1" applyBorder="1" applyAlignment="1">
      <alignment horizontal="left" vertical="center"/>
    </xf>
    <xf numFmtId="0" fontId="6" fillId="6" borderId="16" xfId="0" applyNumberFormat="1" applyFont="1" applyFill="1" applyBorder="1" applyAlignment="1">
      <alignment horizontal="justify" vertical="center" wrapText="1"/>
    </xf>
    <xf numFmtId="0" fontId="6" fillId="13" borderId="9" xfId="0" applyNumberFormat="1" applyFont="1" applyFill="1" applyBorder="1" applyAlignment="1">
      <alignment horizontal="justify" vertical="center" wrapText="1"/>
    </xf>
    <xf numFmtId="168" fontId="6" fillId="13" borderId="9" xfId="0" applyFont="1" applyFill="1" applyBorder="1" applyAlignment="1">
      <alignment horizontal="justify" vertical="center" wrapText="1"/>
    </xf>
    <xf numFmtId="4" fontId="6" fillId="13" borderId="9" xfId="0" applyNumberFormat="1" applyFont="1" applyFill="1" applyBorder="1" applyAlignment="1">
      <alignment horizontal="left" vertical="center" wrapText="1"/>
    </xf>
    <xf numFmtId="0" fontId="2" fillId="29" borderId="13" xfId="0" applyNumberFormat="1" applyFont="1" applyFill="1" applyBorder="1" applyAlignment="1">
      <alignment horizontal="center" vertical="center" wrapText="1"/>
    </xf>
    <xf numFmtId="168" fontId="2" fillId="29" borderId="13" xfId="0" applyFont="1" applyFill="1" applyBorder="1" applyAlignment="1">
      <alignment horizontal="justify" vertical="center" wrapText="1"/>
    </xf>
    <xf numFmtId="0" fontId="2" fillId="29" borderId="13" xfId="0" applyNumberFormat="1" applyFont="1" applyFill="1" applyBorder="1" applyAlignment="1">
      <alignment vertical="center" wrapText="1"/>
    </xf>
    <xf numFmtId="0" fontId="2" fillId="29" borderId="15" xfId="0" applyNumberFormat="1" applyFont="1" applyFill="1" applyBorder="1" applyAlignment="1">
      <alignment horizontal="left" vertical="center" wrapText="1"/>
    </xf>
    <xf numFmtId="0" fontId="2" fillId="6" borderId="3" xfId="0" applyNumberFormat="1" applyFont="1" applyFill="1" applyBorder="1" applyAlignment="1">
      <alignment horizontal="center" vertical="center" wrapText="1"/>
    </xf>
    <xf numFmtId="0" fontId="2" fillId="6" borderId="12" xfId="0" applyNumberFormat="1" applyFont="1" applyFill="1" applyBorder="1" applyAlignment="1">
      <alignment horizontal="left" vertical="center" wrapText="1"/>
    </xf>
    <xf numFmtId="0" fontId="2" fillId="29" borderId="3" xfId="0" applyNumberFormat="1" applyFont="1" applyFill="1" applyBorder="1" applyAlignment="1">
      <alignment horizontal="center" vertical="center" wrapText="1"/>
    </xf>
    <xf numFmtId="0" fontId="2" fillId="29" borderId="3" xfId="0" applyNumberFormat="1" applyFont="1" applyFill="1" applyBorder="1" applyAlignment="1">
      <alignment horizontal="left" vertical="center" wrapText="1"/>
    </xf>
    <xf numFmtId="0" fontId="2" fillId="29" borderId="0" xfId="0" applyNumberFormat="1" applyFont="1" applyFill="1" applyAlignment="1">
      <alignment horizontal="center" vertical="center" wrapText="1"/>
    </xf>
    <xf numFmtId="168" fontId="2" fillId="2" borderId="19" xfId="0" applyFont="1" applyFill="1" applyBorder="1" applyAlignment="1">
      <alignment horizontal="center" vertical="center" wrapText="1"/>
    </xf>
    <xf numFmtId="1" fontId="2" fillId="15" borderId="13" xfId="0" applyNumberFormat="1" applyFont="1" applyFill="1" applyBorder="1" applyAlignment="1">
      <alignment horizontal="center" vertical="center" wrapText="1"/>
    </xf>
    <xf numFmtId="0" fontId="17" fillId="2" borderId="13" xfId="0" applyNumberFormat="1" applyFont="1" applyFill="1" applyBorder="1" applyAlignment="1">
      <alignment horizontal="justify" vertical="center" wrapText="1"/>
    </xf>
    <xf numFmtId="0" fontId="16" fillId="0" borderId="13" xfId="0" applyNumberFormat="1" applyFont="1" applyBorder="1" applyAlignment="1">
      <alignment horizontal="justify" vertical="center" wrapText="1"/>
    </xf>
    <xf numFmtId="168" fontId="17" fillId="2" borderId="13" xfId="0" applyFont="1" applyFill="1" applyBorder="1" applyAlignment="1">
      <alignment horizontal="justify" vertical="center" wrapText="1"/>
    </xf>
    <xf numFmtId="3" fontId="0" fillId="0" borderId="0" xfId="0" applyNumberFormat="1" applyAlignment="1">
      <alignment horizontal="center" vertical="justify"/>
    </xf>
    <xf numFmtId="4" fontId="2" fillId="0" borderId="0" xfId="0" applyNumberFormat="1" applyFont="1" applyAlignment="1">
      <alignment horizontal="left" vertical="center"/>
    </xf>
    <xf numFmtId="0" fontId="17" fillId="0" borderId="13" xfId="6" applyNumberFormat="1" applyFont="1" applyFill="1" applyBorder="1" applyAlignment="1">
      <alignment horizontal="justify" vertical="center" wrapText="1"/>
    </xf>
    <xf numFmtId="0" fontId="17" fillId="0" borderId="13" xfId="0" applyNumberFormat="1" applyFont="1" applyBorder="1" applyAlignment="1">
      <alignment horizontal="justify" vertical="center" wrapText="1"/>
    </xf>
    <xf numFmtId="0" fontId="17" fillId="0" borderId="19" xfId="0" applyNumberFormat="1" applyFont="1" applyBorder="1" applyAlignment="1">
      <alignment horizontal="justify" vertical="center" wrapText="1"/>
    </xf>
    <xf numFmtId="0" fontId="2" fillId="2" borderId="13" xfId="0" applyNumberFormat="1" applyFont="1" applyFill="1" applyBorder="1" applyAlignment="1" applyProtection="1">
      <alignment horizontal="center" vertical="center" wrapText="1"/>
      <protection locked="0"/>
    </xf>
    <xf numFmtId="168" fontId="2" fillId="2" borderId="13" xfId="0" applyFont="1" applyFill="1" applyBorder="1" applyAlignment="1" applyProtection="1">
      <alignment horizontal="justify" vertical="center" wrapText="1"/>
      <protection locked="0"/>
    </xf>
    <xf numFmtId="0" fontId="28" fillId="2" borderId="3" xfId="7" applyFont="1" applyFill="1" applyBorder="1" applyAlignment="1">
      <alignment horizontal="center" vertical="center" wrapText="1"/>
    </xf>
    <xf numFmtId="0" fontId="6" fillId="16" borderId="13" xfId="6" applyNumberFormat="1" applyFont="1" applyFill="1" applyBorder="1" applyAlignment="1">
      <alignment horizontal="center" vertical="center" wrapText="1"/>
    </xf>
    <xf numFmtId="0" fontId="6" fillId="2" borderId="9" xfId="0" applyNumberFormat="1" applyFont="1" applyFill="1" applyBorder="1" applyAlignment="1">
      <alignment horizontal="justify" vertical="center" wrapText="1"/>
    </xf>
    <xf numFmtId="0" fontId="2" fillId="2" borderId="13" xfId="8" applyNumberFormat="1" applyFont="1" applyFill="1" applyBorder="1" applyAlignment="1">
      <alignment horizontal="justify" vertical="center" wrapText="1"/>
    </xf>
    <xf numFmtId="0" fontId="17" fillId="28" borderId="13" xfId="1" applyNumberFormat="1" applyFont="1" applyFill="1" applyBorder="1" applyAlignment="1">
      <alignment horizontal="center" vertical="center" wrapText="1"/>
    </xf>
    <xf numFmtId="167" fontId="17" fillId="2" borderId="13" xfId="0" applyNumberFormat="1" applyFont="1" applyFill="1" applyBorder="1" applyAlignment="1">
      <alignment horizontal="center" vertical="center"/>
    </xf>
    <xf numFmtId="0" fontId="2" fillId="2" borderId="0" xfId="0" applyNumberFormat="1" applyFont="1" applyFill="1" applyAlignment="1">
      <alignment horizontal="left" vertical="center" wrapText="1"/>
    </xf>
    <xf numFmtId="0" fontId="3" fillId="2" borderId="0" xfId="0" applyNumberFormat="1" applyFont="1" applyFill="1" applyAlignment="1">
      <alignment horizontal="left" vertical="center" wrapText="1"/>
    </xf>
    <xf numFmtId="168" fontId="2" fillId="2" borderId="19" xfId="0" applyFont="1" applyFill="1" applyBorder="1" applyAlignment="1">
      <alignment horizontal="left" vertical="center" wrapText="1"/>
    </xf>
    <xf numFmtId="168" fontId="2" fillId="0" borderId="13" xfId="0" applyFont="1" applyBorder="1" applyAlignment="1">
      <alignment horizontal="left" vertical="center" wrapText="1"/>
    </xf>
    <xf numFmtId="1" fontId="2" fillId="0" borderId="13" xfId="0" applyNumberFormat="1" applyFont="1" applyBorder="1" applyAlignment="1">
      <alignment horizontal="left" vertical="center" wrapText="1"/>
    </xf>
    <xf numFmtId="168" fontId="2" fillId="0" borderId="0" xfId="0" applyFont="1" applyFill="1" applyBorder="1" applyAlignment="1">
      <alignment horizontal="left" vertical="center"/>
    </xf>
    <xf numFmtId="168" fontId="2" fillId="0" borderId="0" xfId="0" applyFont="1" applyAlignment="1">
      <alignment horizontal="left" vertical="center"/>
    </xf>
    <xf numFmtId="168" fontId="2" fillId="0" borderId="0" xfId="0" applyFont="1" applyAlignment="1">
      <alignment horizontal="left"/>
    </xf>
    <xf numFmtId="168" fontId="2" fillId="2" borderId="0" xfId="0" applyFont="1" applyFill="1" applyBorder="1" applyAlignment="1">
      <alignment horizontal="center" vertical="center" wrapText="1"/>
    </xf>
    <xf numFmtId="0" fontId="2" fillId="0" borderId="0" xfId="0" applyNumberFormat="1" applyFont="1" applyBorder="1" applyAlignment="1">
      <alignment horizontal="center" vertical="center"/>
    </xf>
    <xf numFmtId="3" fontId="0" fillId="32" borderId="3" xfId="0" applyNumberFormat="1" applyFill="1" applyBorder="1" applyAlignment="1">
      <alignment horizontal="center" vertical="justify"/>
    </xf>
    <xf numFmtId="168" fontId="0" fillId="0" borderId="3" xfId="0" applyFill="1" applyBorder="1"/>
    <xf numFmtId="0" fontId="27" fillId="0" borderId="12" xfId="0" applyNumberFormat="1" applyFont="1" applyBorder="1" applyAlignment="1">
      <alignment horizontal="center" vertical="center"/>
    </xf>
    <xf numFmtId="0" fontId="0" fillId="0" borderId="3" xfId="0" applyNumberFormat="1" applyBorder="1" applyAlignment="1">
      <alignment horizontal="justify" vertical="center"/>
    </xf>
    <xf numFmtId="0" fontId="0" fillId="2" borderId="3" xfId="0" applyNumberFormat="1" applyFont="1" applyFill="1" applyBorder="1" applyAlignment="1">
      <alignment horizontal="justify" vertical="center"/>
    </xf>
    <xf numFmtId="0" fontId="17" fillId="0" borderId="26" xfId="0" applyNumberFormat="1" applyFont="1" applyBorder="1" applyAlignment="1">
      <alignment horizontal="justify" vertical="center" wrapText="1"/>
    </xf>
    <xf numFmtId="0" fontId="17" fillId="13" borderId="19" xfId="0" applyNumberFormat="1" applyFont="1" applyFill="1" applyBorder="1" applyAlignment="1">
      <alignment horizontal="center" vertical="center" wrapText="1"/>
    </xf>
    <xf numFmtId="168" fontId="27" fillId="0" borderId="3" xfId="0" applyFont="1" applyFill="1" applyBorder="1" applyAlignment="1">
      <alignment horizontal="center" vertical="center"/>
    </xf>
    <xf numFmtId="49" fontId="29" fillId="0" borderId="3" xfId="0" applyNumberFormat="1" applyFont="1" applyBorder="1" applyAlignment="1">
      <alignment horizontal="justify" vertical="center"/>
    </xf>
    <xf numFmtId="49" fontId="29" fillId="0" borderId="12" xfId="0" applyNumberFormat="1" applyFont="1" applyBorder="1" applyAlignment="1">
      <alignment horizontal="justify" vertical="center"/>
    </xf>
    <xf numFmtId="168" fontId="18" fillId="7" borderId="17" xfId="0" applyFont="1" applyFill="1" applyBorder="1" applyAlignment="1">
      <alignment horizontal="justify" vertical="center" wrapText="1"/>
    </xf>
    <xf numFmtId="0" fontId="3" fillId="0" borderId="7" xfId="0" applyNumberFormat="1" applyFont="1" applyFill="1" applyBorder="1" applyAlignment="1">
      <alignment horizontal="left" vertical="center" wrapText="1"/>
    </xf>
    <xf numFmtId="0" fontId="3" fillId="0" borderId="15" xfId="0" applyNumberFormat="1" applyFont="1" applyFill="1" applyBorder="1" applyAlignment="1">
      <alignment horizontal="left" vertical="center" wrapText="1"/>
    </xf>
    <xf numFmtId="0" fontId="2" fillId="2" borderId="17" xfId="0" applyNumberFormat="1" applyFont="1" applyFill="1" applyBorder="1" applyAlignment="1">
      <alignment horizontal="justify" vertical="center"/>
    </xf>
    <xf numFmtId="0" fontId="2" fillId="2" borderId="17" xfId="0" applyNumberFormat="1" applyFont="1" applyFill="1" applyBorder="1" applyAlignment="1">
      <alignment horizontal="left" vertical="center" wrapText="1"/>
    </xf>
    <xf numFmtId="0" fontId="2" fillId="2" borderId="33" xfId="0" applyNumberFormat="1" applyFont="1" applyFill="1" applyBorder="1" applyAlignment="1">
      <alignment vertical="center" wrapText="1"/>
    </xf>
    <xf numFmtId="0" fontId="2" fillId="2" borderId="33" xfId="0" applyNumberFormat="1" applyFont="1" applyFill="1" applyBorder="1" applyAlignment="1">
      <alignment horizontal="justify" vertical="center" wrapText="1"/>
    </xf>
    <xf numFmtId="166" fontId="2" fillId="2" borderId="33" xfId="13" applyFont="1" applyFill="1" applyBorder="1" applyAlignment="1">
      <alignment horizontal="left" vertical="center" wrapText="1"/>
    </xf>
    <xf numFmtId="0" fontId="2" fillId="0" borderId="17" xfId="0" applyNumberFormat="1" applyFont="1" applyFill="1" applyBorder="1" applyAlignment="1">
      <alignment horizontal="left" vertical="center" wrapText="1"/>
    </xf>
    <xf numFmtId="168" fontId="2" fillId="0" borderId="17" xfId="0" applyFont="1" applyFill="1" applyBorder="1" applyAlignment="1">
      <alignment horizontal="justify" vertical="center"/>
    </xf>
    <xf numFmtId="49" fontId="2" fillId="0" borderId="17" xfId="0" applyNumberFormat="1" applyFont="1" applyFill="1" applyBorder="1" applyAlignment="1">
      <alignment horizontal="justify" vertical="center" wrapText="1"/>
    </xf>
    <xf numFmtId="1" fontId="2" fillId="2" borderId="35" xfId="0" applyNumberFormat="1" applyFont="1" applyFill="1" applyBorder="1" applyAlignment="1">
      <alignment horizontal="center" vertical="center" wrapText="1"/>
    </xf>
    <xf numFmtId="49" fontId="2" fillId="2" borderId="33" xfId="0" applyNumberFormat="1" applyFont="1" applyFill="1" applyBorder="1" applyAlignment="1">
      <alignment horizontal="justify" vertical="center" wrapText="1"/>
    </xf>
    <xf numFmtId="0" fontId="6" fillId="2" borderId="19" xfId="0" applyNumberFormat="1" applyFont="1" applyFill="1" applyBorder="1" applyAlignment="1">
      <alignment horizontal="center" vertical="center"/>
    </xf>
    <xf numFmtId="0" fontId="2" fillId="2" borderId="19" xfId="0" applyNumberFormat="1" applyFont="1" applyFill="1" applyBorder="1" applyAlignment="1">
      <alignment horizontal="justify" vertical="center"/>
    </xf>
    <xf numFmtId="0" fontId="2" fillId="0" borderId="12" xfId="0" applyNumberFormat="1" applyFont="1" applyFill="1" applyBorder="1" applyAlignment="1">
      <alignment horizontal="center" vertical="center" wrapText="1"/>
    </xf>
    <xf numFmtId="0" fontId="2" fillId="2" borderId="19" xfId="0" applyNumberFormat="1" applyFont="1" applyFill="1" applyBorder="1" applyAlignment="1">
      <alignment horizontal="left" vertical="center" wrapText="1"/>
    </xf>
    <xf numFmtId="168" fontId="2" fillId="0" borderId="19" xfId="0" applyFont="1" applyFill="1" applyBorder="1" applyAlignment="1">
      <alignment horizontal="justify" vertical="center" wrapText="1"/>
    </xf>
    <xf numFmtId="168" fontId="2" fillId="0" borderId="19" xfId="0" applyFont="1" applyFill="1" applyBorder="1" applyAlignment="1">
      <alignment horizontal="center" vertical="center" wrapText="1"/>
    </xf>
    <xf numFmtId="0" fontId="2" fillId="0" borderId="19" xfId="0" applyNumberFormat="1" applyFont="1" applyFill="1" applyBorder="1" applyAlignment="1">
      <alignment horizontal="justify" vertical="center" wrapText="1"/>
    </xf>
    <xf numFmtId="168" fontId="6" fillId="0" borderId="19" xfId="0" applyFont="1" applyFill="1" applyBorder="1" applyAlignment="1">
      <alignment horizontal="justify" vertical="center" wrapText="1"/>
    </xf>
    <xf numFmtId="1" fontId="2" fillId="0" borderId="26" xfId="0" applyNumberFormat="1" applyFont="1" applyFill="1" applyBorder="1" applyAlignment="1">
      <alignment horizontal="center" vertical="center" wrapText="1"/>
    </xf>
    <xf numFmtId="168" fontId="2" fillId="0" borderId="12" xfId="0" applyFont="1" applyFill="1" applyBorder="1" applyAlignment="1">
      <alignment horizontal="justify" vertical="center" wrapText="1"/>
    </xf>
    <xf numFmtId="0" fontId="3" fillId="13" borderId="3" xfId="0" applyNumberFormat="1" applyFont="1" applyFill="1" applyBorder="1" applyAlignment="1">
      <alignment horizontal="left" vertical="center" wrapText="1"/>
    </xf>
    <xf numFmtId="0" fontId="3" fillId="13" borderId="0" xfId="0" applyNumberFormat="1" applyFont="1" applyFill="1" applyBorder="1" applyAlignment="1">
      <alignment horizontal="left" vertical="center" wrapText="1"/>
    </xf>
    <xf numFmtId="168" fontId="6" fillId="13" borderId="9" xfId="0" applyFont="1" applyFill="1" applyBorder="1"/>
    <xf numFmtId="168" fontId="16" fillId="0" borderId="17" xfId="0" applyFont="1" applyBorder="1"/>
    <xf numFmtId="0" fontId="18" fillId="0" borderId="17" xfId="0" applyNumberFormat="1" applyFont="1" applyBorder="1" applyAlignment="1">
      <alignment horizontal="left" vertical="center" wrapText="1"/>
    </xf>
    <xf numFmtId="168" fontId="18" fillId="7" borderId="22" xfId="0" applyFont="1" applyFill="1" applyBorder="1" applyAlignment="1">
      <alignment vertical="center"/>
    </xf>
    <xf numFmtId="0" fontId="17" fillId="7" borderId="17" xfId="0" applyNumberFormat="1" applyFont="1" applyFill="1" applyBorder="1" applyAlignment="1">
      <alignment horizontal="center" vertical="center"/>
    </xf>
    <xf numFmtId="0" fontId="18" fillId="7" borderId="17" xfId="0" applyNumberFormat="1" applyFont="1" applyFill="1" applyBorder="1" applyAlignment="1">
      <alignment horizontal="justify" vertical="center" wrapText="1"/>
    </xf>
    <xf numFmtId="168" fontId="17" fillId="7" borderId="17" xfId="0" applyFont="1" applyFill="1" applyBorder="1" applyAlignment="1">
      <alignment vertical="center"/>
    </xf>
    <xf numFmtId="168" fontId="18" fillId="7" borderId="17" xfId="0" applyFont="1" applyFill="1" applyBorder="1" applyAlignment="1">
      <alignment horizontal="center" vertical="center"/>
    </xf>
    <xf numFmtId="167" fontId="18" fillId="7" borderId="17" xfId="8" applyFont="1" applyFill="1" applyBorder="1" applyAlignment="1">
      <alignment horizontal="center" vertical="center"/>
    </xf>
    <xf numFmtId="168" fontId="16" fillId="0" borderId="19" xfId="0" applyFont="1" applyBorder="1"/>
    <xf numFmtId="0" fontId="18" fillId="0" borderId="19" xfId="0" applyNumberFormat="1" applyFont="1" applyBorder="1" applyAlignment="1">
      <alignment horizontal="left" vertical="center" wrapText="1"/>
    </xf>
    <xf numFmtId="168" fontId="17" fillId="0" borderId="19" xfId="0" applyFont="1" applyBorder="1" applyAlignment="1">
      <alignment horizontal="center" vertical="center"/>
    </xf>
    <xf numFmtId="0" fontId="17" fillId="0" borderId="19" xfId="6" applyNumberFormat="1" applyFont="1" applyFill="1" applyBorder="1" applyAlignment="1">
      <alignment horizontal="center" vertical="center" wrapText="1"/>
    </xf>
    <xf numFmtId="0" fontId="16" fillId="0" borderId="19" xfId="0" applyNumberFormat="1" applyFont="1" applyBorder="1" applyAlignment="1">
      <alignment horizontal="justify" vertical="center" wrapText="1"/>
    </xf>
    <xf numFmtId="0" fontId="17" fillId="18" borderId="19" xfId="6" applyNumberFormat="1" applyFont="1" applyFill="1" applyBorder="1" applyAlignment="1">
      <alignment horizontal="center" vertical="center" wrapText="1"/>
    </xf>
    <xf numFmtId="0" fontId="17" fillId="0" borderId="19" xfId="7" applyFont="1" applyBorder="1" applyAlignment="1">
      <alignment horizontal="justify" vertical="center" wrapText="1"/>
    </xf>
    <xf numFmtId="0" fontId="17" fillId="0" borderId="19" xfId="7" applyFont="1" applyBorder="1" applyAlignment="1">
      <alignment horizontal="center" vertical="center" wrapText="1"/>
    </xf>
    <xf numFmtId="168" fontId="17" fillId="0" borderId="19" xfId="0" applyFont="1" applyFill="1" applyBorder="1" applyAlignment="1">
      <alignment horizontal="center" vertical="center" wrapText="1"/>
    </xf>
    <xf numFmtId="167" fontId="17" fillId="0" borderId="19" xfId="5" applyFont="1" applyFill="1" applyBorder="1" applyAlignment="1">
      <alignment horizontal="justify" vertical="center"/>
    </xf>
    <xf numFmtId="167" fontId="17" fillId="0" borderId="26" xfId="5" applyFont="1" applyFill="1" applyBorder="1" applyAlignment="1">
      <alignment horizontal="justify" vertical="center"/>
    </xf>
    <xf numFmtId="167" fontId="17" fillId="0" borderId="28" xfId="5" applyFont="1" applyFill="1" applyBorder="1" applyAlignment="1">
      <alignment horizontal="justify" vertical="center"/>
    </xf>
    <xf numFmtId="167" fontId="17" fillId="0" borderId="19" xfId="8" applyFont="1" applyFill="1" applyBorder="1" applyAlignment="1">
      <alignment horizontal="right" vertical="center" wrapText="1"/>
    </xf>
    <xf numFmtId="167" fontId="17" fillId="0" borderId="19" xfId="0" applyNumberFormat="1" applyFont="1" applyBorder="1" applyAlignment="1">
      <alignment vertical="center"/>
    </xf>
    <xf numFmtId="167" fontId="17" fillId="0" borderId="19" xfId="0" applyNumberFormat="1" applyFont="1" applyBorder="1" applyAlignment="1">
      <alignment horizontal="center" vertical="center"/>
    </xf>
    <xf numFmtId="168" fontId="3" fillId="7" borderId="35" xfId="0" applyFont="1" applyFill="1" applyBorder="1" applyAlignment="1">
      <alignment vertical="center"/>
    </xf>
    <xf numFmtId="168" fontId="6" fillId="4" borderId="3" xfId="0" applyFont="1" applyFill="1" applyBorder="1" applyAlignment="1">
      <alignment horizontal="justify" vertical="center" wrapText="1"/>
    </xf>
    <xf numFmtId="49" fontId="29" fillId="4" borderId="3" xfId="0" applyNumberFormat="1" applyFont="1" applyFill="1" applyBorder="1" applyAlignment="1">
      <alignment horizontal="justify" vertical="center"/>
    </xf>
    <xf numFmtId="0" fontId="18" fillId="2" borderId="13" xfId="0" applyNumberFormat="1" applyFont="1" applyFill="1" applyBorder="1" applyAlignment="1">
      <alignment vertical="center"/>
    </xf>
    <xf numFmtId="175" fontId="18" fillId="2" borderId="16" xfId="0" applyNumberFormat="1" applyFont="1" applyFill="1" applyBorder="1" applyAlignment="1">
      <alignment vertical="center"/>
    </xf>
    <xf numFmtId="0" fontId="18" fillId="2" borderId="17" xfId="0" applyNumberFormat="1" applyFont="1" applyFill="1" applyBorder="1" applyAlignment="1">
      <alignment horizontal="center" vertical="center" wrapText="1"/>
    </xf>
    <xf numFmtId="0" fontId="18" fillId="0" borderId="17" xfId="0" applyNumberFormat="1" applyFont="1" applyFill="1" applyBorder="1" applyAlignment="1">
      <alignment horizontal="center" vertical="center" wrapText="1"/>
    </xf>
    <xf numFmtId="168" fontId="18" fillId="0" borderId="17" xfId="0" applyFont="1" applyFill="1" applyBorder="1" applyAlignment="1">
      <alignment horizontal="justify" vertical="center" wrapText="1"/>
    </xf>
    <xf numFmtId="168" fontId="18" fillId="2" borderId="3" xfId="0" applyNumberFormat="1" applyFont="1" applyFill="1" applyBorder="1" applyAlignment="1">
      <alignment vertical="center"/>
    </xf>
    <xf numFmtId="168" fontId="18" fillId="0" borderId="35" xfId="0" applyFont="1" applyFill="1" applyBorder="1" applyAlignment="1">
      <alignment horizontal="left" vertical="center"/>
    </xf>
    <xf numFmtId="168" fontId="18" fillId="22" borderId="17" xfId="0" applyNumberFormat="1" applyFont="1" applyFill="1" applyBorder="1" applyAlignment="1">
      <alignment vertical="center"/>
    </xf>
    <xf numFmtId="168" fontId="40" fillId="2" borderId="0" xfId="0" applyFont="1" applyFill="1" applyAlignment="1">
      <alignment horizontal="center" vertical="center"/>
    </xf>
    <xf numFmtId="0" fontId="17" fillId="4" borderId="16" xfId="0" applyNumberFormat="1" applyFont="1" applyFill="1" applyBorder="1" applyAlignment="1">
      <alignment horizontal="center" vertical="center" wrapText="1"/>
    </xf>
    <xf numFmtId="0" fontId="16" fillId="4" borderId="13" xfId="7" applyNumberFormat="1" applyFont="1" applyFill="1" applyBorder="1" applyAlignment="1">
      <alignment horizontal="center" vertical="center" wrapText="1"/>
    </xf>
    <xf numFmtId="0" fontId="2" fillId="4" borderId="9" xfId="0" applyNumberFormat="1" applyFont="1" applyFill="1" applyBorder="1" applyAlignment="1">
      <alignment horizontal="justify" vertical="center"/>
    </xf>
    <xf numFmtId="0" fontId="2" fillId="4" borderId="13" xfId="0" applyNumberFormat="1" applyFont="1" applyFill="1" applyBorder="1" applyAlignment="1">
      <alignment horizontal="center" vertical="center" wrapText="1"/>
    </xf>
    <xf numFmtId="168" fontId="0" fillId="0" borderId="0" xfId="0" applyAlignment="1">
      <alignment vertical="center"/>
    </xf>
    <xf numFmtId="168" fontId="0" fillId="6" borderId="0" xfId="0" applyFill="1" applyAlignment="1">
      <alignment vertical="center"/>
    </xf>
    <xf numFmtId="0" fontId="6" fillId="6" borderId="3" xfId="0" applyNumberFormat="1" applyFont="1" applyFill="1" applyBorder="1" applyAlignment="1">
      <alignment horizontal="justify" vertical="center" wrapText="1"/>
    </xf>
    <xf numFmtId="168" fontId="27" fillId="2" borderId="0" xfId="0" applyFont="1" applyFill="1" applyBorder="1" applyAlignment="1">
      <alignment horizontal="center" vertical="center"/>
    </xf>
    <xf numFmtId="0" fontId="0" fillId="2" borderId="0" xfId="0" applyNumberFormat="1" applyFont="1" applyFill="1" applyBorder="1" applyAlignment="1">
      <alignment horizontal="justify" vertical="center"/>
    </xf>
    <xf numFmtId="168" fontId="27" fillId="2" borderId="0" xfId="0" applyFont="1" applyFill="1" applyBorder="1" applyAlignment="1">
      <alignment horizontal="justify" vertical="center"/>
    </xf>
    <xf numFmtId="0" fontId="2" fillId="2" borderId="0" xfId="0" applyNumberFormat="1" applyFont="1" applyFill="1" applyBorder="1" applyAlignment="1">
      <alignment horizontal="justify" vertical="center"/>
    </xf>
    <xf numFmtId="168" fontId="0" fillId="6" borderId="3" xfId="0" applyFill="1" applyBorder="1" applyAlignment="1">
      <alignment vertical="center"/>
    </xf>
    <xf numFmtId="168" fontId="0" fillId="4" borderId="0" xfId="0" applyFill="1"/>
    <xf numFmtId="168" fontId="0" fillId="6" borderId="0" xfId="0" applyFill="1"/>
    <xf numFmtId="168" fontId="0" fillId="7" borderId="0" xfId="0" applyFill="1"/>
    <xf numFmtId="168" fontId="0" fillId="13" borderId="0" xfId="0" applyFill="1"/>
    <xf numFmtId="168" fontId="0" fillId="34" borderId="0" xfId="0" applyFill="1" applyAlignment="1">
      <alignment vertical="center"/>
    </xf>
    <xf numFmtId="168" fontId="0" fillId="28" borderId="0" xfId="0" applyFill="1"/>
    <xf numFmtId="168" fontId="42" fillId="0" borderId="0" xfId="0" applyFont="1" applyAlignment="1">
      <alignment horizontal="justify" vertical="justify"/>
    </xf>
    <xf numFmtId="49" fontId="41" fillId="5" borderId="3" xfId="0" applyNumberFormat="1" applyFont="1" applyFill="1" applyBorder="1" applyAlignment="1">
      <alignment horizontal="justify" vertical="justify" wrapText="1"/>
    </xf>
    <xf numFmtId="168" fontId="0" fillId="0" borderId="0" xfId="0" applyAlignment="1">
      <alignment horizontal="justify" vertical="justify"/>
    </xf>
    <xf numFmtId="0" fontId="42" fillId="0" borderId="0" xfId="0" applyNumberFormat="1" applyFont="1" applyAlignment="1">
      <alignment horizontal="justify" vertical="justify"/>
    </xf>
    <xf numFmtId="0" fontId="41" fillId="5" borderId="3" xfId="0" applyNumberFormat="1" applyFont="1" applyFill="1" applyBorder="1" applyAlignment="1">
      <alignment horizontal="justify" vertical="justify" wrapText="1"/>
    </xf>
    <xf numFmtId="49" fontId="41" fillId="32" borderId="3" xfId="0" applyNumberFormat="1" applyFont="1" applyFill="1" applyBorder="1" applyAlignment="1">
      <alignment horizontal="justify" vertical="center"/>
    </xf>
    <xf numFmtId="168" fontId="42" fillId="0" borderId="0" xfId="0" applyFont="1" applyAlignment="1">
      <alignment horizontal="justify" vertical="center"/>
    </xf>
    <xf numFmtId="168" fontId="0" fillId="0" borderId="0" xfId="0" applyAlignment="1">
      <alignment horizontal="justify" vertical="center"/>
    </xf>
    <xf numFmtId="14" fontId="42" fillId="0" borderId="0" xfId="0" applyNumberFormat="1" applyFont="1" applyAlignment="1">
      <alignment horizontal="justify" vertical="center"/>
    </xf>
    <xf numFmtId="14" fontId="0" fillId="0" borderId="0" xfId="0" applyNumberFormat="1" applyAlignment="1">
      <alignment horizontal="justify" vertical="center"/>
    </xf>
    <xf numFmtId="49" fontId="41" fillId="5" borderId="3" xfId="0" applyNumberFormat="1" applyFont="1" applyFill="1" applyBorder="1" applyAlignment="1">
      <alignment horizontal="justify" vertical="center" wrapText="1"/>
    </xf>
    <xf numFmtId="168" fontId="0" fillId="35" borderId="0" xfId="0" applyFill="1" applyAlignment="1"/>
    <xf numFmtId="0" fontId="41" fillId="32" borderId="3" xfId="0" applyNumberFormat="1" applyFont="1" applyFill="1" applyBorder="1" applyAlignment="1">
      <alignment horizontal="justify" vertical="center"/>
    </xf>
    <xf numFmtId="0" fontId="43" fillId="33" borderId="0" xfId="0" applyNumberFormat="1" applyFont="1" applyFill="1" applyAlignment="1">
      <alignment horizontal="justify" vertical="center"/>
    </xf>
    <xf numFmtId="0" fontId="42" fillId="0" borderId="0" xfId="0" applyNumberFormat="1" applyFont="1" applyAlignment="1">
      <alignment horizontal="justify" vertical="center"/>
    </xf>
    <xf numFmtId="0" fontId="0" fillId="0" borderId="0" xfId="0" applyNumberFormat="1" applyAlignment="1">
      <alignment horizontal="justify" vertical="center"/>
    </xf>
    <xf numFmtId="0" fontId="42" fillId="2" borderId="3" xfId="0" applyNumberFormat="1" applyFont="1" applyFill="1" applyBorder="1" applyAlignment="1">
      <alignment horizontal="justify" vertical="center"/>
    </xf>
    <xf numFmtId="168" fontId="42" fillId="2" borderId="3" xfId="0" applyFont="1" applyFill="1" applyBorder="1" applyAlignment="1">
      <alignment horizontal="justify" vertical="center"/>
    </xf>
    <xf numFmtId="0" fontId="12" fillId="2" borderId="3" xfId="0" applyNumberFormat="1" applyFont="1" applyFill="1" applyBorder="1" applyAlignment="1">
      <alignment horizontal="justify" vertical="center"/>
    </xf>
    <xf numFmtId="0" fontId="42" fillId="2" borderId="3" xfId="0" applyNumberFormat="1" applyFont="1" applyFill="1" applyBorder="1" applyAlignment="1">
      <alignment horizontal="justify" vertical="center" wrapText="1"/>
    </xf>
    <xf numFmtId="168" fontId="0" fillId="2" borderId="0" xfId="0" applyFill="1" applyAlignment="1">
      <alignment vertical="center"/>
    </xf>
    <xf numFmtId="168" fontId="0" fillId="2" borderId="0" xfId="0" applyFill="1" applyAlignment="1"/>
    <xf numFmtId="0" fontId="28" fillId="0" borderId="31" xfId="7" applyFont="1" applyFill="1" applyBorder="1" applyAlignment="1">
      <alignment horizontal="center" vertical="center" wrapText="1"/>
    </xf>
    <xf numFmtId="0" fontId="28" fillId="0" borderId="31" xfId="7" applyFont="1" applyFill="1" applyBorder="1" applyAlignment="1">
      <alignment horizontal="justify" vertical="center" wrapText="1"/>
    </xf>
    <xf numFmtId="168" fontId="2" fillId="0" borderId="17" xfId="0" applyFont="1" applyBorder="1" applyAlignment="1">
      <alignment horizontal="justify" vertical="center" wrapText="1"/>
    </xf>
    <xf numFmtId="0" fontId="2" fillId="0" borderId="17" xfId="0" applyNumberFormat="1" applyFont="1" applyBorder="1" applyAlignment="1">
      <alignment horizontal="justify" vertical="center" wrapText="1"/>
    </xf>
    <xf numFmtId="0" fontId="26" fillId="16" borderId="17" xfId="0" applyNumberFormat="1" applyFont="1" applyFill="1" applyBorder="1" applyAlignment="1">
      <alignment horizontal="center" vertical="center" wrapText="1"/>
    </xf>
    <xf numFmtId="168" fontId="2" fillId="2" borderId="17" xfId="0" applyFont="1" applyFill="1" applyBorder="1" applyAlignment="1">
      <alignment horizontal="justify" vertical="center" wrapText="1"/>
    </xf>
    <xf numFmtId="168" fontId="2" fillId="2" borderId="17" xfId="0" applyFont="1" applyFill="1" applyBorder="1" applyAlignment="1">
      <alignment vertical="center" wrapText="1"/>
    </xf>
    <xf numFmtId="0" fontId="2" fillId="0" borderId="19" xfId="0" applyNumberFormat="1" applyFont="1" applyBorder="1" applyAlignment="1">
      <alignment horizontal="center" vertical="center" wrapText="1"/>
    </xf>
    <xf numFmtId="168" fontId="2" fillId="0" borderId="19" xfId="0" applyFont="1" applyBorder="1" applyAlignment="1">
      <alignment horizontal="justify" vertical="center" wrapText="1"/>
    </xf>
    <xf numFmtId="0" fontId="2" fillId="0" borderId="19" xfId="0" applyNumberFormat="1" applyFont="1" applyBorder="1" applyAlignment="1">
      <alignment horizontal="justify" vertical="center" wrapText="1"/>
    </xf>
    <xf numFmtId="168" fontId="2" fillId="0" borderId="19" xfId="0" applyFont="1" applyFill="1" applyBorder="1" applyAlignment="1">
      <alignment vertical="center" wrapText="1"/>
    </xf>
    <xf numFmtId="0" fontId="28" fillId="0" borderId="3" xfId="7" applyFont="1" applyFill="1" applyBorder="1" applyAlignment="1">
      <alignment horizontal="justify" vertical="center" wrapText="1"/>
    </xf>
    <xf numFmtId="0" fontId="26" fillId="16" borderId="3" xfId="0" applyNumberFormat="1" applyFont="1" applyFill="1" applyBorder="1" applyAlignment="1">
      <alignment horizontal="center" vertical="center" wrapText="1"/>
    </xf>
    <xf numFmtId="168" fontId="2" fillId="2" borderId="3" xfId="0" applyFont="1" applyFill="1" applyBorder="1" applyAlignment="1">
      <alignment vertical="center" wrapText="1"/>
    </xf>
    <xf numFmtId="168" fontId="2" fillId="29" borderId="3" xfId="0" applyFont="1" applyFill="1" applyBorder="1" applyAlignment="1">
      <alignment horizontal="justify" vertical="center" wrapText="1"/>
    </xf>
    <xf numFmtId="0" fontId="2" fillId="0" borderId="0" xfId="0" applyNumberFormat="1" applyFont="1" applyFill="1" applyBorder="1" applyAlignment="1">
      <alignment horizontal="left" vertical="center"/>
    </xf>
    <xf numFmtId="3" fontId="2" fillId="0" borderId="0" xfId="0" applyNumberFormat="1" applyFont="1" applyFill="1" applyAlignment="1">
      <alignment vertical="center"/>
    </xf>
    <xf numFmtId="3" fontId="2" fillId="11" borderId="0" xfId="0" applyNumberFormat="1" applyFont="1" applyFill="1" applyAlignment="1">
      <alignment horizontal="center" vertical="center"/>
    </xf>
    <xf numFmtId="3" fontId="2" fillId="36" borderId="0" xfId="0" applyNumberFormat="1" applyFont="1" applyFill="1" applyAlignment="1">
      <alignment horizontal="center" vertical="center"/>
    </xf>
    <xf numFmtId="3" fontId="2" fillId="36" borderId="0" xfId="0" applyNumberFormat="1" applyFont="1" applyFill="1" applyAlignment="1">
      <alignment horizontal="center"/>
    </xf>
    <xf numFmtId="168" fontId="0" fillId="32" borderId="3" xfId="0" applyFill="1" applyBorder="1"/>
    <xf numFmtId="168" fontId="27" fillId="0" borderId="3" xfId="0" applyFont="1" applyBorder="1"/>
    <xf numFmtId="3" fontId="27" fillId="0" borderId="3" xfId="0" applyNumberFormat="1" applyFont="1" applyBorder="1" applyAlignment="1">
      <alignment horizontal="center" vertical="justify"/>
    </xf>
    <xf numFmtId="0" fontId="17" fillId="32" borderId="13" xfId="0" applyNumberFormat="1" applyFont="1" applyFill="1" applyBorder="1" applyAlignment="1">
      <alignment horizontal="center" vertical="center" wrapText="1"/>
    </xf>
    <xf numFmtId="1" fontId="2" fillId="13" borderId="15" xfId="0" applyNumberFormat="1" applyFont="1" applyFill="1" applyBorder="1" applyAlignment="1">
      <alignment horizontal="center" vertical="center" wrapText="1"/>
    </xf>
    <xf numFmtId="3" fontId="0" fillId="13" borderId="3" xfId="0" applyNumberFormat="1" applyFill="1" applyBorder="1" applyAlignment="1">
      <alignment horizontal="center"/>
    </xf>
    <xf numFmtId="3" fontId="0" fillId="13" borderId="3" xfId="0" applyNumberFormat="1" applyFill="1" applyBorder="1" applyAlignment="1">
      <alignment horizontal="center" vertical="justify"/>
    </xf>
    <xf numFmtId="168" fontId="0" fillId="0" borderId="3" xfId="0" applyFill="1" applyBorder="1" applyAlignment="1">
      <alignment horizontal="justify" vertical="justify"/>
    </xf>
    <xf numFmtId="3" fontId="44" fillId="13" borderId="3" xfId="0" applyNumberFormat="1" applyFont="1" applyFill="1" applyBorder="1" applyAlignment="1">
      <alignment horizontal="center" vertical="center"/>
    </xf>
    <xf numFmtId="0" fontId="26" fillId="13" borderId="13" xfId="6" applyNumberFormat="1" applyFont="1" applyFill="1" applyBorder="1" applyAlignment="1">
      <alignment horizontal="center" vertical="center" wrapText="1"/>
    </xf>
    <xf numFmtId="168" fontId="0" fillId="0" borderId="3" xfId="0" applyFill="1" applyBorder="1" applyAlignment="1">
      <alignment horizontal="left" vertical="justify"/>
    </xf>
    <xf numFmtId="3" fontId="44" fillId="13" borderId="3" xfId="0" applyNumberFormat="1" applyFont="1" applyFill="1" applyBorder="1" applyAlignment="1">
      <alignment horizontal="center" vertical="justify"/>
    </xf>
    <xf numFmtId="168" fontId="27" fillId="0" borderId="3" xfId="0" applyFont="1" applyFill="1" applyBorder="1" applyAlignment="1">
      <alignment horizontal="center" vertical="justify"/>
    </xf>
    <xf numFmtId="168" fontId="27" fillId="0" borderId="3" xfId="0" applyFont="1" applyFill="1" applyBorder="1"/>
    <xf numFmtId="168" fontId="27" fillId="0" borderId="3" xfId="0" applyFont="1" applyBorder="1" applyAlignment="1">
      <alignment vertical="center"/>
    </xf>
    <xf numFmtId="3" fontId="27" fillId="0" borderId="3" xfId="0" applyNumberFormat="1" applyFont="1" applyBorder="1" applyAlignment="1">
      <alignment horizontal="center" vertical="center"/>
    </xf>
    <xf numFmtId="168" fontId="27" fillId="0" borderId="31" xfId="0" applyFont="1" applyFill="1" applyBorder="1" applyAlignment="1">
      <alignment vertical="center"/>
    </xf>
    <xf numFmtId="0" fontId="33" fillId="0" borderId="3" xfId="0" applyNumberFormat="1" applyFont="1" applyBorder="1" applyAlignment="1">
      <alignment horizontal="left" vertical="center" wrapText="1"/>
    </xf>
    <xf numFmtId="0" fontId="33" fillId="0" borderId="0" xfId="0" applyNumberFormat="1" applyFont="1" applyBorder="1" applyAlignment="1">
      <alignment horizontal="left" vertical="center" wrapText="1"/>
    </xf>
    <xf numFmtId="0" fontId="23" fillId="2" borderId="13" xfId="0" applyNumberFormat="1" applyFont="1" applyFill="1" applyBorder="1" applyAlignment="1">
      <alignment horizontal="center" vertical="center" wrapText="1"/>
    </xf>
    <xf numFmtId="168" fontId="23" fillId="2" borderId="3" xfId="0" applyFont="1" applyFill="1" applyBorder="1" applyAlignment="1">
      <alignment horizontal="justify" vertical="center" wrapText="1"/>
    </xf>
    <xf numFmtId="1" fontId="39" fillId="31" borderId="3" xfId="0" applyNumberFormat="1" applyFont="1" applyFill="1" applyBorder="1" applyAlignment="1">
      <alignment horizontal="center" vertical="center" wrapText="1"/>
    </xf>
    <xf numFmtId="0" fontId="2" fillId="0" borderId="0" xfId="0" applyNumberFormat="1" applyFont="1" applyFill="1" applyBorder="1" applyAlignment="1">
      <alignment horizontal="justify" vertical="center"/>
    </xf>
    <xf numFmtId="0" fontId="2" fillId="11" borderId="0" xfId="0" applyNumberFormat="1" applyFont="1" applyFill="1" applyBorder="1" applyAlignment="1">
      <alignment horizontal="justify" vertical="center" wrapText="1"/>
    </xf>
    <xf numFmtId="0" fontId="2" fillId="11" borderId="0" xfId="0" applyNumberFormat="1" applyFont="1" applyFill="1" applyBorder="1" applyAlignment="1">
      <alignment horizontal="justify" vertical="center"/>
    </xf>
    <xf numFmtId="0" fontId="2" fillId="36" borderId="0" xfId="0" applyNumberFormat="1" applyFont="1" applyFill="1" applyBorder="1" applyAlignment="1">
      <alignment horizontal="justify" vertical="center" wrapText="1"/>
    </xf>
    <xf numFmtId="168" fontId="2" fillId="36" borderId="0" xfId="0" applyFont="1" applyFill="1" applyBorder="1" applyAlignment="1">
      <alignment horizontal="justify" vertical="center"/>
    </xf>
    <xf numFmtId="168" fontId="2" fillId="0" borderId="0" xfId="0" applyFont="1" applyBorder="1" applyAlignment="1">
      <alignment horizontal="justify" vertical="center"/>
    </xf>
    <xf numFmtId="168" fontId="2" fillId="0" borderId="0" xfId="0" applyFont="1" applyAlignment="1">
      <alignment horizontal="justify" vertical="center"/>
    </xf>
    <xf numFmtId="0" fontId="2" fillId="0" borderId="0" xfId="0" applyNumberFormat="1" applyFont="1" applyAlignment="1">
      <alignment horizontal="justify" vertical="center"/>
    </xf>
    <xf numFmtId="0" fontId="23" fillId="2" borderId="13" xfId="0" applyNumberFormat="1" applyFont="1" applyFill="1" applyBorder="1" applyAlignment="1">
      <alignment vertical="center" wrapText="1"/>
    </xf>
    <xf numFmtId="0" fontId="23" fillId="2" borderId="15" xfId="0" applyNumberFormat="1" applyFont="1" applyFill="1" applyBorder="1" applyAlignment="1">
      <alignment horizontal="justify" vertical="center" wrapText="1"/>
    </xf>
    <xf numFmtId="0"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justify" vertical="center" wrapText="1"/>
    </xf>
    <xf numFmtId="0" fontId="23" fillId="0" borderId="15" xfId="0" applyNumberFormat="1" applyFont="1" applyBorder="1" applyAlignment="1">
      <alignment horizontal="center" vertical="center" wrapText="1"/>
    </xf>
    <xf numFmtId="168" fontId="23" fillId="2" borderId="3" xfId="0" applyFont="1" applyFill="1" applyBorder="1" applyAlignment="1">
      <alignment horizontal="justify" vertical="center"/>
    </xf>
    <xf numFmtId="168" fontId="23" fillId="2" borderId="15" xfId="0" applyFont="1" applyFill="1" applyBorder="1" applyAlignment="1">
      <alignment horizontal="center" vertical="center" wrapText="1"/>
    </xf>
    <xf numFmtId="168" fontId="2" fillId="0" borderId="8" xfId="0" applyFont="1" applyBorder="1"/>
    <xf numFmtId="168" fontId="2" fillId="2" borderId="0" xfId="0" applyFont="1" applyFill="1" applyBorder="1" applyAlignment="1">
      <alignment horizontal="justify" vertical="center"/>
    </xf>
    <xf numFmtId="0" fontId="6" fillId="2" borderId="13" xfId="0" applyNumberFormat="1" applyFont="1" applyFill="1" applyBorder="1" applyAlignment="1">
      <alignment vertical="center" wrapText="1"/>
    </xf>
    <xf numFmtId="0" fontId="6" fillId="2" borderId="15" xfId="0" applyNumberFormat="1" applyFont="1" applyFill="1" applyBorder="1" applyAlignment="1">
      <alignment horizontal="justify" vertical="center" wrapText="1"/>
    </xf>
    <xf numFmtId="0" fontId="33" fillId="2" borderId="13" xfId="0" applyNumberFormat="1" applyFont="1" applyFill="1" applyBorder="1" applyAlignment="1">
      <alignment vertical="center" wrapText="1"/>
    </xf>
    <xf numFmtId="0" fontId="33" fillId="2" borderId="13" xfId="0" applyNumberFormat="1" applyFont="1" applyFill="1" applyBorder="1" applyAlignment="1">
      <alignment horizontal="center" vertical="center" wrapText="1"/>
    </xf>
    <xf numFmtId="0" fontId="33" fillId="2" borderId="15" xfId="0" applyNumberFormat="1" applyFont="1" applyFill="1" applyBorder="1" applyAlignment="1">
      <alignment horizontal="justify" vertical="center" wrapText="1"/>
    </xf>
    <xf numFmtId="0" fontId="33" fillId="2" borderId="3" xfId="0" applyNumberFormat="1" applyFont="1" applyFill="1" applyBorder="1" applyAlignment="1">
      <alignment horizontal="center" vertical="center" wrapText="1"/>
    </xf>
    <xf numFmtId="168" fontId="22" fillId="2" borderId="3" xfId="0" applyFont="1" applyFill="1" applyBorder="1" applyAlignment="1">
      <alignment horizontal="justify" vertical="center" wrapText="1"/>
    </xf>
    <xf numFmtId="3" fontId="20" fillId="25" borderId="5" xfId="0" applyNumberFormat="1" applyFont="1" applyFill="1" applyBorder="1" applyAlignment="1">
      <alignment horizontal="right" vertical="center" wrapText="1"/>
    </xf>
    <xf numFmtId="3" fontId="23" fillId="2" borderId="3" xfId="0" applyNumberFormat="1" applyFont="1" applyFill="1" applyBorder="1" applyAlignment="1">
      <alignment horizontal="right" vertical="center" wrapText="1"/>
    </xf>
    <xf numFmtId="43" fontId="2" fillId="0" borderId="3" xfId="1" applyFont="1" applyBorder="1" applyAlignment="1">
      <alignment horizontal="right" vertical="center" wrapText="1"/>
    </xf>
    <xf numFmtId="43" fontId="2" fillId="0" borderId="33" xfId="1" applyFont="1" applyBorder="1" applyAlignment="1">
      <alignment horizontal="right" vertical="center" wrapText="1"/>
    </xf>
    <xf numFmtId="43" fontId="33" fillId="2" borderId="3" xfId="1" applyFont="1" applyFill="1" applyBorder="1" applyAlignment="1">
      <alignment horizontal="right" vertical="center" wrapText="1"/>
    </xf>
    <xf numFmtId="3" fontId="2" fillId="0" borderId="0" xfId="0" applyNumberFormat="1" applyFont="1" applyFill="1" applyAlignment="1">
      <alignment horizontal="right" vertical="center"/>
    </xf>
    <xf numFmtId="3" fontId="2" fillId="11" borderId="0" xfId="0" applyNumberFormat="1" applyFont="1" applyFill="1" applyAlignment="1">
      <alignment horizontal="right" vertical="center"/>
    </xf>
    <xf numFmtId="3" fontId="2" fillId="36" borderId="0" xfId="0" applyNumberFormat="1" applyFont="1" applyFill="1" applyAlignment="1">
      <alignment horizontal="right" vertical="center"/>
    </xf>
    <xf numFmtId="3" fontId="2" fillId="0" borderId="0" xfId="0" applyNumberFormat="1" applyFont="1" applyAlignment="1">
      <alignment horizontal="right" vertical="center"/>
    </xf>
    <xf numFmtId="1" fontId="23" fillId="2" borderId="15" xfId="0" applyNumberFormat="1" applyFont="1" applyFill="1" applyBorder="1" applyAlignment="1">
      <alignment horizontal="center" vertical="center" wrapText="1"/>
    </xf>
    <xf numFmtId="0" fontId="6" fillId="2" borderId="15" xfId="0" applyNumberFormat="1" applyFont="1" applyFill="1" applyBorder="1" applyAlignment="1">
      <alignment horizontal="left" vertical="center" wrapText="1"/>
    </xf>
    <xf numFmtId="4" fontId="6" fillId="2" borderId="3" xfId="0" applyNumberFormat="1" applyFont="1" applyFill="1" applyBorder="1" applyAlignment="1">
      <alignment horizontal="right" vertical="center" wrapText="1"/>
    </xf>
    <xf numFmtId="0" fontId="6" fillId="2" borderId="3" xfId="0" applyNumberFormat="1" applyFont="1" applyFill="1" applyBorder="1" applyAlignment="1">
      <alignment horizontal="left" vertical="center" wrapText="1"/>
    </xf>
    <xf numFmtId="168" fontId="22" fillId="0" borderId="13" xfId="0" applyFont="1" applyFill="1" applyBorder="1" applyAlignment="1">
      <alignment horizontal="justify" vertical="center" wrapText="1"/>
    </xf>
    <xf numFmtId="0" fontId="17" fillId="2" borderId="13" xfId="0" applyNumberFormat="1" applyFont="1" applyFill="1" applyBorder="1" applyAlignment="1">
      <alignment horizontal="justify" vertical="center" wrapText="1"/>
    </xf>
    <xf numFmtId="168" fontId="17" fillId="2" borderId="13" xfId="0" applyFont="1" applyFill="1" applyBorder="1" applyAlignment="1">
      <alignment horizontal="justify" vertical="center" wrapText="1"/>
    </xf>
    <xf numFmtId="0" fontId="2" fillId="0" borderId="19" xfId="0" applyNumberFormat="1" applyFont="1" applyBorder="1" applyAlignment="1">
      <alignment vertical="center" wrapText="1"/>
    </xf>
    <xf numFmtId="0" fontId="2" fillId="0" borderId="40" xfId="0" applyNumberFormat="1" applyFont="1" applyBorder="1" applyAlignment="1">
      <alignment vertical="center"/>
    </xf>
    <xf numFmtId="168" fontId="23" fillId="2" borderId="13" xfId="0" applyFont="1" applyFill="1" applyBorder="1" applyAlignment="1">
      <alignment horizontal="justify" vertical="center" wrapText="1"/>
    </xf>
    <xf numFmtId="168" fontId="2" fillId="13" borderId="0" xfId="0" applyFont="1" applyFill="1" applyAlignment="1">
      <alignment horizontal="justify" vertical="center"/>
    </xf>
    <xf numFmtId="168" fontId="2" fillId="13" borderId="0" xfId="0" applyFont="1" applyFill="1" applyAlignment="1">
      <alignment vertical="center"/>
    </xf>
    <xf numFmtId="0" fontId="2" fillId="28" borderId="15" xfId="0"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37" fillId="2" borderId="3" xfId="18" applyFont="1" applyFill="1" applyBorder="1" applyAlignment="1">
      <alignment vertical="center"/>
    </xf>
    <xf numFmtId="0" fontId="37" fillId="2" borderId="3" xfId="19" applyFont="1" applyFill="1" applyBorder="1" applyAlignment="1">
      <alignment horizontal="justify" vertical="center" wrapText="1"/>
    </xf>
    <xf numFmtId="168" fontId="37" fillId="2" borderId="3" xfId="0" applyFont="1" applyFill="1" applyBorder="1" applyAlignment="1">
      <alignment vertical="center"/>
    </xf>
    <xf numFmtId="168" fontId="37" fillId="2" borderId="3" xfId="0" applyFont="1" applyFill="1" applyBorder="1" applyAlignment="1">
      <alignment horizontal="justify" vertical="center" wrapText="1"/>
    </xf>
    <xf numFmtId="49" fontId="2" fillId="2" borderId="0" xfId="0" applyNumberFormat="1" applyFont="1" applyFill="1" applyBorder="1" applyAlignment="1">
      <alignment horizontal="justify" vertical="center" wrapText="1"/>
    </xf>
    <xf numFmtId="168" fontId="2" fillId="0" borderId="26" xfId="0" applyFont="1" applyFill="1" applyBorder="1" applyAlignment="1">
      <alignment horizontal="center" vertical="center" wrapText="1"/>
    </xf>
    <xf numFmtId="0" fontId="6" fillId="2" borderId="16" xfId="0" applyNumberFormat="1" applyFont="1" applyFill="1" applyBorder="1" applyAlignment="1">
      <alignment horizontal="center" vertical="center" wrapText="1"/>
    </xf>
    <xf numFmtId="0" fontId="6" fillId="2" borderId="28" xfId="0" applyNumberFormat="1" applyFont="1" applyFill="1" applyBorder="1" applyAlignment="1">
      <alignment horizontal="center" vertical="center"/>
    </xf>
    <xf numFmtId="0" fontId="6" fillId="0" borderId="13" xfId="0" applyNumberFormat="1" applyFont="1" applyBorder="1" applyAlignment="1">
      <alignment horizontal="justify" vertical="center" wrapText="1"/>
    </xf>
    <xf numFmtId="0" fontId="6" fillId="0" borderId="13" xfId="0" applyNumberFormat="1" applyFont="1" applyBorder="1" applyAlignment="1">
      <alignment vertical="center" wrapText="1"/>
    </xf>
    <xf numFmtId="0" fontId="6" fillId="0" borderId="15" xfId="0" applyNumberFormat="1" applyFont="1" applyBorder="1" applyAlignment="1">
      <alignment horizontal="justify" vertical="center" wrapText="1"/>
    </xf>
    <xf numFmtId="3" fontId="6" fillId="0" borderId="3" xfId="0" applyNumberFormat="1" applyFont="1" applyBorder="1" applyAlignment="1">
      <alignment horizontal="right" vertical="center" wrapText="1"/>
    </xf>
    <xf numFmtId="0" fontId="6" fillId="0" borderId="3" xfId="0" applyNumberFormat="1" applyFont="1" applyBorder="1" applyAlignment="1">
      <alignment horizontal="center" vertical="center" wrapText="1"/>
    </xf>
    <xf numFmtId="168" fontId="6" fillId="0" borderId="13" xfId="0" applyFont="1" applyBorder="1" applyAlignment="1">
      <alignment horizontal="justify" vertical="center" wrapText="1"/>
    </xf>
    <xf numFmtId="168" fontId="6" fillId="0" borderId="13" xfId="0" applyFont="1" applyBorder="1" applyAlignment="1">
      <alignment horizontal="center" vertical="center" wrapText="1"/>
    </xf>
    <xf numFmtId="1" fontId="30" fillId="2" borderId="3" xfId="0" applyNumberFormat="1" applyFont="1" applyFill="1" applyBorder="1" applyAlignment="1">
      <alignment horizontal="center" vertical="center" wrapText="1"/>
    </xf>
    <xf numFmtId="168" fontId="6" fillId="2" borderId="13" xfId="0" applyFont="1" applyFill="1" applyBorder="1" applyAlignment="1">
      <alignment horizontal="center" vertical="center"/>
    </xf>
    <xf numFmtId="0" fontId="6" fillId="2" borderId="15" xfId="0" applyNumberFormat="1" applyFont="1" applyFill="1" applyBorder="1" applyAlignment="1">
      <alignment horizontal="center" vertical="center" wrapText="1"/>
    </xf>
    <xf numFmtId="168" fontId="6" fillId="2" borderId="13" xfId="0" applyFont="1" applyFill="1" applyBorder="1" applyAlignment="1">
      <alignment vertical="center"/>
    </xf>
    <xf numFmtId="168" fontId="16" fillId="0" borderId="17" xfId="0" applyFont="1" applyBorder="1" applyAlignment="1">
      <alignment horizontal="justify" vertical="justify" wrapText="1"/>
    </xf>
    <xf numFmtId="168" fontId="18" fillId="7" borderId="15" xfId="0" applyFont="1" applyFill="1" applyBorder="1" applyAlignment="1">
      <alignment horizontal="left" vertical="center"/>
    </xf>
    <xf numFmtId="168" fontId="18" fillId="7" borderId="18" xfId="0" applyFont="1" applyFill="1" applyBorder="1" applyAlignment="1">
      <alignment horizontal="left" vertical="center"/>
    </xf>
    <xf numFmtId="168" fontId="18" fillId="7" borderId="16" xfId="0" applyFont="1" applyFill="1" applyBorder="1" applyAlignment="1">
      <alignment horizontal="left" vertical="center"/>
    </xf>
    <xf numFmtId="168" fontId="3" fillId="7" borderId="15" xfId="0" applyFont="1" applyFill="1" applyBorder="1" applyAlignment="1">
      <alignment horizontal="left" vertical="center"/>
    </xf>
    <xf numFmtId="0" fontId="18" fillId="6" borderId="13" xfId="0" applyNumberFormat="1" applyFont="1" applyFill="1" applyBorder="1" applyAlignment="1">
      <alignment horizontal="left" vertical="center"/>
    </xf>
    <xf numFmtId="0" fontId="17" fillId="0" borderId="13" xfId="0" applyNumberFormat="1" applyFont="1" applyBorder="1" applyAlignment="1">
      <alignment horizontal="justify" vertical="center" wrapText="1"/>
    </xf>
    <xf numFmtId="0" fontId="17" fillId="0" borderId="13" xfId="0" applyNumberFormat="1" applyFont="1" applyBorder="1" applyAlignment="1">
      <alignment horizontal="center" vertical="center" wrapText="1"/>
    </xf>
    <xf numFmtId="0" fontId="16" fillId="0" borderId="13" xfId="0" applyNumberFormat="1" applyFont="1" applyBorder="1" applyAlignment="1">
      <alignment horizontal="center" vertical="center" wrapText="1"/>
    </xf>
    <xf numFmtId="0" fontId="18" fillId="9" borderId="15" xfId="0" applyNumberFormat="1" applyFont="1" applyFill="1" applyBorder="1" applyAlignment="1">
      <alignment horizontal="left" vertical="center" wrapText="1"/>
    </xf>
    <xf numFmtId="0" fontId="18" fillId="9" borderId="18" xfId="0" applyNumberFormat="1" applyFont="1" applyFill="1" applyBorder="1" applyAlignment="1">
      <alignment horizontal="left" vertical="center" wrapText="1"/>
    </xf>
    <xf numFmtId="0" fontId="18" fillId="9" borderId="16" xfId="0" applyNumberFormat="1" applyFont="1" applyFill="1" applyBorder="1" applyAlignment="1">
      <alignment horizontal="left" vertical="center" wrapText="1"/>
    </xf>
    <xf numFmtId="168" fontId="18" fillId="7" borderId="15" xfId="0" applyFont="1" applyFill="1" applyBorder="1" applyAlignment="1">
      <alignment horizontal="left" vertical="center" wrapText="1"/>
    </xf>
    <xf numFmtId="168" fontId="18" fillId="7" borderId="18" xfId="0" applyFont="1" applyFill="1" applyBorder="1" applyAlignment="1">
      <alignment horizontal="left" vertical="center" wrapText="1"/>
    </xf>
    <xf numFmtId="168" fontId="18" fillId="7" borderId="16" xfId="0" applyFont="1" applyFill="1" applyBorder="1" applyAlignment="1">
      <alignment horizontal="left" vertical="center" wrapText="1"/>
    </xf>
    <xf numFmtId="168" fontId="18" fillId="7" borderId="15" xfId="0" applyFont="1" applyFill="1" applyBorder="1" applyAlignment="1">
      <alignment horizontal="left" vertical="justify"/>
    </xf>
    <xf numFmtId="168" fontId="18" fillId="7" borderId="18" xfId="0" applyFont="1" applyFill="1" applyBorder="1" applyAlignment="1">
      <alignment horizontal="left" vertical="justify"/>
    </xf>
    <xf numFmtId="168" fontId="18" fillId="7" borderId="16" xfId="0" applyFont="1" applyFill="1" applyBorder="1" applyAlignment="1">
      <alignment horizontal="left" vertical="justify"/>
    </xf>
    <xf numFmtId="168" fontId="3" fillId="0" borderId="0" xfId="0" applyFont="1" applyAlignment="1">
      <alignment horizontal="center" vertical="center" wrapText="1"/>
    </xf>
    <xf numFmtId="168" fontId="3" fillId="0" borderId="0" xfId="0" applyFont="1" applyBorder="1" applyAlignment="1">
      <alignment horizontal="center" vertical="center" wrapText="1"/>
    </xf>
    <xf numFmtId="0" fontId="17" fillId="0" borderId="13" xfId="0" applyNumberFormat="1" applyFont="1" applyFill="1" applyBorder="1" applyAlignment="1">
      <alignment horizontal="justify" vertical="center" wrapText="1"/>
    </xf>
    <xf numFmtId="170" fontId="17" fillId="0" borderId="13" xfId="0" applyNumberFormat="1" applyFont="1" applyFill="1" applyBorder="1" applyAlignment="1">
      <alignment horizontal="justify" vertical="center" wrapText="1"/>
    </xf>
    <xf numFmtId="168" fontId="17" fillId="0" borderId="13" xfId="0" applyFont="1" applyBorder="1" applyAlignment="1">
      <alignment horizontal="justify" vertical="center" wrapText="1"/>
    </xf>
    <xf numFmtId="168" fontId="16" fillId="0" borderId="13" xfId="0" applyFont="1" applyBorder="1" applyAlignment="1">
      <alignment horizontal="justify" vertical="center" wrapText="1"/>
    </xf>
    <xf numFmtId="168" fontId="22" fillId="0" borderId="13" xfId="0" applyFont="1" applyBorder="1" applyAlignment="1">
      <alignment horizontal="justify" vertical="center" wrapText="1"/>
    </xf>
    <xf numFmtId="168" fontId="22" fillId="15" borderId="13" xfId="0" applyFont="1" applyFill="1" applyBorder="1" applyAlignment="1">
      <alignment horizontal="center" vertical="center" wrapText="1"/>
    </xf>
    <xf numFmtId="168" fontId="17" fillId="0" borderId="13" xfId="0" applyFont="1" applyFill="1" applyBorder="1" applyAlignment="1">
      <alignment horizontal="center" vertical="center" wrapText="1"/>
    </xf>
    <xf numFmtId="168" fontId="17" fillId="15" borderId="13" xfId="0" applyFont="1" applyFill="1" applyBorder="1" applyAlignment="1">
      <alignment horizontal="center" vertical="center" wrapText="1"/>
    </xf>
    <xf numFmtId="0" fontId="17" fillId="2" borderId="13" xfId="0" applyNumberFormat="1" applyFont="1" applyFill="1" applyBorder="1" applyAlignment="1">
      <alignment horizontal="justify" vertical="center" wrapText="1"/>
    </xf>
    <xf numFmtId="168" fontId="16" fillId="0" borderId="13" xfId="0" applyFont="1" applyFill="1" applyBorder="1" applyAlignment="1">
      <alignment horizontal="center" vertical="center" wrapText="1"/>
    </xf>
    <xf numFmtId="168" fontId="16" fillId="15" borderId="13" xfId="0" applyFont="1" applyFill="1" applyBorder="1" applyAlignment="1">
      <alignment horizontal="justify" vertical="center" wrapText="1"/>
    </xf>
    <xf numFmtId="0" fontId="17" fillId="0" borderId="17" xfId="0" applyNumberFormat="1" applyFont="1" applyBorder="1" applyAlignment="1">
      <alignment horizontal="justify" vertical="justify" wrapText="1"/>
    </xf>
    <xf numFmtId="0" fontId="17" fillId="0" borderId="19" xfId="0" applyNumberFormat="1" applyFont="1" applyBorder="1" applyAlignment="1">
      <alignment horizontal="justify" vertical="justify" wrapText="1"/>
    </xf>
    <xf numFmtId="0" fontId="17" fillId="0" borderId="13" xfId="7" applyNumberFormat="1" applyFont="1" applyBorder="1" applyAlignment="1">
      <alignment horizontal="justify" vertical="center" wrapText="1"/>
    </xf>
    <xf numFmtId="0" fontId="16" fillId="0" borderId="13" xfId="0" applyNumberFormat="1" applyFont="1" applyBorder="1" applyAlignment="1">
      <alignment horizontal="justify" vertical="center" wrapText="1"/>
    </xf>
    <xf numFmtId="0" fontId="17" fillId="0" borderId="17" xfId="0" applyNumberFormat="1" applyFont="1" applyBorder="1" applyAlignment="1">
      <alignment horizontal="justify" vertical="center" wrapText="1"/>
    </xf>
    <xf numFmtId="0" fontId="17" fillId="0" borderId="19" xfId="0" applyNumberFormat="1" applyFont="1" applyBorder="1" applyAlignment="1">
      <alignment horizontal="justify" vertical="center" wrapText="1"/>
    </xf>
    <xf numFmtId="0" fontId="17" fillId="0" borderId="13" xfId="7" applyFont="1" applyBorder="1" applyAlignment="1">
      <alignment horizontal="justify" vertical="center" wrapText="1"/>
    </xf>
    <xf numFmtId="168" fontId="17" fillId="2" borderId="13" xfId="0" applyFont="1" applyFill="1" applyBorder="1" applyAlignment="1">
      <alignment horizontal="justify" vertical="center" wrapText="1"/>
    </xf>
    <xf numFmtId="49" fontId="17" fillId="2" borderId="13" xfId="0" applyNumberFormat="1" applyFont="1" applyFill="1" applyBorder="1" applyAlignment="1">
      <alignment horizontal="justify" vertical="center" wrapText="1"/>
    </xf>
    <xf numFmtId="49" fontId="2" fillId="2" borderId="13" xfId="0" applyNumberFormat="1" applyFont="1" applyFill="1" applyBorder="1" applyAlignment="1">
      <alignment horizontal="justify" vertical="center" wrapText="1"/>
    </xf>
    <xf numFmtId="0" fontId="16" fillId="0" borderId="13" xfId="0" applyNumberFormat="1" applyFont="1" applyFill="1" applyBorder="1" applyAlignment="1">
      <alignment horizontal="justify" vertical="center" wrapText="1"/>
    </xf>
    <xf numFmtId="0" fontId="17" fillId="15" borderId="13" xfId="0" applyNumberFormat="1" applyFont="1" applyFill="1" applyBorder="1" applyAlignment="1">
      <alignment horizontal="justify" vertical="center" wrapText="1"/>
    </xf>
    <xf numFmtId="49" fontId="17" fillId="0" borderId="13" xfId="0" applyNumberFormat="1" applyFont="1" applyBorder="1" applyAlignment="1">
      <alignment horizontal="justify" vertical="center" wrapText="1"/>
    </xf>
    <xf numFmtId="0" fontId="17" fillId="2" borderId="17" xfId="0" applyNumberFormat="1" applyFont="1" applyFill="1" applyBorder="1" applyAlignment="1">
      <alignment horizontal="justify" vertical="center" wrapText="1"/>
    </xf>
    <xf numFmtId="0" fontId="17" fillId="2" borderId="24" xfId="0" applyNumberFormat="1" applyFont="1" applyFill="1" applyBorder="1" applyAlignment="1">
      <alignment horizontal="justify" vertical="center" wrapText="1"/>
    </xf>
    <xf numFmtId="0" fontId="17" fillId="2" borderId="19" xfId="0" applyNumberFormat="1" applyFont="1" applyFill="1" applyBorder="1" applyAlignment="1">
      <alignment horizontal="justify" vertical="center" wrapText="1"/>
    </xf>
    <xf numFmtId="168" fontId="17" fillId="15" borderId="13" xfId="0" applyFont="1" applyFill="1" applyBorder="1" applyAlignment="1">
      <alignment horizontal="justify" vertical="center" wrapText="1"/>
    </xf>
    <xf numFmtId="168" fontId="17" fillId="15" borderId="13" xfId="0" applyFont="1" applyFill="1" applyBorder="1" applyAlignment="1">
      <alignment horizontal="center" vertical="center"/>
    </xf>
    <xf numFmtId="168" fontId="22" fillId="2" borderId="13" xfId="0" applyFont="1" applyFill="1" applyBorder="1" applyAlignment="1">
      <alignment horizontal="justify" vertical="center" wrapText="1"/>
    </xf>
    <xf numFmtId="0" fontId="17" fillId="0" borderId="13" xfId="6" applyNumberFormat="1" applyFont="1" applyFill="1" applyBorder="1" applyAlignment="1">
      <alignment horizontal="justify" vertical="center" wrapText="1"/>
    </xf>
    <xf numFmtId="0" fontId="22" fillId="0" borderId="13" xfId="0" applyNumberFormat="1" applyFont="1" applyFill="1" applyBorder="1" applyAlignment="1">
      <alignment horizontal="justify" vertical="center" wrapText="1"/>
    </xf>
    <xf numFmtId="168" fontId="22" fillId="0" borderId="13" xfId="0" applyFont="1" applyFill="1" applyBorder="1" applyAlignment="1">
      <alignment horizontal="center" vertical="center"/>
    </xf>
    <xf numFmtId="168" fontId="2" fillId="15" borderId="13" xfId="0" applyFont="1" applyFill="1" applyBorder="1" applyAlignment="1">
      <alignment horizontal="center" vertical="center" wrapText="1"/>
    </xf>
    <xf numFmtId="168" fontId="22" fillId="0" borderId="13" xfId="0" applyFont="1" applyBorder="1" applyAlignment="1">
      <alignment horizontal="center" vertical="center" wrapText="1"/>
    </xf>
    <xf numFmtId="168" fontId="2" fillId="0" borderId="13" xfId="0" applyFont="1" applyFill="1" applyBorder="1" applyAlignment="1">
      <alignment horizontal="center" vertical="center" wrapText="1"/>
    </xf>
    <xf numFmtId="168" fontId="22" fillId="19" borderId="13" xfId="0" applyFont="1" applyFill="1" applyBorder="1" applyAlignment="1">
      <alignment horizontal="center" vertical="center" wrapText="1"/>
    </xf>
    <xf numFmtId="168" fontId="22" fillId="0" borderId="13" xfId="0" applyFont="1" applyFill="1" applyBorder="1" applyAlignment="1">
      <alignment horizontal="justify" vertical="center" wrapText="1"/>
    </xf>
    <xf numFmtId="1" fontId="17" fillId="0" borderId="13" xfId="0" applyNumberFormat="1" applyFont="1" applyBorder="1" applyAlignment="1">
      <alignment horizontal="center" vertical="center"/>
    </xf>
    <xf numFmtId="0" fontId="18" fillId="6" borderId="15" xfId="0" applyNumberFormat="1" applyFont="1" applyFill="1" applyBorder="1" applyAlignment="1">
      <alignment horizontal="left" vertical="center" wrapText="1"/>
    </xf>
    <xf numFmtId="0" fontId="18" fillId="6" borderId="18" xfId="0" applyNumberFormat="1" applyFont="1" applyFill="1" applyBorder="1" applyAlignment="1">
      <alignment horizontal="left" vertical="center" wrapText="1"/>
    </xf>
    <xf numFmtId="0" fontId="18" fillId="6" borderId="16" xfId="0" applyNumberFormat="1" applyFont="1" applyFill="1" applyBorder="1" applyAlignment="1">
      <alignment horizontal="left" vertical="center" wrapText="1"/>
    </xf>
    <xf numFmtId="168" fontId="18" fillId="0" borderId="0" xfId="0" applyFont="1" applyBorder="1" applyAlignment="1">
      <alignment horizontal="center" vertical="top"/>
    </xf>
    <xf numFmtId="170" fontId="19" fillId="4" borderId="7" xfId="5" applyNumberFormat="1" applyFont="1" applyFill="1" applyBorder="1" applyAlignment="1">
      <alignment horizontal="center" vertical="center" wrapText="1"/>
    </xf>
    <xf numFmtId="170" fontId="19" fillId="4" borderId="8" xfId="5" applyNumberFormat="1" applyFont="1" applyFill="1" applyBorder="1" applyAlignment="1">
      <alignment horizontal="center" vertical="center" wrapText="1"/>
    </xf>
    <xf numFmtId="170" fontId="19" fillId="4" borderId="9" xfId="5" applyNumberFormat="1" applyFont="1" applyFill="1" applyBorder="1" applyAlignment="1">
      <alignment horizontal="center" vertical="center" wrapText="1"/>
    </xf>
    <xf numFmtId="168" fontId="34" fillId="2" borderId="0" xfId="0" applyFont="1" applyFill="1" applyAlignment="1">
      <alignment horizontal="center" vertical="center"/>
    </xf>
    <xf numFmtId="3" fontId="20" fillId="25" borderId="7" xfId="0" applyNumberFormat="1" applyFont="1" applyFill="1" applyBorder="1" applyAlignment="1">
      <alignment horizontal="right" vertical="center" wrapText="1"/>
    </xf>
    <xf numFmtId="0" fontId="3" fillId="12" borderId="8" xfId="0" applyNumberFormat="1" applyFont="1" applyFill="1" applyBorder="1" applyAlignment="1">
      <alignment horizontal="center" vertical="center" wrapText="1"/>
    </xf>
    <xf numFmtId="0" fontId="3" fillId="12" borderId="9" xfId="0" applyNumberFormat="1" applyFont="1" applyFill="1" applyBorder="1" applyAlignment="1">
      <alignment horizontal="center" vertical="center" wrapText="1"/>
    </xf>
    <xf numFmtId="0" fontId="3" fillId="27" borderId="8" xfId="0" applyNumberFormat="1" applyFont="1" applyFill="1" applyBorder="1" applyAlignment="1">
      <alignment horizontal="center" vertical="center" wrapText="1"/>
    </xf>
    <xf numFmtId="0" fontId="20" fillId="25" borderId="7" xfId="0" applyNumberFormat="1" applyFont="1" applyFill="1" applyBorder="1" applyAlignment="1">
      <alignment horizontal="center" vertical="center"/>
    </xf>
    <xf numFmtId="0" fontId="20" fillId="25" borderId="8" xfId="0" applyNumberFormat="1" applyFont="1" applyFill="1" applyBorder="1" applyAlignment="1">
      <alignment horizontal="center" vertical="center"/>
    </xf>
    <xf numFmtId="0" fontId="20" fillId="25" borderId="8" xfId="0" applyNumberFormat="1" applyFont="1" applyFill="1" applyBorder="1" applyAlignment="1">
      <alignment vertical="center"/>
    </xf>
    <xf numFmtId="0" fontId="20" fillId="25" borderId="8" xfId="0" applyNumberFormat="1" applyFont="1" applyFill="1" applyBorder="1" applyAlignment="1">
      <alignment horizontal="left" vertical="center"/>
    </xf>
    <xf numFmtId="0" fontId="20" fillId="25" borderId="9" xfId="0" applyNumberFormat="1" applyFont="1" applyFill="1" applyBorder="1" applyAlignment="1">
      <alignment horizontal="center" vertical="center"/>
    </xf>
    <xf numFmtId="1" fontId="20" fillId="25" borderId="3" xfId="0" applyNumberFormat="1" applyFont="1" applyFill="1" applyBorder="1" applyAlignment="1">
      <alignment horizontal="center" vertical="center" wrapText="1"/>
    </xf>
    <xf numFmtId="0" fontId="20" fillId="25" borderId="2" xfId="0" applyNumberFormat="1" applyFont="1" applyFill="1" applyBorder="1" applyAlignment="1">
      <alignment vertical="center" wrapText="1"/>
    </xf>
    <xf numFmtId="0" fontId="20" fillId="25" borderId="0" xfId="0" applyNumberFormat="1" applyFont="1" applyFill="1" applyBorder="1" applyAlignment="1">
      <alignment vertical="center" wrapText="1"/>
    </xf>
    <xf numFmtId="0" fontId="20" fillId="29" borderId="0" xfId="0" applyNumberFormat="1" applyFont="1" applyFill="1" applyBorder="1" applyAlignment="1">
      <alignment vertical="center" wrapText="1"/>
    </xf>
    <xf numFmtId="0" fontId="20" fillId="25" borderId="2" xfId="0" applyNumberFormat="1" applyFont="1" applyFill="1" applyBorder="1" applyAlignment="1">
      <alignment horizontal="center" vertical="center" wrapText="1"/>
    </xf>
    <xf numFmtId="0" fontId="20" fillId="25" borderId="0" xfId="0" applyNumberFormat="1" applyFont="1" applyFill="1" applyBorder="1" applyAlignment="1">
      <alignment horizontal="center" vertical="center" wrapText="1"/>
    </xf>
    <xf numFmtId="0" fontId="20" fillId="29" borderId="0" xfId="0" applyNumberFormat="1" applyFont="1" applyFill="1" applyBorder="1" applyAlignment="1">
      <alignment horizontal="center" vertical="center" wrapText="1"/>
    </xf>
    <xf numFmtId="0" fontId="20" fillId="25" borderId="2" xfId="0" applyNumberFormat="1" applyFont="1" applyFill="1" applyBorder="1" applyAlignment="1">
      <alignment horizontal="justify" vertical="center" wrapText="1"/>
    </xf>
    <xf numFmtId="0" fontId="20" fillId="25" borderId="0" xfId="0" applyNumberFormat="1" applyFont="1" applyFill="1" applyBorder="1" applyAlignment="1">
      <alignment horizontal="justify" vertical="center" wrapText="1"/>
    </xf>
    <xf numFmtId="0" fontId="20" fillId="29" borderId="27" xfId="0" applyNumberFormat="1" applyFont="1" applyFill="1" applyBorder="1" applyAlignment="1">
      <alignment horizontal="center" vertical="center" wrapText="1"/>
    </xf>
    <xf numFmtId="3" fontId="20" fillId="25" borderId="4" xfId="0" applyNumberFormat="1" applyFont="1" applyFill="1" applyBorder="1" applyAlignment="1">
      <alignment horizontal="right" vertical="center"/>
    </xf>
    <xf numFmtId="0" fontId="33" fillId="7" borderId="0" xfId="0" applyNumberFormat="1" applyFont="1" applyFill="1" applyBorder="1" applyAlignment="1">
      <alignment horizontal="center" vertical="center"/>
    </xf>
    <xf numFmtId="3" fontId="33" fillId="7" borderId="0" xfId="0" applyNumberFormat="1" applyFont="1" applyFill="1" applyBorder="1" applyAlignment="1">
      <alignment horizontal="center" vertical="center"/>
    </xf>
    <xf numFmtId="0" fontId="21" fillId="25" borderId="0" xfId="0" applyNumberFormat="1" applyFont="1" applyFill="1" applyBorder="1" applyAlignment="1">
      <alignment horizontal="center" vertical="center"/>
    </xf>
    <xf numFmtId="0" fontId="20" fillId="25" borderId="0" xfId="0" applyNumberFormat="1" applyFont="1" applyFill="1" applyBorder="1" applyAlignment="1">
      <alignment horizontal="center" vertical="center"/>
    </xf>
    <xf numFmtId="0" fontId="20" fillId="25" borderId="0" xfId="0" applyNumberFormat="1" applyFont="1" applyFill="1" applyBorder="1" applyAlignment="1">
      <alignment vertical="center"/>
    </xf>
    <xf numFmtId="0" fontId="20" fillId="25" borderId="0" xfId="0" applyNumberFormat="1" applyFont="1" applyFill="1" applyBorder="1" applyAlignment="1">
      <alignment horizontal="left" vertical="center"/>
    </xf>
    <xf numFmtId="0" fontId="20" fillId="25" borderId="7" xfId="0" applyNumberFormat="1" applyFont="1" applyFill="1" applyBorder="1" applyAlignment="1">
      <alignment horizontal="center" vertical="center" wrapText="1"/>
    </xf>
    <xf numFmtId="0" fontId="20" fillId="25" borderId="9" xfId="0" applyNumberFormat="1" applyFont="1" applyFill="1" applyBorder="1" applyAlignment="1">
      <alignment horizontal="center" vertical="center" wrapText="1"/>
    </xf>
    <xf numFmtId="168" fontId="20" fillId="25" borderId="7" xfId="0" applyFont="1" applyFill="1" applyBorder="1" applyAlignment="1">
      <alignment horizontal="left" vertical="center" wrapText="1"/>
    </xf>
    <xf numFmtId="168" fontId="20" fillId="25" borderId="9" xfId="0" applyFont="1" applyFill="1" applyBorder="1" applyAlignment="1">
      <alignment horizontal="center" vertical="center" wrapText="1"/>
    </xf>
    <xf numFmtId="0" fontId="3" fillId="27" borderId="7" xfId="0" applyNumberFormat="1" applyFont="1" applyFill="1" applyBorder="1" applyAlignment="1">
      <alignment horizontal="center" vertical="center" wrapText="1"/>
    </xf>
    <xf numFmtId="0" fontId="3" fillId="27" borderId="9" xfId="0" applyNumberFormat="1" applyFont="1" applyFill="1" applyBorder="1" applyAlignment="1">
      <alignment horizontal="center" vertical="center" wrapText="1"/>
    </xf>
    <xf numFmtId="0" fontId="3" fillId="27" borderId="1" xfId="0" applyNumberFormat="1" applyFont="1" applyFill="1" applyBorder="1" applyAlignment="1">
      <alignment horizontal="center" vertical="center" wrapText="1"/>
    </xf>
    <xf numFmtId="0" fontId="3" fillId="27" borderId="32" xfId="0" applyNumberFormat="1" applyFont="1" applyFill="1" applyBorder="1" applyAlignment="1">
      <alignment horizontal="center" vertical="center" wrapText="1"/>
    </xf>
    <xf numFmtId="0" fontId="20" fillId="25" borderId="33" xfId="0" applyNumberFormat="1" applyFont="1" applyFill="1" applyBorder="1" applyAlignment="1">
      <alignment horizontal="center" vertical="center" wrapText="1"/>
    </xf>
    <xf numFmtId="0" fontId="3" fillId="29" borderId="34" xfId="0" applyNumberFormat="1" applyFont="1" applyFill="1" applyBorder="1" applyAlignment="1">
      <alignment horizontal="center" vertical="center" wrapText="1"/>
    </xf>
    <xf numFmtId="0" fontId="20" fillId="25" borderId="33" xfId="0" applyNumberFormat="1" applyFont="1" applyFill="1" applyBorder="1" applyAlignment="1">
      <alignment vertical="center" wrapText="1"/>
    </xf>
    <xf numFmtId="0" fontId="20" fillId="25" borderId="31" xfId="0" applyNumberFormat="1" applyFont="1" applyFill="1" applyBorder="1" applyAlignment="1">
      <alignment horizontal="center" vertical="center" wrapText="1"/>
    </xf>
    <xf numFmtId="168" fontId="6" fillId="19" borderId="13" xfId="0" applyFont="1" applyFill="1" applyBorder="1" applyAlignment="1">
      <alignment horizontal="center" vertical="center" wrapText="1"/>
    </xf>
  </cellXfs>
  <cellStyles count="20">
    <cellStyle name="KPT04" xfId="6" xr:uid="{00000000-0005-0000-0000-000000000000}"/>
    <cellStyle name="KPT04 2" xfId="9" xr:uid="{00000000-0005-0000-0000-000001000000}"/>
    <cellStyle name="KPT04_Main" xfId="14" xr:uid="{00000000-0005-0000-0000-000002000000}"/>
    <cellStyle name="Millares" xfId="1" builtinId="3"/>
    <cellStyle name="Millares [0]" xfId="2" builtinId="6"/>
    <cellStyle name="Millares 2" xfId="5" xr:uid="{00000000-0005-0000-0000-000005000000}"/>
    <cellStyle name="Millares 2 2" xfId="8" xr:uid="{00000000-0005-0000-0000-000006000000}"/>
    <cellStyle name="Millares 2 2 2" xfId="12" xr:uid="{00000000-0005-0000-0000-000007000000}"/>
    <cellStyle name="Moneda" xfId="3" builtinId="4"/>
    <cellStyle name="Moneda [0]" xfId="4" builtinId="7"/>
    <cellStyle name="Moneda 2" xfId="11" xr:uid="{00000000-0005-0000-0000-00000A000000}"/>
    <cellStyle name="Moneda 3" xfId="13" xr:uid="{00000000-0005-0000-0000-00000B000000}"/>
    <cellStyle name="Normal" xfId="0" builtinId="0"/>
    <cellStyle name="Normal 2" xfId="7" xr:uid="{00000000-0005-0000-0000-00000D000000}"/>
    <cellStyle name="Normal 2 2" xfId="10" xr:uid="{00000000-0005-0000-0000-00000E000000}"/>
    <cellStyle name="Normal 2 2 2" xfId="15" xr:uid="{00000000-0005-0000-0000-00000F000000}"/>
    <cellStyle name="Normal 2 3" xfId="16" xr:uid="{00000000-0005-0000-0000-000010000000}"/>
    <cellStyle name="Normal 3" xfId="17" xr:uid="{00000000-0005-0000-0000-000011000000}"/>
    <cellStyle name="Normal 6" xfId="19" xr:uid="{00000000-0005-0000-0000-000012000000}"/>
    <cellStyle name="Normal 7" xfId="18" xr:uid="{00000000-0005-0000-0000-000013000000}"/>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Hoja1!$D$4</c:f>
              <c:strCache>
                <c:ptCount val="1"/>
                <c:pt idx="0">
                  <c:v>CUANTIA </c:v>
                </c:pt>
              </c:strCache>
            </c:strRef>
          </c:tx>
          <c:invertIfNegative val="0"/>
          <c:cat>
            <c:strRef>
              <c:f>Hoja1!$C$5:$C$18</c:f>
              <c:strCache>
                <c:ptCount val="14"/>
                <c:pt idx="0">
                  <c:v> ADMINISTRATIVA  </c:v>
                </c:pt>
                <c:pt idx="1">
                  <c:v> PLANEACIÓN  </c:v>
                </c:pt>
                <c:pt idx="2">
                  <c:v> HACIENDA </c:v>
                </c:pt>
                <c:pt idx="3">
                  <c:v> AGUAS E INFRAESTRUCTURA  </c:v>
                </c:pt>
                <c:pt idx="4">
                  <c:v>   INTERIOR  </c:v>
                </c:pt>
                <c:pt idx="5">
                  <c:v>  CULTURA  </c:v>
                </c:pt>
                <c:pt idx="6">
                  <c:v> TURISMO INDUSTRIA Y COMERCIO  </c:v>
                </c:pt>
                <c:pt idx="7">
                  <c:v> AGRICULTURA  </c:v>
                </c:pt>
                <c:pt idx="8">
                  <c:v> DIRECCIÓN OFICINA PRIVADA  </c:v>
                </c:pt>
                <c:pt idx="9">
                  <c:v>  EDUCACIÓN  </c:v>
                </c:pt>
                <c:pt idx="10">
                  <c:v>  DE FAMILIA </c:v>
                </c:pt>
                <c:pt idx="11">
                  <c:v>  SALUD </c:v>
                </c:pt>
                <c:pt idx="12">
                  <c:v> TIC </c:v>
                </c:pt>
                <c:pt idx="13">
                  <c:v> TOTAL  </c:v>
                </c:pt>
              </c:strCache>
            </c:strRef>
          </c:cat>
          <c:val>
            <c:numRef>
              <c:f>Hoja1!$D$5:$D$18</c:f>
              <c:numCache>
                <c:formatCode>#,##0</c:formatCode>
                <c:ptCount val="14"/>
                <c:pt idx="0">
                  <c:v>176000</c:v>
                </c:pt>
                <c:pt idx="1">
                  <c:v>983000</c:v>
                </c:pt>
                <c:pt idx="2">
                  <c:v>2090000</c:v>
                </c:pt>
                <c:pt idx="3">
                  <c:v>8002091.8159999996</c:v>
                </c:pt>
                <c:pt idx="4">
                  <c:v>2706182.7259999998</c:v>
                </c:pt>
                <c:pt idx="5">
                  <c:v>2529898.1009999998</c:v>
                </c:pt>
                <c:pt idx="6">
                  <c:v>1427372.304</c:v>
                </c:pt>
                <c:pt idx="7">
                  <c:v>2573248.1860000002</c:v>
                </c:pt>
                <c:pt idx="8">
                  <c:v>695000</c:v>
                </c:pt>
                <c:pt idx="9">
                  <c:v>188733124.73199999</c:v>
                </c:pt>
                <c:pt idx="10">
                  <c:v>5182789.574</c:v>
                </c:pt>
                <c:pt idx="11">
                  <c:v>45624178.134000003</c:v>
                </c:pt>
                <c:pt idx="12">
                  <c:v>896000</c:v>
                </c:pt>
                <c:pt idx="13">
                  <c:v>261618885.57300001</c:v>
                </c:pt>
              </c:numCache>
            </c:numRef>
          </c:val>
          <c:extLst>
            <c:ext xmlns:c16="http://schemas.microsoft.com/office/drawing/2014/chart" uri="{C3380CC4-5D6E-409C-BE32-E72D297353CC}">
              <c16:uniqueId val="{00000000-D74F-4320-B84A-D09A3059B8ED}"/>
            </c:ext>
          </c:extLst>
        </c:ser>
        <c:ser>
          <c:idx val="1"/>
          <c:order val="1"/>
          <c:tx>
            <c:strRef>
              <c:f>Hoja1!$E$4</c:f>
              <c:strCache>
                <c:ptCount val="1"/>
                <c:pt idx="0">
                  <c:v> % </c:v>
                </c:pt>
              </c:strCache>
            </c:strRef>
          </c:tx>
          <c:invertIfNegative val="0"/>
          <c:cat>
            <c:strRef>
              <c:f>Hoja1!$C$5:$C$18</c:f>
              <c:strCache>
                <c:ptCount val="14"/>
                <c:pt idx="0">
                  <c:v> ADMINISTRATIVA  </c:v>
                </c:pt>
                <c:pt idx="1">
                  <c:v> PLANEACIÓN  </c:v>
                </c:pt>
                <c:pt idx="2">
                  <c:v> HACIENDA </c:v>
                </c:pt>
                <c:pt idx="3">
                  <c:v> AGUAS E INFRAESTRUCTURA  </c:v>
                </c:pt>
                <c:pt idx="4">
                  <c:v>   INTERIOR  </c:v>
                </c:pt>
                <c:pt idx="5">
                  <c:v>  CULTURA  </c:v>
                </c:pt>
                <c:pt idx="6">
                  <c:v> TURISMO INDUSTRIA Y COMERCIO  </c:v>
                </c:pt>
                <c:pt idx="7">
                  <c:v> AGRICULTURA  </c:v>
                </c:pt>
                <c:pt idx="8">
                  <c:v> DIRECCIÓN OFICINA PRIVADA  </c:v>
                </c:pt>
                <c:pt idx="9">
                  <c:v>  EDUCACIÓN  </c:v>
                </c:pt>
                <c:pt idx="10">
                  <c:v>  DE FAMILIA </c:v>
                </c:pt>
                <c:pt idx="11">
                  <c:v>  SALUD </c:v>
                </c:pt>
                <c:pt idx="12">
                  <c:v> TIC </c:v>
                </c:pt>
                <c:pt idx="13">
                  <c:v> TOTAL  </c:v>
                </c:pt>
              </c:strCache>
            </c:strRef>
          </c:cat>
          <c:val>
            <c:numRef>
              <c:f>Hoja1!$E$5:$E$18</c:f>
              <c:numCache>
                <c:formatCode>_([$$-240A]\ * #,##0.00_);_([$$-240A]\ * \(#,##0.00\);_([$$-240A]\ * "-"??_);_(@_)</c:formatCode>
                <c:ptCount val="14"/>
                <c:pt idx="0">
                  <c:v>6.7273430820761745E-2</c:v>
                </c:pt>
                <c:pt idx="1">
                  <c:v>0.37573740055005</c:v>
                </c:pt>
                <c:pt idx="2">
                  <c:v>0.79887199099654571</c:v>
                </c:pt>
                <c:pt idx="3">
                  <c:v>3.0586827852560208</c:v>
                </c:pt>
                <c:pt idx="4">
                  <c:v>1.034398843215349</c:v>
                </c:pt>
                <c:pt idx="5">
                  <c:v>0.96701661864318178</c:v>
                </c:pt>
                <c:pt idx="6">
                  <c:v>0.54559222698076881</c:v>
                </c:pt>
                <c:pt idx="7">
                  <c:v>0.98358655582682775</c:v>
                </c:pt>
                <c:pt idx="8">
                  <c:v>0.26565360466153076</c:v>
                </c:pt>
                <c:pt idx="9">
                  <c:v>72.140481876388634</c:v>
                </c:pt>
                <c:pt idx="10">
                  <c:v>1.9810456583241718</c:v>
                </c:pt>
                <c:pt idx="11">
                  <c:v>17.439176087794092</c:v>
                </c:pt>
                <c:pt idx="12">
                  <c:v>0.34248292054205981</c:v>
                </c:pt>
                <c:pt idx="13">
                  <c:v>100</c:v>
                </c:pt>
              </c:numCache>
            </c:numRef>
          </c:val>
          <c:extLst>
            <c:ext xmlns:c16="http://schemas.microsoft.com/office/drawing/2014/chart" uri="{C3380CC4-5D6E-409C-BE32-E72D297353CC}">
              <c16:uniqueId val="{00000001-D74F-4320-B84A-D09A3059B8ED}"/>
            </c:ext>
          </c:extLst>
        </c:ser>
        <c:dLbls>
          <c:showLegendKey val="0"/>
          <c:showVal val="0"/>
          <c:showCatName val="0"/>
          <c:showSerName val="0"/>
          <c:showPercent val="0"/>
          <c:showBubbleSize val="0"/>
        </c:dLbls>
        <c:gapWidth val="150"/>
        <c:shape val="box"/>
        <c:axId val="180173824"/>
        <c:axId val="207093760"/>
        <c:axId val="0"/>
      </c:bar3DChart>
      <c:catAx>
        <c:axId val="180173824"/>
        <c:scaling>
          <c:orientation val="minMax"/>
        </c:scaling>
        <c:delete val="0"/>
        <c:axPos val="b"/>
        <c:numFmt formatCode="General" sourceLinked="0"/>
        <c:majorTickMark val="none"/>
        <c:minorTickMark val="none"/>
        <c:tickLblPos val="nextTo"/>
        <c:crossAx val="207093760"/>
        <c:crosses val="autoZero"/>
        <c:auto val="1"/>
        <c:lblAlgn val="ctr"/>
        <c:lblOffset val="100"/>
        <c:noMultiLvlLbl val="0"/>
      </c:catAx>
      <c:valAx>
        <c:axId val="207093760"/>
        <c:scaling>
          <c:orientation val="minMax"/>
        </c:scaling>
        <c:delete val="0"/>
        <c:axPos val="l"/>
        <c:majorGridlines/>
        <c:numFmt formatCode="#,##0" sourceLinked="1"/>
        <c:majorTickMark val="none"/>
        <c:minorTickMark val="none"/>
        <c:tickLblPos val="nextTo"/>
        <c:crossAx val="180173824"/>
        <c:crosses val="autoZero"/>
        <c:crossBetween val="between"/>
      </c:valAx>
      <c:dTable>
        <c:showHorzBorder val="1"/>
        <c:showVertBorder val="1"/>
        <c:showOutline val="1"/>
        <c:showKeys val="1"/>
        <c:txPr>
          <a:bodyPr/>
          <a:lstStyle/>
          <a:p>
            <a:pPr rtl="0">
              <a:defRPr sz="900"/>
            </a:pPr>
            <a:endParaRPr lang="es-CO"/>
          </a:p>
        </c:txPr>
      </c:dTable>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330200</xdr:colOff>
      <xdr:row>1</xdr:row>
      <xdr:rowOff>13631</xdr:rowOff>
    </xdr:from>
    <xdr:to>
      <xdr:col>2</xdr:col>
      <xdr:colOff>815373</xdr:colOff>
      <xdr:row>3</xdr:row>
      <xdr:rowOff>131560</xdr:rowOff>
    </xdr:to>
    <xdr:pic>
      <xdr:nvPicPr>
        <xdr:cNvPr id="5" name="Imagen 1">
          <a:extLst>
            <a:ext uri="{FF2B5EF4-FFF2-40B4-BE49-F238E27FC236}">
              <a16:creationId xmlns:a16="http://schemas.microsoft.com/office/drawing/2014/main" id="{65EC9A3A-34A9-4A21-A064-EF8448C533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2112"/>
        <a:stretch/>
      </xdr:blipFill>
      <xdr:spPr>
        <a:xfrm>
          <a:off x="330200" y="547031"/>
          <a:ext cx="2850548" cy="822779"/>
        </a:xfrm>
        <a:prstGeom prst="rect">
          <a:avLst/>
        </a:prstGeom>
      </xdr:spPr>
    </xdr:pic>
    <xdr:clientData/>
  </xdr:twoCellAnchor>
  <xdr:twoCellAnchor>
    <xdr:from>
      <xdr:col>6</xdr:col>
      <xdr:colOff>742986</xdr:colOff>
      <xdr:row>0</xdr:row>
      <xdr:rowOff>285751</xdr:rowOff>
    </xdr:from>
    <xdr:to>
      <xdr:col>8</xdr:col>
      <xdr:colOff>95251</xdr:colOff>
      <xdr:row>3</xdr:row>
      <xdr:rowOff>133351</xdr:rowOff>
    </xdr:to>
    <xdr:pic>
      <xdr:nvPicPr>
        <xdr:cNvPr id="6" name="Imagen 1">
          <a:extLst>
            <a:ext uri="{FF2B5EF4-FFF2-40B4-BE49-F238E27FC236}">
              <a16:creationId xmlns:a16="http://schemas.microsoft.com/office/drawing/2014/main" id="{A71F6BBE-5F2F-41F1-BD7F-13EADC989590}"/>
            </a:ext>
            <a:ext uri="{147F2762-F138-4A5C-976F-8EAC2B608ADB}">
              <a16:predDERef xmlns:a16="http://schemas.microsoft.com/office/drawing/2014/main" pred="{65EC9A3A-34A9-4A21-A064-EF8448C533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996" t="12991" r="67844" b="74319"/>
        <a:stretch>
          <a:fillRect/>
        </a:stretch>
      </xdr:blipFill>
      <xdr:spPr bwMode="auto">
        <a:xfrm>
          <a:off x="6727861" y="285751"/>
          <a:ext cx="359089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263525</xdr:colOff>
      <xdr:row>0</xdr:row>
      <xdr:rowOff>289856</xdr:rowOff>
    </xdr:from>
    <xdr:to>
      <xdr:col>3</xdr:col>
      <xdr:colOff>423260</xdr:colOff>
      <xdr:row>2</xdr:row>
      <xdr:rowOff>226810</xdr:rowOff>
    </xdr:to>
    <xdr:pic>
      <xdr:nvPicPr>
        <xdr:cNvPr id="8" name="Imagen 1">
          <a:extLst>
            <a:ext uri="{FF2B5EF4-FFF2-40B4-BE49-F238E27FC236}">
              <a16:creationId xmlns:a16="http://schemas.microsoft.com/office/drawing/2014/main" id="{2CECC19D-3647-411D-8BC2-BB73000C75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2112"/>
        <a:stretch/>
      </xdr:blipFill>
      <xdr:spPr>
        <a:xfrm>
          <a:off x="263525" y="289856"/>
          <a:ext cx="2850548" cy="822779"/>
        </a:xfrm>
        <a:prstGeom prst="rect">
          <a:avLst/>
        </a:prstGeom>
      </xdr:spPr>
    </xdr:pic>
    <xdr:clientData/>
  </xdr:twoCellAnchor>
  <xdr:twoCellAnchor>
    <xdr:from>
      <xdr:col>4</xdr:col>
      <xdr:colOff>266700</xdr:colOff>
      <xdr:row>0</xdr:row>
      <xdr:rowOff>190500</xdr:rowOff>
    </xdr:from>
    <xdr:to>
      <xdr:col>5</xdr:col>
      <xdr:colOff>285750</xdr:colOff>
      <xdr:row>2</xdr:row>
      <xdr:rowOff>323850</xdr:rowOff>
    </xdr:to>
    <xdr:pic>
      <xdr:nvPicPr>
        <xdr:cNvPr id="12" name="Imagen 1">
          <a:extLst>
            <a:ext uri="{FF2B5EF4-FFF2-40B4-BE49-F238E27FC236}">
              <a16:creationId xmlns:a16="http://schemas.microsoft.com/office/drawing/2014/main" id="{1973FC6D-E153-417D-9E57-83C4F125D4D4}"/>
            </a:ext>
            <a:ext uri="{147F2762-F138-4A5C-976F-8EAC2B608ADB}">
              <a16:predDERef xmlns:a16="http://schemas.microsoft.com/office/drawing/2014/main" pred="{2CECC19D-3647-411D-8BC2-BB73000C75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996" t="12991" r="67844" b="74319"/>
        <a:stretch>
          <a:fillRect/>
        </a:stretch>
      </xdr:blipFill>
      <xdr:spPr bwMode="auto">
        <a:xfrm>
          <a:off x="3028950" y="190500"/>
          <a:ext cx="43053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263525</xdr:colOff>
      <xdr:row>0</xdr:row>
      <xdr:rowOff>289856</xdr:rowOff>
    </xdr:from>
    <xdr:to>
      <xdr:col>2</xdr:col>
      <xdr:colOff>785890</xdr:colOff>
      <xdr:row>2</xdr:row>
      <xdr:rowOff>226810</xdr:rowOff>
    </xdr:to>
    <xdr:pic>
      <xdr:nvPicPr>
        <xdr:cNvPr id="2" name="Imagen 1">
          <a:extLst>
            <a:ext uri="{FF2B5EF4-FFF2-40B4-BE49-F238E27FC236}">
              <a16:creationId xmlns:a16="http://schemas.microsoft.com/office/drawing/2014/main" id="{6CB5117E-E0FB-48AF-BA61-FD7D921F302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2112"/>
        <a:stretch/>
      </xdr:blipFill>
      <xdr:spPr>
        <a:xfrm>
          <a:off x="263525" y="289856"/>
          <a:ext cx="2850548" cy="822779"/>
        </a:xfrm>
        <a:prstGeom prst="rect">
          <a:avLst/>
        </a:prstGeom>
      </xdr:spPr>
    </xdr:pic>
    <xdr:clientData/>
  </xdr:twoCellAnchor>
  <xdr:twoCellAnchor>
    <xdr:from>
      <xdr:col>4</xdr:col>
      <xdr:colOff>432823</xdr:colOff>
      <xdr:row>0</xdr:row>
      <xdr:rowOff>285749</xdr:rowOff>
    </xdr:from>
    <xdr:to>
      <xdr:col>4</xdr:col>
      <xdr:colOff>3184070</xdr:colOff>
      <xdr:row>2</xdr:row>
      <xdr:rowOff>51706</xdr:rowOff>
    </xdr:to>
    <xdr:pic>
      <xdr:nvPicPr>
        <xdr:cNvPr id="3" name="Imagen 1">
          <a:extLst>
            <a:ext uri="{FF2B5EF4-FFF2-40B4-BE49-F238E27FC236}">
              <a16:creationId xmlns:a16="http://schemas.microsoft.com/office/drawing/2014/main" id="{BFAE13EA-2A59-4545-B6BB-C7A85EA9E0FC}"/>
            </a:ext>
            <a:ext uri="{147F2762-F138-4A5C-976F-8EAC2B608ADB}">
              <a16:predDERef xmlns:a16="http://schemas.microsoft.com/office/drawing/2014/main" pred="{6CB5117E-E0FB-48AF-BA61-FD7D921F30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7996" t="12991" r="67844" b="74319"/>
        <a:stretch>
          <a:fillRect/>
        </a:stretch>
      </xdr:blipFill>
      <xdr:spPr bwMode="auto">
        <a:xfrm>
          <a:off x="3426394" y="285749"/>
          <a:ext cx="2751247" cy="650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761998</xdr:colOff>
      <xdr:row>1</xdr:row>
      <xdr:rowOff>171450</xdr:rowOff>
    </xdr:from>
    <xdr:to>
      <xdr:col>20</xdr:col>
      <xdr:colOff>171449</xdr:colOff>
      <xdr:row>28</xdr:row>
      <xdr:rowOff>133350</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123825</xdr:colOff>
      <xdr:row>0</xdr:row>
      <xdr:rowOff>28575</xdr:rowOff>
    </xdr:from>
    <xdr:to>
      <xdr:col>2</xdr:col>
      <xdr:colOff>1038225</xdr:colOff>
      <xdr:row>2</xdr:row>
      <xdr:rowOff>438150</xdr:rowOff>
    </xdr:to>
    <xdr:sp macro="" textlink="">
      <xdr:nvSpPr>
        <xdr:cNvPr id="2" name="Button 1" hidden="1">
          <a:extLst>
            <a:ext uri="{63B3BB69-23CF-44E3-9099-C40C66FF867C}">
              <a14:compatExt xmlns:a14="http://schemas.microsoft.com/office/drawing/2010/main" spid="_x0000_s36865"/>
            </a:ext>
            <a:ext uri="{FF2B5EF4-FFF2-40B4-BE49-F238E27FC236}">
              <a16:creationId xmlns:a16="http://schemas.microsoft.com/office/drawing/2014/main" id="{0E6BDEAB-E3C6-4338-8170-DE2EFF391BF2}"/>
            </a:ext>
          </a:extLst>
        </xdr:cNvPr>
        <xdr:cNvSpPr/>
      </xdr:nvSpPr>
      <xdr:spPr bwMode="auto">
        <a:xfrm>
          <a:off x="6362700" y="28575"/>
          <a:ext cx="914400"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1. Consolidar</a:t>
          </a:r>
        </a:p>
      </xdr:txBody>
    </xdr:sp>
    <xdr:clientData fPrintsWithSheet="0"/>
  </xdr:twoCellAnchor>
  <xdr:twoCellAnchor>
    <xdr:from>
      <xdr:col>2</xdr:col>
      <xdr:colOff>1152525</xdr:colOff>
      <xdr:row>0</xdr:row>
      <xdr:rowOff>28575</xdr:rowOff>
    </xdr:from>
    <xdr:to>
      <xdr:col>2</xdr:col>
      <xdr:colOff>1981200</xdr:colOff>
      <xdr:row>2</xdr:row>
      <xdr:rowOff>419100</xdr:rowOff>
    </xdr:to>
    <xdr:sp macro="" textlink="">
      <xdr:nvSpPr>
        <xdr:cNvPr id="3" name="Button 2" hidden="1">
          <a:extLst>
            <a:ext uri="{63B3BB69-23CF-44E3-9099-C40C66FF867C}">
              <a14:compatExt xmlns:a14="http://schemas.microsoft.com/office/drawing/2010/main" spid="_x0000_s36866"/>
            </a:ext>
            <a:ext uri="{FF2B5EF4-FFF2-40B4-BE49-F238E27FC236}">
              <a16:creationId xmlns:a16="http://schemas.microsoft.com/office/drawing/2014/main" id="{0E934576-C19C-4E93-A6D7-CA80FB38B181}"/>
            </a:ext>
          </a:extLst>
        </xdr:cNvPr>
        <xdr:cNvSpPr/>
      </xdr:nvSpPr>
      <xdr:spPr bwMode="auto">
        <a:xfrm>
          <a:off x="7391400" y="28575"/>
          <a:ext cx="828675"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2. Generar respuesta</a:t>
          </a:r>
        </a:p>
      </xdr:txBody>
    </xdr:sp>
    <xdr:clientData fPrintsWithSheet="0"/>
  </xdr:twoCellAnchor>
  <xdr:twoCellAnchor>
    <xdr:from>
      <xdr:col>1</xdr:col>
      <xdr:colOff>123825</xdr:colOff>
      <xdr:row>0</xdr:row>
      <xdr:rowOff>28575</xdr:rowOff>
    </xdr:from>
    <xdr:to>
      <xdr:col>1</xdr:col>
      <xdr:colOff>1038225</xdr:colOff>
      <xdr:row>2</xdr:row>
      <xdr:rowOff>438150</xdr:rowOff>
    </xdr:to>
    <xdr:sp macro="" textlink="">
      <xdr:nvSpPr>
        <xdr:cNvPr id="4" name="Button 1" hidden="1">
          <a:extLst>
            <a:ext uri="{63B3BB69-23CF-44E3-9099-C40C66FF867C}">
              <a14:compatExt xmlns:a14="http://schemas.microsoft.com/office/drawing/2010/main" spid="_x0000_s36865"/>
            </a:ext>
            <a:ext uri="{FF2B5EF4-FFF2-40B4-BE49-F238E27FC236}">
              <a16:creationId xmlns:a16="http://schemas.microsoft.com/office/drawing/2014/main" id="{C638D1DB-C315-4494-92E5-0D47F0839499}"/>
            </a:ext>
          </a:extLst>
        </xdr:cNvPr>
        <xdr:cNvSpPr/>
      </xdr:nvSpPr>
      <xdr:spPr bwMode="auto">
        <a:xfrm>
          <a:off x="3524250" y="28575"/>
          <a:ext cx="914400"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1. Consolidar</a:t>
          </a:r>
        </a:p>
      </xdr:txBody>
    </xdr:sp>
    <xdr:clientData fPrintsWithSheet="0"/>
  </xdr:twoCellAnchor>
  <xdr:twoCellAnchor>
    <xdr:from>
      <xdr:col>1</xdr:col>
      <xdr:colOff>1152525</xdr:colOff>
      <xdr:row>0</xdr:row>
      <xdr:rowOff>28575</xdr:rowOff>
    </xdr:from>
    <xdr:to>
      <xdr:col>1</xdr:col>
      <xdr:colOff>1981200</xdr:colOff>
      <xdr:row>2</xdr:row>
      <xdr:rowOff>419100</xdr:rowOff>
    </xdr:to>
    <xdr:sp macro="" textlink="">
      <xdr:nvSpPr>
        <xdr:cNvPr id="5" name="Button 2" hidden="1">
          <a:extLst>
            <a:ext uri="{63B3BB69-23CF-44E3-9099-C40C66FF867C}">
              <a14:compatExt xmlns:a14="http://schemas.microsoft.com/office/drawing/2010/main" spid="_x0000_s36866"/>
            </a:ext>
            <a:ext uri="{FF2B5EF4-FFF2-40B4-BE49-F238E27FC236}">
              <a16:creationId xmlns:a16="http://schemas.microsoft.com/office/drawing/2014/main" id="{70DAF13A-8FB8-414B-9E00-F6A75D71003A}"/>
            </a:ext>
          </a:extLst>
        </xdr:cNvPr>
        <xdr:cNvSpPr/>
      </xdr:nvSpPr>
      <xdr:spPr bwMode="auto">
        <a:xfrm>
          <a:off x="4552950" y="28575"/>
          <a:ext cx="828675"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2. Generar respuesta</a:t>
          </a:r>
        </a:p>
      </xdr:txBody>
    </xdr:sp>
    <xdr:clientData fPrintsWithSheet="0"/>
  </xdr:twoCellAnchor>
  <xdr:twoCellAnchor>
    <xdr:from>
      <xdr:col>1</xdr:col>
      <xdr:colOff>123825</xdr:colOff>
      <xdr:row>0</xdr:row>
      <xdr:rowOff>28575</xdr:rowOff>
    </xdr:from>
    <xdr:to>
      <xdr:col>1</xdr:col>
      <xdr:colOff>1038225</xdr:colOff>
      <xdr:row>2</xdr:row>
      <xdr:rowOff>438150</xdr:rowOff>
    </xdr:to>
    <xdr:sp macro="" textlink="">
      <xdr:nvSpPr>
        <xdr:cNvPr id="6" name="Button 1" hidden="1">
          <a:extLst>
            <a:ext uri="{63B3BB69-23CF-44E3-9099-C40C66FF867C}">
              <a14:compatExt xmlns:a14="http://schemas.microsoft.com/office/drawing/2010/main" spid="_x0000_s36865"/>
            </a:ext>
            <a:ext uri="{FF2B5EF4-FFF2-40B4-BE49-F238E27FC236}">
              <a16:creationId xmlns:a16="http://schemas.microsoft.com/office/drawing/2014/main" id="{45CF00D1-E70E-4B29-B07B-3EF66CA0DC72}"/>
            </a:ext>
          </a:extLst>
        </xdr:cNvPr>
        <xdr:cNvSpPr/>
      </xdr:nvSpPr>
      <xdr:spPr bwMode="auto">
        <a:xfrm>
          <a:off x="3524250" y="28575"/>
          <a:ext cx="914400"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1. Consolidar</a:t>
          </a:r>
        </a:p>
      </xdr:txBody>
    </xdr:sp>
    <xdr:clientData fPrintsWithSheet="0"/>
  </xdr:twoCellAnchor>
  <xdr:twoCellAnchor>
    <xdr:from>
      <xdr:col>1</xdr:col>
      <xdr:colOff>1152525</xdr:colOff>
      <xdr:row>0</xdr:row>
      <xdr:rowOff>28575</xdr:rowOff>
    </xdr:from>
    <xdr:to>
      <xdr:col>1</xdr:col>
      <xdr:colOff>1981200</xdr:colOff>
      <xdr:row>2</xdr:row>
      <xdr:rowOff>419100</xdr:rowOff>
    </xdr:to>
    <xdr:sp macro="" textlink="">
      <xdr:nvSpPr>
        <xdr:cNvPr id="7" name="Button 2" hidden="1">
          <a:extLst>
            <a:ext uri="{63B3BB69-23CF-44E3-9099-C40C66FF867C}">
              <a14:compatExt xmlns:a14="http://schemas.microsoft.com/office/drawing/2010/main" spid="_x0000_s36866"/>
            </a:ext>
            <a:ext uri="{FF2B5EF4-FFF2-40B4-BE49-F238E27FC236}">
              <a16:creationId xmlns:a16="http://schemas.microsoft.com/office/drawing/2014/main" id="{BCA3EF1C-61DA-407E-8804-2033A898E5DE}"/>
            </a:ext>
          </a:extLst>
        </xdr:cNvPr>
        <xdr:cNvSpPr/>
      </xdr:nvSpPr>
      <xdr:spPr bwMode="auto">
        <a:xfrm>
          <a:off x="4552950" y="28575"/>
          <a:ext cx="828675"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2. Generar respuesta</a:t>
          </a:r>
        </a:p>
      </xdr:txBody>
    </xdr:sp>
    <xdr:clientData fPrintsWithSheet="0"/>
  </xdr:twoCellAnchor>
  <xdr:twoCellAnchor>
    <xdr:from>
      <xdr:col>1</xdr:col>
      <xdr:colOff>123825</xdr:colOff>
      <xdr:row>0</xdr:row>
      <xdr:rowOff>28575</xdr:rowOff>
    </xdr:from>
    <xdr:to>
      <xdr:col>1</xdr:col>
      <xdr:colOff>1038225</xdr:colOff>
      <xdr:row>2</xdr:row>
      <xdr:rowOff>438150</xdr:rowOff>
    </xdr:to>
    <xdr:sp macro="" textlink="">
      <xdr:nvSpPr>
        <xdr:cNvPr id="8" name="Button 1" hidden="1">
          <a:extLst>
            <a:ext uri="{63B3BB69-23CF-44E3-9099-C40C66FF867C}">
              <a14:compatExt xmlns:a14="http://schemas.microsoft.com/office/drawing/2010/main" spid="_x0000_s36865"/>
            </a:ext>
            <a:ext uri="{FF2B5EF4-FFF2-40B4-BE49-F238E27FC236}">
              <a16:creationId xmlns:a16="http://schemas.microsoft.com/office/drawing/2014/main" id="{D96FCFBB-3627-4F4F-9928-E3F886ECF447}"/>
            </a:ext>
          </a:extLst>
        </xdr:cNvPr>
        <xdr:cNvSpPr/>
      </xdr:nvSpPr>
      <xdr:spPr bwMode="auto">
        <a:xfrm>
          <a:off x="3524250" y="28575"/>
          <a:ext cx="914400"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1. Consolidar</a:t>
          </a:r>
        </a:p>
      </xdr:txBody>
    </xdr:sp>
    <xdr:clientData fPrintsWithSheet="0"/>
  </xdr:twoCellAnchor>
  <xdr:twoCellAnchor>
    <xdr:from>
      <xdr:col>1</xdr:col>
      <xdr:colOff>1152525</xdr:colOff>
      <xdr:row>0</xdr:row>
      <xdr:rowOff>28575</xdr:rowOff>
    </xdr:from>
    <xdr:to>
      <xdr:col>1</xdr:col>
      <xdr:colOff>1981200</xdr:colOff>
      <xdr:row>2</xdr:row>
      <xdr:rowOff>419100</xdr:rowOff>
    </xdr:to>
    <xdr:sp macro="" textlink="">
      <xdr:nvSpPr>
        <xdr:cNvPr id="9" name="Button 2" hidden="1">
          <a:extLst>
            <a:ext uri="{63B3BB69-23CF-44E3-9099-C40C66FF867C}">
              <a14:compatExt xmlns:a14="http://schemas.microsoft.com/office/drawing/2010/main" spid="_x0000_s36866"/>
            </a:ext>
            <a:ext uri="{FF2B5EF4-FFF2-40B4-BE49-F238E27FC236}">
              <a16:creationId xmlns:a16="http://schemas.microsoft.com/office/drawing/2014/main" id="{DF5C9F12-9CA3-4A6C-9A42-CC3E0320F4A0}"/>
            </a:ext>
          </a:extLst>
        </xdr:cNvPr>
        <xdr:cNvSpPr/>
      </xdr:nvSpPr>
      <xdr:spPr bwMode="auto">
        <a:xfrm>
          <a:off x="4552950" y="28575"/>
          <a:ext cx="828675"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2. Generar respuesta</a:t>
          </a:r>
        </a:p>
      </xdr:txBody>
    </xdr:sp>
    <xdr:clientData fPrintsWithSheet="0"/>
  </xdr:twoCellAnchor>
  <xdr:twoCellAnchor>
    <xdr:from>
      <xdr:col>1</xdr:col>
      <xdr:colOff>123825</xdr:colOff>
      <xdr:row>0</xdr:row>
      <xdr:rowOff>28575</xdr:rowOff>
    </xdr:from>
    <xdr:to>
      <xdr:col>1</xdr:col>
      <xdr:colOff>1038225</xdr:colOff>
      <xdr:row>2</xdr:row>
      <xdr:rowOff>438150</xdr:rowOff>
    </xdr:to>
    <xdr:sp macro="" textlink="">
      <xdr:nvSpPr>
        <xdr:cNvPr id="10" name="Button 1" hidden="1">
          <a:extLst>
            <a:ext uri="{63B3BB69-23CF-44E3-9099-C40C66FF867C}">
              <a14:compatExt xmlns:a14="http://schemas.microsoft.com/office/drawing/2010/main" spid="_x0000_s36865"/>
            </a:ext>
            <a:ext uri="{FF2B5EF4-FFF2-40B4-BE49-F238E27FC236}">
              <a16:creationId xmlns:a16="http://schemas.microsoft.com/office/drawing/2014/main" id="{331BF4AD-9F60-4057-908F-986198B44B4F}"/>
            </a:ext>
          </a:extLst>
        </xdr:cNvPr>
        <xdr:cNvSpPr/>
      </xdr:nvSpPr>
      <xdr:spPr bwMode="auto">
        <a:xfrm>
          <a:off x="3524250" y="28575"/>
          <a:ext cx="914400"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1. Consolidar</a:t>
          </a:r>
        </a:p>
      </xdr:txBody>
    </xdr:sp>
    <xdr:clientData fPrintsWithSheet="0"/>
  </xdr:twoCellAnchor>
  <xdr:twoCellAnchor>
    <xdr:from>
      <xdr:col>1</xdr:col>
      <xdr:colOff>1152525</xdr:colOff>
      <xdr:row>0</xdr:row>
      <xdr:rowOff>28575</xdr:rowOff>
    </xdr:from>
    <xdr:to>
      <xdr:col>1</xdr:col>
      <xdr:colOff>1981200</xdr:colOff>
      <xdr:row>2</xdr:row>
      <xdr:rowOff>419100</xdr:rowOff>
    </xdr:to>
    <xdr:sp macro="" textlink="">
      <xdr:nvSpPr>
        <xdr:cNvPr id="11" name="Button 2" hidden="1">
          <a:extLst>
            <a:ext uri="{63B3BB69-23CF-44E3-9099-C40C66FF867C}">
              <a14:compatExt xmlns:a14="http://schemas.microsoft.com/office/drawing/2010/main" spid="_x0000_s36866"/>
            </a:ext>
            <a:ext uri="{FF2B5EF4-FFF2-40B4-BE49-F238E27FC236}">
              <a16:creationId xmlns:a16="http://schemas.microsoft.com/office/drawing/2014/main" id="{26488970-887D-4EB3-9180-D396B50C0984}"/>
            </a:ext>
          </a:extLst>
        </xdr:cNvPr>
        <xdr:cNvSpPr/>
      </xdr:nvSpPr>
      <xdr:spPr bwMode="auto">
        <a:xfrm>
          <a:off x="4552950" y="28575"/>
          <a:ext cx="828675"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2. Generar respuesta</a:t>
          </a:r>
        </a:p>
      </xdr:txBody>
    </xdr:sp>
    <xdr:clientData fPrintsWithSheet="0"/>
  </xdr:twoCellAnchor>
  <xdr:twoCellAnchor>
    <xdr:from>
      <xdr:col>1</xdr:col>
      <xdr:colOff>123825</xdr:colOff>
      <xdr:row>0</xdr:row>
      <xdr:rowOff>28575</xdr:rowOff>
    </xdr:from>
    <xdr:to>
      <xdr:col>1</xdr:col>
      <xdr:colOff>1038225</xdr:colOff>
      <xdr:row>2</xdr:row>
      <xdr:rowOff>438150</xdr:rowOff>
    </xdr:to>
    <xdr:sp macro="" textlink="">
      <xdr:nvSpPr>
        <xdr:cNvPr id="12" name="Button 1" hidden="1">
          <a:extLst>
            <a:ext uri="{63B3BB69-23CF-44E3-9099-C40C66FF867C}">
              <a14:compatExt xmlns:a14="http://schemas.microsoft.com/office/drawing/2010/main" spid="_x0000_s36865"/>
            </a:ext>
            <a:ext uri="{FF2B5EF4-FFF2-40B4-BE49-F238E27FC236}">
              <a16:creationId xmlns:a16="http://schemas.microsoft.com/office/drawing/2014/main" id="{75BEDCA6-DDF8-4E45-82C0-DFE7A0EA173B}"/>
            </a:ext>
          </a:extLst>
        </xdr:cNvPr>
        <xdr:cNvSpPr/>
      </xdr:nvSpPr>
      <xdr:spPr bwMode="auto">
        <a:xfrm>
          <a:off x="3524250" y="28575"/>
          <a:ext cx="914400"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1. Consolidar</a:t>
          </a:r>
        </a:p>
      </xdr:txBody>
    </xdr:sp>
    <xdr:clientData fPrintsWithSheet="0"/>
  </xdr:twoCellAnchor>
  <xdr:twoCellAnchor>
    <xdr:from>
      <xdr:col>1</xdr:col>
      <xdr:colOff>1152525</xdr:colOff>
      <xdr:row>0</xdr:row>
      <xdr:rowOff>28575</xdr:rowOff>
    </xdr:from>
    <xdr:to>
      <xdr:col>1</xdr:col>
      <xdr:colOff>1981200</xdr:colOff>
      <xdr:row>2</xdr:row>
      <xdr:rowOff>419100</xdr:rowOff>
    </xdr:to>
    <xdr:sp macro="" textlink="">
      <xdr:nvSpPr>
        <xdr:cNvPr id="13" name="Button 2" hidden="1">
          <a:extLst>
            <a:ext uri="{63B3BB69-23CF-44E3-9099-C40C66FF867C}">
              <a14:compatExt xmlns:a14="http://schemas.microsoft.com/office/drawing/2010/main" spid="_x0000_s36866"/>
            </a:ext>
            <a:ext uri="{FF2B5EF4-FFF2-40B4-BE49-F238E27FC236}">
              <a16:creationId xmlns:a16="http://schemas.microsoft.com/office/drawing/2014/main" id="{54C99549-8EF3-4CD5-804C-EB4DCBE4B7A5}"/>
            </a:ext>
          </a:extLst>
        </xdr:cNvPr>
        <xdr:cNvSpPr/>
      </xdr:nvSpPr>
      <xdr:spPr bwMode="auto">
        <a:xfrm>
          <a:off x="4552950" y="28575"/>
          <a:ext cx="828675"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2. Generar respuesta</a:t>
          </a:r>
        </a:p>
      </xdr:txBody>
    </xdr:sp>
    <xdr:clientData fPrintsWithSheet="0"/>
  </xdr:twoCellAnchor>
  <xdr:twoCellAnchor>
    <xdr:from>
      <xdr:col>1</xdr:col>
      <xdr:colOff>123825</xdr:colOff>
      <xdr:row>0</xdr:row>
      <xdr:rowOff>28575</xdr:rowOff>
    </xdr:from>
    <xdr:to>
      <xdr:col>1</xdr:col>
      <xdr:colOff>1038225</xdr:colOff>
      <xdr:row>2</xdr:row>
      <xdr:rowOff>438150</xdr:rowOff>
    </xdr:to>
    <xdr:sp macro="" textlink="">
      <xdr:nvSpPr>
        <xdr:cNvPr id="14" name="Button 1" hidden="1">
          <a:extLst>
            <a:ext uri="{63B3BB69-23CF-44E3-9099-C40C66FF867C}">
              <a14:compatExt xmlns:a14="http://schemas.microsoft.com/office/drawing/2010/main" spid="_x0000_s36865"/>
            </a:ext>
            <a:ext uri="{FF2B5EF4-FFF2-40B4-BE49-F238E27FC236}">
              <a16:creationId xmlns:a16="http://schemas.microsoft.com/office/drawing/2014/main" id="{B8C1CBFB-14A6-47FA-9713-7EB7A2B5830C}"/>
            </a:ext>
          </a:extLst>
        </xdr:cNvPr>
        <xdr:cNvSpPr/>
      </xdr:nvSpPr>
      <xdr:spPr bwMode="auto">
        <a:xfrm>
          <a:off x="3524250" y="28575"/>
          <a:ext cx="914400"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1. Consolidar</a:t>
          </a:r>
        </a:p>
      </xdr:txBody>
    </xdr:sp>
    <xdr:clientData fPrintsWithSheet="0"/>
  </xdr:twoCellAnchor>
  <xdr:twoCellAnchor>
    <xdr:from>
      <xdr:col>1</xdr:col>
      <xdr:colOff>1152525</xdr:colOff>
      <xdr:row>0</xdr:row>
      <xdr:rowOff>28575</xdr:rowOff>
    </xdr:from>
    <xdr:to>
      <xdr:col>1</xdr:col>
      <xdr:colOff>1981200</xdr:colOff>
      <xdr:row>2</xdr:row>
      <xdr:rowOff>419100</xdr:rowOff>
    </xdr:to>
    <xdr:sp macro="" textlink="">
      <xdr:nvSpPr>
        <xdr:cNvPr id="15" name="Button 2" hidden="1">
          <a:extLst>
            <a:ext uri="{63B3BB69-23CF-44E3-9099-C40C66FF867C}">
              <a14:compatExt xmlns:a14="http://schemas.microsoft.com/office/drawing/2010/main" spid="_x0000_s36866"/>
            </a:ext>
            <a:ext uri="{FF2B5EF4-FFF2-40B4-BE49-F238E27FC236}">
              <a16:creationId xmlns:a16="http://schemas.microsoft.com/office/drawing/2014/main" id="{E4F2378A-4259-4FAC-A5C4-B695AB714145}"/>
            </a:ext>
          </a:extLst>
        </xdr:cNvPr>
        <xdr:cNvSpPr/>
      </xdr:nvSpPr>
      <xdr:spPr bwMode="auto">
        <a:xfrm>
          <a:off x="4552950" y="28575"/>
          <a:ext cx="828675"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2. Generar respuesta</a:t>
          </a:r>
        </a:p>
      </xdr:txBody>
    </xdr:sp>
    <xdr:clientData fPrintsWithSheet="0"/>
  </xdr:twoCellAnchor>
  <xdr:twoCellAnchor>
    <xdr:from>
      <xdr:col>1</xdr:col>
      <xdr:colOff>123825</xdr:colOff>
      <xdr:row>0</xdr:row>
      <xdr:rowOff>28575</xdr:rowOff>
    </xdr:from>
    <xdr:to>
      <xdr:col>1</xdr:col>
      <xdr:colOff>1038225</xdr:colOff>
      <xdr:row>2</xdr:row>
      <xdr:rowOff>438150</xdr:rowOff>
    </xdr:to>
    <xdr:sp macro="" textlink="">
      <xdr:nvSpPr>
        <xdr:cNvPr id="16" name="Button 1" hidden="1">
          <a:extLst>
            <a:ext uri="{63B3BB69-23CF-44E3-9099-C40C66FF867C}">
              <a14:compatExt xmlns:a14="http://schemas.microsoft.com/office/drawing/2010/main" spid="_x0000_s36865"/>
            </a:ext>
            <a:ext uri="{FF2B5EF4-FFF2-40B4-BE49-F238E27FC236}">
              <a16:creationId xmlns:a16="http://schemas.microsoft.com/office/drawing/2014/main" id="{05F8E82F-26EC-4ACE-AD13-738C7FB30954}"/>
            </a:ext>
          </a:extLst>
        </xdr:cNvPr>
        <xdr:cNvSpPr/>
      </xdr:nvSpPr>
      <xdr:spPr bwMode="auto">
        <a:xfrm>
          <a:off x="3524250" y="28575"/>
          <a:ext cx="914400"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1. Consolidar</a:t>
          </a:r>
        </a:p>
      </xdr:txBody>
    </xdr:sp>
    <xdr:clientData fPrintsWithSheet="0"/>
  </xdr:twoCellAnchor>
  <xdr:twoCellAnchor>
    <xdr:from>
      <xdr:col>1</xdr:col>
      <xdr:colOff>1152525</xdr:colOff>
      <xdr:row>0</xdr:row>
      <xdr:rowOff>28575</xdr:rowOff>
    </xdr:from>
    <xdr:to>
      <xdr:col>1</xdr:col>
      <xdr:colOff>1981200</xdr:colOff>
      <xdr:row>2</xdr:row>
      <xdr:rowOff>419100</xdr:rowOff>
    </xdr:to>
    <xdr:sp macro="" textlink="">
      <xdr:nvSpPr>
        <xdr:cNvPr id="17" name="Button 2" hidden="1">
          <a:extLst>
            <a:ext uri="{63B3BB69-23CF-44E3-9099-C40C66FF867C}">
              <a14:compatExt xmlns:a14="http://schemas.microsoft.com/office/drawing/2010/main" spid="_x0000_s36866"/>
            </a:ext>
            <a:ext uri="{FF2B5EF4-FFF2-40B4-BE49-F238E27FC236}">
              <a16:creationId xmlns:a16="http://schemas.microsoft.com/office/drawing/2014/main" id="{ABC92DAA-98E6-4EC4-AC96-34943AE278EB}"/>
            </a:ext>
          </a:extLst>
        </xdr:cNvPr>
        <xdr:cNvSpPr/>
      </xdr:nvSpPr>
      <xdr:spPr bwMode="auto">
        <a:xfrm>
          <a:off x="4552950" y="28575"/>
          <a:ext cx="828675"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2. Generar respuesta</a:t>
          </a:r>
        </a:p>
      </xdr:txBody>
    </xdr:sp>
    <xdr:clientData fPrintsWithSheet="0"/>
  </xdr:twoCellAnchor>
  <xdr:twoCellAnchor>
    <xdr:from>
      <xdr:col>1</xdr:col>
      <xdr:colOff>123825</xdr:colOff>
      <xdr:row>0</xdr:row>
      <xdr:rowOff>28575</xdr:rowOff>
    </xdr:from>
    <xdr:to>
      <xdr:col>1</xdr:col>
      <xdr:colOff>1038225</xdr:colOff>
      <xdr:row>2</xdr:row>
      <xdr:rowOff>438150</xdr:rowOff>
    </xdr:to>
    <xdr:sp macro="" textlink="">
      <xdr:nvSpPr>
        <xdr:cNvPr id="18" name="Button 1" hidden="1">
          <a:extLst>
            <a:ext uri="{63B3BB69-23CF-44E3-9099-C40C66FF867C}">
              <a14:compatExt xmlns:a14="http://schemas.microsoft.com/office/drawing/2010/main" spid="_x0000_s36865"/>
            </a:ext>
            <a:ext uri="{FF2B5EF4-FFF2-40B4-BE49-F238E27FC236}">
              <a16:creationId xmlns:a16="http://schemas.microsoft.com/office/drawing/2014/main" id="{BEA22C9F-F950-484D-9C33-FF2224F731C4}"/>
            </a:ext>
          </a:extLst>
        </xdr:cNvPr>
        <xdr:cNvSpPr/>
      </xdr:nvSpPr>
      <xdr:spPr bwMode="auto">
        <a:xfrm>
          <a:off x="3524250" y="28575"/>
          <a:ext cx="914400"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1. Consolidar</a:t>
          </a:r>
        </a:p>
      </xdr:txBody>
    </xdr:sp>
    <xdr:clientData fPrintsWithSheet="0"/>
  </xdr:twoCellAnchor>
  <xdr:twoCellAnchor>
    <xdr:from>
      <xdr:col>1</xdr:col>
      <xdr:colOff>1152525</xdr:colOff>
      <xdr:row>0</xdr:row>
      <xdr:rowOff>28575</xdr:rowOff>
    </xdr:from>
    <xdr:to>
      <xdr:col>1</xdr:col>
      <xdr:colOff>1981200</xdr:colOff>
      <xdr:row>2</xdr:row>
      <xdr:rowOff>419100</xdr:rowOff>
    </xdr:to>
    <xdr:sp macro="" textlink="">
      <xdr:nvSpPr>
        <xdr:cNvPr id="19" name="Button 2" hidden="1">
          <a:extLst>
            <a:ext uri="{63B3BB69-23CF-44E3-9099-C40C66FF867C}">
              <a14:compatExt xmlns:a14="http://schemas.microsoft.com/office/drawing/2010/main" spid="_x0000_s36866"/>
            </a:ext>
            <a:ext uri="{FF2B5EF4-FFF2-40B4-BE49-F238E27FC236}">
              <a16:creationId xmlns:a16="http://schemas.microsoft.com/office/drawing/2014/main" id="{03C67C1A-DBBE-4CA0-961F-A81F998881A6}"/>
            </a:ext>
          </a:extLst>
        </xdr:cNvPr>
        <xdr:cNvSpPr/>
      </xdr:nvSpPr>
      <xdr:spPr bwMode="auto">
        <a:xfrm>
          <a:off x="4552950" y="28575"/>
          <a:ext cx="828675" cy="542925"/>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0" i="0" u="none" strike="noStrike" baseline="0">
              <a:solidFill>
                <a:srgbClr val="000000"/>
              </a:solidFill>
              <a:latin typeface="Calibri"/>
              <a:cs typeface="Calibri"/>
            </a:rPr>
            <a:t>Paso 2. Generar respuesta</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K500"/>
  <sheetViews>
    <sheetView showGridLines="0" zoomScale="48" zoomScaleNormal="48" workbookViewId="0">
      <pane ySplit="5" topLeftCell="A356" activePane="bottomLeft" state="frozen"/>
      <selection pane="bottomLeft" activeCell="J309" sqref="J309"/>
    </sheetView>
  </sheetViews>
  <sheetFormatPr baseColWidth="10" defaultColWidth="11.42578125" defaultRowHeight="15" x14ac:dyDescent="0.2"/>
  <cols>
    <col min="1" max="1" width="15.140625" style="1" customWidth="1"/>
    <col min="2" max="4" width="20.140625" style="12" customWidth="1"/>
    <col min="5" max="5" width="20.140625" style="13" customWidth="1"/>
    <col min="6" max="6" width="16.42578125" style="14" customWidth="1"/>
    <col min="7" max="7" width="42.5703125" style="15" customWidth="1"/>
    <col min="8" max="8" width="20.85546875" style="13" customWidth="1"/>
    <col min="9" max="9" width="35.5703125" style="15" customWidth="1"/>
    <col min="10" max="10" width="19.28515625" style="16" customWidth="1"/>
    <col min="11" max="11" width="33.140625" style="48" customWidth="1"/>
    <col min="12" max="12" width="16.140625" style="14" customWidth="1"/>
    <col min="13" max="13" width="16.140625" style="16" customWidth="1"/>
    <col min="14" max="14" width="23" style="14" customWidth="1"/>
    <col min="15" max="15" width="34.28515625" style="17" customWidth="1"/>
    <col min="16" max="16" width="49.140625" style="17" customWidth="1"/>
    <col min="17" max="17" width="31.28515625" style="1" customWidth="1"/>
    <col min="18" max="18" width="29.140625" style="1" customWidth="1"/>
    <col min="19" max="19" width="21" style="1" customWidth="1"/>
    <col min="20" max="20" width="30" style="1" customWidth="1"/>
    <col min="21" max="21" width="29.140625" style="1" customWidth="1"/>
    <col min="22" max="22" width="30.7109375" style="1" customWidth="1"/>
    <col min="23" max="23" width="34" style="4" customWidth="1"/>
    <col min="24" max="24" width="32.85546875" style="4" customWidth="1"/>
    <col min="25" max="25" width="29.7109375" style="1" customWidth="1"/>
    <col min="26" max="26" width="31" style="1" customWidth="1"/>
    <col min="27" max="27" width="33.85546875" style="20" customWidth="1"/>
    <col min="28" max="28" width="32.5703125" style="1" customWidth="1"/>
    <col min="29" max="29" width="29.85546875" style="1" customWidth="1"/>
    <col min="30" max="30" width="33.140625" style="4" customWidth="1"/>
    <col min="31" max="31" width="32" style="4" customWidth="1"/>
    <col min="32" max="32" width="43.42578125" style="555" customWidth="1"/>
    <col min="33" max="33" width="51.85546875" style="4" customWidth="1"/>
    <col min="34" max="89" width="11.42578125" style="4"/>
    <col min="90" max="16384" width="11.42578125" style="1"/>
  </cols>
  <sheetData>
    <row r="1" spans="1:89" ht="42" customHeight="1" x14ac:dyDescent="0.25">
      <c r="B1" s="64"/>
      <c r="C1" s="65"/>
      <c r="D1" s="65"/>
      <c r="E1" s="65"/>
      <c r="F1" s="65"/>
      <c r="G1" s="65"/>
      <c r="H1" s="61"/>
      <c r="I1" s="495"/>
      <c r="J1" s="61"/>
      <c r="K1" s="42"/>
      <c r="L1" s="42"/>
      <c r="M1" s="42"/>
      <c r="N1" s="42"/>
      <c r="O1" s="475"/>
      <c r="P1" s="475"/>
      <c r="Q1" s="42"/>
      <c r="R1" s="42"/>
      <c r="S1" s="42"/>
      <c r="T1" s="42"/>
      <c r="U1" s="42"/>
      <c r="V1" s="42"/>
      <c r="W1" s="42"/>
      <c r="X1" s="42"/>
      <c r="Y1" s="42"/>
      <c r="Z1" s="42"/>
      <c r="AA1" s="42"/>
      <c r="AB1" s="2"/>
      <c r="AE1" s="3" t="s">
        <v>1</v>
      </c>
      <c r="AF1" s="538" t="s">
        <v>2</v>
      </c>
    </row>
    <row r="2" spans="1:89" ht="27.75" customHeight="1" x14ac:dyDescent="0.25">
      <c r="B2" s="43"/>
      <c r="C2" s="570"/>
      <c r="D2" s="570"/>
      <c r="E2" s="44"/>
      <c r="F2" s="44"/>
      <c r="G2" s="1515" t="s">
        <v>0</v>
      </c>
      <c r="H2" s="1515"/>
      <c r="I2" s="1515"/>
      <c r="J2" s="1515"/>
      <c r="K2" s="1515"/>
      <c r="L2" s="1515"/>
      <c r="M2" s="1515"/>
      <c r="N2" s="1515"/>
      <c r="O2" s="1515"/>
      <c r="P2" s="1515"/>
      <c r="Q2" s="1515"/>
      <c r="R2" s="1515"/>
      <c r="S2" s="1515"/>
      <c r="T2" s="1515"/>
      <c r="U2" s="1515"/>
      <c r="V2" s="1515"/>
      <c r="W2" s="1515"/>
      <c r="X2" s="1515"/>
      <c r="Y2" s="1515"/>
      <c r="Z2" s="1515"/>
      <c r="AA2" s="1515"/>
      <c r="AB2" s="1516"/>
      <c r="AC2" s="442"/>
      <c r="AE2" s="5" t="s">
        <v>3</v>
      </c>
      <c r="AF2" s="539">
        <v>3</v>
      </c>
    </row>
    <row r="3" spans="1:89" ht="27.75" customHeight="1" x14ac:dyDescent="0.25">
      <c r="B3" s="43"/>
      <c r="C3" s="570"/>
      <c r="D3" s="570"/>
      <c r="E3" s="44"/>
      <c r="F3" s="44"/>
      <c r="G3" s="44"/>
      <c r="H3" s="19"/>
      <c r="I3" s="496"/>
      <c r="J3" s="19"/>
      <c r="K3" s="44"/>
      <c r="L3" s="44"/>
      <c r="M3" s="44"/>
      <c r="N3" s="44"/>
      <c r="O3" s="476"/>
      <c r="P3" s="476"/>
      <c r="Q3" s="44"/>
      <c r="R3" s="44"/>
      <c r="S3" s="44"/>
      <c r="T3" s="44"/>
      <c r="U3" s="44"/>
      <c r="V3" s="44"/>
      <c r="W3" s="44"/>
      <c r="X3" s="44"/>
      <c r="Y3" s="44"/>
      <c r="Z3" s="44"/>
      <c r="AA3" s="44"/>
      <c r="AE3" s="3" t="s">
        <v>4</v>
      </c>
      <c r="AF3" s="540" t="s">
        <v>5</v>
      </c>
    </row>
    <row r="4" spans="1:89" ht="24.75" customHeight="1" x14ac:dyDescent="0.25">
      <c r="B4" s="45"/>
      <c r="C4" s="46"/>
      <c r="D4" s="46"/>
      <c r="E4" s="46"/>
      <c r="F4" s="46"/>
      <c r="G4" s="46"/>
      <c r="H4" s="10"/>
      <c r="I4" s="497"/>
      <c r="J4" s="10"/>
      <c r="K4" s="46"/>
      <c r="L4" s="46"/>
      <c r="M4" s="46"/>
      <c r="N4" s="46"/>
      <c r="O4" s="477"/>
      <c r="P4" s="477"/>
      <c r="R4" s="46"/>
      <c r="S4" s="46"/>
      <c r="T4" s="46"/>
      <c r="U4" s="46"/>
      <c r="V4" s="46"/>
      <c r="W4" s="46"/>
      <c r="X4" s="46"/>
      <c r="Y4" s="46"/>
      <c r="Z4" s="46"/>
      <c r="AA4" s="46"/>
      <c r="AB4" s="1" t="s">
        <v>41</v>
      </c>
      <c r="AE4" s="3" t="s">
        <v>6</v>
      </c>
      <c r="AF4" s="541" t="s">
        <v>7</v>
      </c>
    </row>
    <row r="5" spans="1:89" s="7" customFormat="1" ht="84" customHeight="1" x14ac:dyDescent="0.25">
      <c r="A5" s="66" t="s">
        <v>8</v>
      </c>
      <c r="B5" s="66" t="s">
        <v>9</v>
      </c>
      <c r="C5" s="575" t="s">
        <v>1300</v>
      </c>
      <c r="D5" s="575" t="s">
        <v>1301</v>
      </c>
      <c r="E5" s="66" t="s">
        <v>10</v>
      </c>
      <c r="F5" s="67" t="s">
        <v>11</v>
      </c>
      <c r="G5" s="67" t="s">
        <v>12</v>
      </c>
      <c r="H5" s="68" t="s">
        <v>13</v>
      </c>
      <c r="I5" s="508" t="s">
        <v>14</v>
      </c>
      <c r="J5" s="68" t="s">
        <v>15</v>
      </c>
      <c r="K5" s="67" t="s">
        <v>16</v>
      </c>
      <c r="L5" s="67" t="s">
        <v>17</v>
      </c>
      <c r="M5" s="68" t="s">
        <v>18</v>
      </c>
      <c r="N5" s="67" t="s">
        <v>19</v>
      </c>
      <c r="O5" s="474" t="s">
        <v>20</v>
      </c>
      <c r="P5" s="67" t="s">
        <v>21</v>
      </c>
      <c r="Q5" s="69" t="s">
        <v>22</v>
      </c>
      <c r="R5" s="69" t="s">
        <v>23</v>
      </c>
      <c r="S5" s="69" t="s">
        <v>24</v>
      </c>
      <c r="T5" s="69" t="s">
        <v>25</v>
      </c>
      <c r="U5" s="69" t="s">
        <v>26</v>
      </c>
      <c r="V5" s="69" t="s">
        <v>27</v>
      </c>
      <c r="W5" s="69" t="s">
        <v>28</v>
      </c>
      <c r="X5" s="69" t="s">
        <v>29</v>
      </c>
      <c r="Y5" s="69" t="s">
        <v>30</v>
      </c>
      <c r="Z5" s="69" t="s">
        <v>31</v>
      </c>
      <c r="AA5" s="69" t="s">
        <v>32</v>
      </c>
      <c r="AB5" s="69" t="s">
        <v>33</v>
      </c>
      <c r="AC5" s="69" t="s">
        <v>34</v>
      </c>
      <c r="AD5" s="69" t="s">
        <v>35</v>
      </c>
      <c r="AE5" s="69" t="s">
        <v>36</v>
      </c>
      <c r="AF5" s="69" t="s">
        <v>37</v>
      </c>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row>
    <row r="6" spans="1:89" ht="15.75" x14ac:dyDescent="0.2">
      <c r="B6" s="77"/>
      <c r="C6" s="77"/>
      <c r="D6" s="77"/>
      <c r="E6" s="61"/>
      <c r="F6" s="78"/>
      <c r="G6" s="59"/>
      <c r="H6" s="62"/>
      <c r="I6" s="498"/>
      <c r="J6" s="80"/>
      <c r="K6" s="79"/>
      <c r="L6" s="81"/>
      <c r="M6" s="80"/>
      <c r="N6" s="81"/>
      <c r="O6" s="79"/>
      <c r="P6" s="79"/>
      <c r="Q6" s="82"/>
      <c r="R6" s="82"/>
      <c r="S6" s="82"/>
      <c r="T6" s="82"/>
      <c r="U6" s="82"/>
      <c r="V6" s="82"/>
      <c r="W6" s="82"/>
      <c r="X6" s="82"/>
      <c r="Y6" s="82"/>
      <c r="Z6" s="82"/>
      <c r="AA6" s="83"/>
      <c r="AB6" s="82"/>
      <c r="AC6" s="82"/>
      <c r="AD6" s="83"/>
      <c r="AE6" s="83"/>
      <c r="AF6" s="542"/>
    </row>
    <row r="7" spans="1:89" s="9" customFormat="1" ht="26.25" customHeight="1" x14ac:dyDescent="0.25">
      <c r="A7" s="85" t="s">
        <v>38</v>
      </c>
      <c r="B7" s="86"/>
      <c r="C7" s="86"/>
      <c r="D7" s="86"/>
      <c r="E7" s="87"/>
      <c r="F7" s="88"/>
      <c r="G7" s="89"/>
      <c r="H7" s="90"/>
      <c r="I7" s="89"/>
      <c r="J7" s="92"/>
      <c r="K7" s="91"/>
      <c r="L7" s="93"/>
      <c r="M7" s="92"/>
      <c r="N7" s="88"/>
      <c r="O7" s="91"/>
      <c r="P7" s="91"/>
      <c r="Q7" s="94">
        <f t="shared" ref="Q7:AF8" si="0">Q8</f>
        <v>0</v>
      </c>
      <c r="R7" s="94">
        <f t="shared" si="0"/>
        <v>0</v>
      </c>
      <c r="S7" s="94">
        <f t="shared" si="0"/>
        <v>0</v>
      </c>
      <c r="T7" s="94">
        <f t="shared" si="0"/>
        <v>0</v>
      </c>
      <c r="U7" s="94">
        <f t="shared" si="0"/>
        <v>0</v>
      </c>
      <c r="V7" s="94">
        <f t="shared" si="0"/>
        <v>0</v>
      </c>
      <c r="W7" s="94">
        <f t="shared" si="0"/>
        <v>0</v>
      </c>
      <c r="X7" s="94">
        <f t="shared" si="0"/>
        <v>0</v>
      </c>
      <c r="Y7" s="94">
        <f t="shared" si="0"/>
        <v>0</v>
      </c>
      <c r="Z7" s="94">
        <f t="shared" si="0"/>
        <v>0</v>
      </c>
      <c r="AA7" s="94">
        <f t="shared" si="0"/>
        <v>176000000</v>
      </c>
      <c r="AB7" s="94">
        <f t="shared" si="0"/>
        <v>0</v>
      </c>
      <c r="AC7" s="94">
        <f t="shared" si="0"/>
        <v>0</v>
      </c>
      <c r="AD7" s="94">
        <f t="shared" si="0"/>
        <v>176000000</v>
      </c>
      <c r="AE7" s="94">
        <f t="shared" si="0"/>
        <v>0</v>
      </c>
      <c r="AF7" s="94">
        <f t="shared" si="0"/>
        <v>0</v>
      </c>
      <c r="AG7" s="8">
        <v>176000000</v>
      </c>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row>
    <row r="8" spans="1:89" s="9" customFormat="1" ht="27.75" customHeight="1" x14ac:dyDescent="0.25">
      <c r="A8" s="95"/>
      <c r="B8" s="99">
        <v>4</v>
      </c>
      <c r="C8" s="1556" t="s">
        <v>39</v>
      </c>
      <c r="D8" s="1557"/>
      <c r="E8" s="1557"/>
      <c r="F8" s="1557"/>
      <c r="G8" s="1558"/>
      <c r="H8" s="97"/>
      <c r="I8" s="489"/>
      <c r="J8" s="99"/>
      <c r="K8" s="98"/>
      <c r="L8" s="100"/>
      <c r="M8" s="99"/>
      <c r="N8" s="101"/>
      <c r="O8" s="98"/>
      <c r="P8" s="98"/>
      <c r="Q8" s="102">
        <f>Q9</f>
        <v>0</v>
      </c>
      <c r="R8" s="102">
        <f t="shared" si="0"/>
        <v>0</v>
      </c>
      <c r="S8" s="102">
        <f t="shared" si="0"/>
        <v>0</v>
      </c>
      <c r="T8" s="102">
        <f t="shared" si="0"/>
        <v>0</v>
      </c>
      <c r="U8" s="102">
        <f t="shared" si="0"/>
        <v>0</v>
      </c>
      <c r="V8" s="102">
        <f t="shared" si="0"/>
        <v>0</v>
      </c>
      <c r="W8" s="102">
        <f t="shared" si="0"/>
        <v>0</v>
      </c>
      <c r="X8" s="102">
        <f t="shared" si="0"/>
        <v>0</v>
      </c>
      <c r="Y8" s="102">
        <f t="shared" si="0"/>
        <v>0</v>
      </c>
      <c r="Z8" s="102">
        <f t="shared" si="0"/>
        <v>0</v>
      </c>
      <c r="AA8" s="102">
        <f t="shared" si="0"/>
        <v>176000000</v>
      </c>
      <c r="AB8" s="102">
        <f t="shared" si="0"/>
        <v>0</v>
      </c>
      <c r="AC8" s="102">
        <f t="shared" si="0"/>
        <v>0</v>
      </c>
      <c r="AD8" s="102">
        <f>AD9</f>
        <v>176000000</v>
      </c>
      <c r="AE8" s="102">
        <f t="shared" si="0"/>
        <v>0</v>
      </c>
      <c r="AF8" s="102">
        <f>AF9</f>
        <v>0</v>
      </c>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row>
    <row r="9" spans="1:89" s="9" customFormat="1" ht="27.75" customHeight="1" x14ac:dyDescent="0.25">
      <c r="A9" s="95"/>
      <c r="B9" s="576"/>
      <c r="C9" s="593">
        <v>45</v>
      </c>
      <c r="D9" s="592" t="s">
        <v>1302</v>
      </c>
      <c r="E9" s="579"/>
      <c r="F9" s="580"/>
      <c r="G9" s="581"/>
      <c r="H9" s="582"/>
      <c r="I9" s="583"/>
      <c r="J9" s="584"/>
      <c r="K9" s="585"/>
      <c r="L9" s="583"/>
      <c r="M9" s="586"/>
      <c r="N9" s="588"/>
      <c r="O9" s="588"/>
      <c r="P9" s="589"/>
      <c r="Q9" s="589">
        <f>Q10+Q14</f>
        <v>0</v>
      </c>
      <c r="R9" s="589">
        <f t="shared" ref="R9:AE9" si="1">R10+R14</f>
        <v>0</v>
      </c>
      <c r="S9" s="589">
        <f t="shared" si="1"/>
        <v>0</v>
      </c>
      <c r="T9" s="589">
        <f t="shared" si="1"/>
        <v>0</v>
      </c>
      <c r="U9" s="589">
        <f t="shared" si="1"/>
        <v>0</v>
      </c>
      <c r="V9" s="589">
        <f t="shared" si="1"/>
        <v>0</v>
      </c>
      <c r="W9" s="589">
        <f t="shared" si="1"/>
        <v>0</v>
      </c>
      <c r="X9" s="589">
        <f t="shared" si="1"/>
        <v>0</v>
      </c>
      <c r="Y9" s="589">
        <f t="shared" si="1"/>
        <v>0</v>
      </c>
      <c r="Z9" s="589">
        <f t="shared" si="1"/>
        <v>0</v>
      </c>
      <c r="AA9" s="589">
        <f t="shared" si="1"/>
        <v>176000000</v>
      </c>
      <c r="AB9" s="589">
        <f t="shared" si="1"/>
        <v>0</v>
      </c>
      <c r="AC9" s="589">
        <f t="shared" si="1"/>
        <v>0</v>
      </c>
      <c r="AD9" s="589">
        <f t="shared" si="1"/>
        <v>176000000</v>
      </c>
      <c r="AE9" s="589">
        <f t="shared" si="1"/>
        <v>0</v>
      </c>
      <c r="AF9" s="589">
        <f>AF10+AF14</f>
        <v>0</v>
      </c>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row>
    <row r="10" spans="1:89" ht="38.25" customHeight="1" x14ac:dyDescent="0.2">
      <c r="A10" s="103"/>
      <c r="B10" s="104"/>
      <c r="C10" s="104"/>
      <c r="D10" s="104"/>
      <c r="E10" s="105">
        <v>4599</v>
      </c>
      <c r="F10" s="471" t="s">
        <v>40</v>
      </c>
      <c r="G10" s="471"/>
      <c r="H10" s="471"/>
      <c r="I10" s="471"/>
      <c r="J10" s="471"/>
      <c r="K10" s="471"/>
      <c r="L10" s="471"/>
      <c r="M10" s="471"/>
      <c r="N10" s="471"/>
      <c r="O10" s="70"/>
      <c r="P10" s="70"/>
      <c r="Q10" s="110">
        <f>SUM(Q11:Q13)</f>
        <v>0</v>
      </c>
      <c r="R10" s="110">
        <f t="shared" ref="R10:AF10" si="2">SUM(R11:R13)</f>
        <v>0</v>
      </c>
      <c r="S10" s="110">
        <f t="shared" si="2"/>
        <v>0</v>
      </c>
      <c r="T10" s="110">
        <f t="shared" si="2"/>
        <v>0</v>
      </c>
      <c r="U10" s="110">
        <f t="shared" si="2"/>
        <v>0</v>
      </c>
      <c r="V10" s="110">
        <f t="shared" si="2"/>
        <v>0</v>
      </c>
      <c r="W10" s="110">
        <f t="shared" si="2"/>
        <v>0</v>
      </c>
      <c r="X10" s="110">
        <f t="shared" si="2"/>
        <v>0</v>
      </c>
      <c r="Y10" s="110">
        <f t="shared" si="2"/>
        <v>0</v>
      </c>
      <c r="Z10" s="110">
        <f t="shared" si="2"/>
        <v>0</v>
      </c>
      <c r="AA10" s="110">
        <f t="shared" si="2"/>
        <v>136000000</v>
      </c>
      <c r="AB10" s="110">
        <f t="shared" si="2"/>
        <v>0</v>
      </c>
      <c r="AC10" s="110">
        <f t="shared" si="2"/>
        <v>0</v>
      </c>
      <c r="AD10" s="110">
        <f>SUM(AD11:AD13)</f>
        <v>136000000</v>
      </c>
      <c r="AE10" s="110">
        <f t="shared" si="2"/>
        <v>0</v>
      </c>
      <c r="AF10" s="110">
        <f t="shared" si="2"/>
        <v>0</v>
      </c>
    </row>
    <row r="11" spans="1:89" ht="165.75" customHeight="1" x14ac:dyDescent="0.2">
      <c r="A11" s="103"/>
      <c r="B11" s="104"/>
      <c r="C11" s="104"/>
      <c r="D11" s="104"/>
      <c r="E11" s="111"/>
      <c r="F11" s="112"/>
      <c r="G11" s="140" t="s">
        <v>42</v>
      </c>
      <c r="H11" s="114">
        <v>4599023</v>
      </c>
      <c r="I11" s="140" t="s">
        <v>43</v>
      </c>
      <c r="J11" s="115">
        <v>459902300</v>
      </c>
      <c r="K11" s="199" t="s">
        <v>44</v>
      </c>
      <c r="L11" s="457" t="s">
        <v>45</v>
      </c>
      <c r="M11" s="116">
        <v>3</v>
      </c>
      <c r="N11" s="1602" t="s">
        <v>41</v>
      </c>
      <c r="O11" s="199" t="s">
        <v>47</v>
      </c>
      <c r="P11" s="140" t="s">
        <v>48</v>
      </c>
      <c r="Q11" s="118"/>
      <c r="R11" s="118"/>
      <c r="S11" s="118"/>
      <c r="T11" s="118"/>
      <c r="U11" s="118"/>
      <c r="V11" s="118"/>
      <c r="W11" s="118"/>
      <c r="X11" s="118"/>
      <c r="Y11" s="118"/>
      <c r="Z11" s="118"/>
      <c r="AA11" s="119">
        <v>36000000</v>
      </c>
      <c r="AB11" s="118"/>
      <c r="AC11" s="118"/>
      <c r="AD11" s="120">
        <f>+Q11+R11+S11+T11+U11+V11+W11+X11+Y11+Z11+AA11+AB11+AC11</f>
        <v>36000000</v>
      </c>
      <c r="AE11" s="120" t="s">
        <v>49</v>
      </c>
      <c r="AF11" s="545" t="s">
        <v>1293</v>
      </c>
      <c r="AG11" s="1"/>
    </row>
    <row r="12" spans="1:89" ht="158.25" customHeight="1" x14ac:dyDescent="0.2">
      <c r="A12" s="103"/>
      <c r="B12" s="104"/>
      <c r="C12" s="104"/>
      <c r="D12" s="104"/>
      <c r="E12" s="111"/>
      <c r="F12" s="457"/>
      <c r="G12" s="140" t="s">
        <v>42</v>
      </c>
      <c r="H12" s="121">
        <v>4599002</v>
      </c>
      <c r="I12" s="140" t="s">
        <v>50</v>
      </c>
      <c r="J12" s="122">
        <v>459900200</v>
      </c>
      <c r="K12" s="199" t="s">
        <v>51</v>
      </c>
      <c r="L12" s="457" t="s">
        <v>45</v>
      </c>
      <c r="M12" s="116">
        <v>4</v>
      </c>
      <c r="N12" s="117" t="s">
        <v>52</v>
      </c>
      <c r="O12" s="199" t="s">
        <v>53</v>
      </c>
      <c r="P12" s="140" t="s">
        <v>54</v>
      </c>
      <c r="Q12" s="118"/>
      <c r="R12" s="118"/>
      <c r="S12" s="118"/>
      <c r="T12" s="118"/>
      <c r="U12" s="118"/>
      <c r="V12" s="118"/>
      <c r="W12" s="118"/>
      <c r="X12" s="118"/>
      <c r="Y12" s="118"/>
      <c r="Z12" s="118"/>
      <c r="AA12" s="123">
        <v>50000000</v>
      </c>
      <c r="AB12" s="118"/>
      <c r="AC12" s="118"/>
      <c r="AD12" s="120">
        <f>+Q12+R12+S12+T12+U12+V12+W12+X12+Y12+Z12+AA12+AB12+AC12</f>
        <v>50000000</v>
      </c>
      <c r="AE12" s="120" t="s">
        <v>49</v>
      </c>
      <c r="AF12" s="545" t="s">
        <v>1294</v>
      </c>
      <c r="AG12" s="1"/>
    </row>
    <row r="13" spans="1:89" ht="196.5" customHeight="1" x14ac:dyDescent="0.2">
      <c r="A13" s="103"/>
      <c r="B13" s="104"/>
      <c r="C13" s="104"/>
      <c r="D13" s="104"/>
      <c r="E13" s="111"/>
      <c r="F13" s="457"/>
      <c r="G13" s="140" t="s">
        <v>42</v>
      </c>
      <c r="H13" s="114">
        <v>4599023</v>
      </c>
      <c r="I13" s="140" t="s">
        <v>55</v>
      </c>
      <c r="J13" s="115">
        <v>459902301</v>
      </c>
      <c r="K13" s="199" t="s">
        <v>56</v>
      </c>
      <c r="L13" s="457" t="s">
        <v>57</v>
      </c>
      <c r="M13" s="116">
        <v>1</v>
      </c>
      <c r="N13" s="456" t="s">
        <v>58</v>
      </c>
      <c r="O13" s="199" t="s">
        <v>59</v>
      </c>
      <c r="P13" s="140" t="s">
        <v>60</v>
      </c>
      <c r="Q13" s="118"/>
      <c r="R13" s="118"/>
      <c r="S13" s="118"/>
      <c r="T13" s="118"/>
      <c r="U13" s="118"/>
      <c r="V13" s="118"/>
      <c r="W13" s="118"/>
      <c r="X13" s="118"/>
      <c r="Y13" s="118"/>
      <c r="Z13" s="118"/>
      <c r="AA13" s="123">
        <v>50000000</v>
      </c>
      <c r="AB13" s="118"/>
      <c r="AC13" s="118"/>
      <c r="AD13" s="120">
        <f>+Q13+R13+S13+T13+U13+V13+W13+X13+Y13+Z13+AA13+AB13+AC13</f>
        <v>50000000</v>
      </c>
      <c r="AE13" s="120" t="s">
        <v>49</v>
      </c>
      <c r="AF13" s="545" t="s">
        <v>1294</v>
      </c>
      <c r="AG13" s="1"/>
    </row>
    <row r="14" spans="1:89" ht="30.75" customHeight="1" x14ac:dyDescent="0.2">
      <c r="A14" s="103"/>
      <c r="B14" s="104"/>
      <c r="C14" s="104"/>
      <c r="D14" s="104"/>
      <c r="E14" s="105">
        <v>4502</v>
      </c>
      <c r="F14" s="471" t="s">
        <v>61</v>
      </c>
      <c r="G14" s="471"/>
      <c r="H14" s="107"/>
      <c r="I14" s="487"/>
      <c r="J14" s="74"/>
      <c r="K14" s="70"/>
      <c r="L14" s="108"/>
      <c r="M14" s="74"/>
      <c r="N14" s="109"/>
      <c r="O14" s="70"/>
      <c r="P14" s="70"/>
      <c r="Q14" s="110">
        <f>SUM(Q15)</f>
        <v>0</v>
      </c>
      <c r="R14" s="110">
        <f t="shared" ref="R14:AC14" si="3">SUM(R15)</f>
        <v>0</v>
      </c>
      <c r="S14" s="110">
        <f t="shared" si="3"/>
        <v>0</v>
      </c>
      <c r="T14" s="110">
        <f t="shared" si="3"/>
        <v>0</v>
      </c>
      <c r="U14" s="110">
        <f t="shared" si="3"/>
        <v>0</v>
      </c>
      <c r="V14" s="110">
        <f t="shared" si="3"/>
        <v>0</v>
      </c>
      <c r="W14" s="110">
        <f t="shared" si="3"/>
        <v>0</v>
      </c>
      <c r="X14" s="110">
        <f t="shared" si="3"/>
        <v>0</v>
      </c>
      <c r="Y14" s="110">
        <f t="shared" si="3"/>
        <v>0</v>
      </c>
      <c r="Z14" s="110">
        <f t="shared" si="3"/>
        <v>0</v>
      </c>
      <c r="AA14" s="110">
        <f t="shared" si="3"/>
        <v>40000000</v>
      </c>
      <c r="AB14" s="110">
        <f t="shared" si="3"/>
        <v>0</v>
      </c>
      <c r="AC14" s="110">
        <f t="shared" si="3"/>
        <v>0</v>
      </c>
      <c r="AD14" s="110">
        <f>SUM(AD15)</f>
        <v>40000000</v>
      </c>
      <c r="AE14" s="110"/>
      <c r="AF14" s="544"/>
    </row>
    <row r="15" spans="1:89" ht="121.5" customHeight="1" x14ac:dyDescent="0.2">
      <c r="A15" s="103"/>
      <c r="B15" s="104"/>
      <c r="C15" s="104"/>
      <c r="D15" s="104"/>
      <c r="E15" s="111"/>
      <c r="F15" s="457"/>
      <c r="G15" s="193" t="s">
        <v>62</v>
      </c>
      <c r="H15" s="114">
        <v>4502035</v>
      </c>
      <c r="I15" s="140" t="s">
        <v>64</v>
      </c>
      <c r="J15" s="125">
        <v>450203500</v>
      </c>
      <c r="K15" s="126" t="s">
        <v>65</v>
      </c>
      <c r="L15" s="457" t="s">
        <v>45</v>
      </c>
      <c r="M15" s="116">
        <v>1</v>
      </c>
      <c r="N15" s="457" t="s">
        <v>66</v>
      </c>
      <c r="O15" s="280" t="s">
        <v>67</v>
      </c>
      <c r="P15" s="502" t="s">
        <v>68</v>
      </c>
      <c r="Q15" s="118"/>
      <c r="R15" s="118"/>
      <c r="S15" s="118"/>
      <c r="T15" s="118"/>
      <c r="U15" s="118"/>
      <c r="V15" s="118"/>
      <c r="W15" s="118"/>
      <c r="X15" s="118"/>
      <c r="Y15" s="118"/>
      <c r="Z15" s="118"/>
      <c r="AA15" s="127">
        <v>40000000</v>
      </c>
      <c r="AB15" s="118"/>
      <c r="AC15" s="118"/>
      <c r="AD15" s="120">
        <f>+Q15+R15+S15+T15+U15+V15+W15+X15+Y15+Z15+AA15+AB15+AC15</f>
        <v>40000000</v>
      </c>
      <c r="AE15" s="120" t="s">
        <v>49</v>
      </c>
      <c r="AF15" s="545" t="s">
        <v>1294</v>
      </c>
      <c r="AG15" s="1"/>
    </row>
    <row r="16" spans="1:89" s="442" customFormat="1" ht="15.75" x14ac:dyDescent="0.2">
      <c r="A16" s="597"/>
      <c r="B16" s="605"/>
      <c r="C16" s="605"/>
      <c r="D16" s="605"/>
      <c r="E16" s="606"/>
      <c r="F16" s="603"/>
      <c r="G16" s="601"/>
      <c r="H16" s="602"/>
      <c r="I16" s="607"/>
      <c r="J16" s="608"/>
      <c r="K16" s="609"/>
      <c r="L16" s="610"/>
      <c r="M16" s="608"/>
      <c r="N16" s="610"/>
      <c r="O16" s="609"/>
      <c r="P16" s="609"/>
      <c r="Q16" s="611"/>
      <c r="R16" s="611"/>
      <c r="S16" s="611"/>
      <c r="T16" s="611"/>
      <c r="U16" s="611"/>
      <c r="V16" s="611"/>
      <c r="W16" s="611"/>
      <c r="X16" s="611"/>
      <c r="Y16" s="611"/>
      <c r="Z16" s="611"/>
      <c r="AA16" s="612"/>
      <c r="AB16" s="611"/>
      <c r="AC16" s="611"/>
      <c r="AD16" s="612"/>
      <c r="AE16" s="612"/>
      <c r="AF16" s="613"/>
      <c r="AG16" s="437"/>
      <c r="AH16" s="437"/>
      <c r="AI16" s="437"/>
      <c r="AJ16" s="437"/>
      <c r="AK16" s="437"/>
      <c r="AL16" s="437"/>
      <c r="AM16" s="437"/>
      <c r="AN16" s="437"/>
      <c r="AO16" s="437"/>
      <c r="AP16" s="437"/>
      <c r="AQ16" s="437"/>
      <c r="AR16" s="437"/>
      <c r="AS16" s="437"/>
      <c r="AT16" s="437"/>
      <c r="AU16" s="437"/>
      <c r="AV16" s="437"/>
      <c r="AW16" s="437"/>
      <c r="AX16" s="437"/>
      <c r="AY16" s="437"/>
      <c r="AZ16" s="437"/>
      <c r="BA16" s="437"/>
      <c r="BB16" s="437"/>
      <c r="BC16" s="437"/>
      <c r="BD16" s="437"/>
      <c r="BE16" s="437"/>
      <c r="BF16" s="437"/>
      <c r="BG16" s="437"/>
      <c r="BH16" s="437"/>
      <c r="BI16" s="437"/>
      <c r="BJ16" s="437"/>
      <c r="BK16" s="437"/>
      <c r="BL16" s="437"/>
      <c r="BM16" s="437"/>
      <c r="BN16" s="437"/>
      <c r="BO16" s="437"/>
      <c r="BP16" s="437"/>
      <c r="BQ16" s="437"/>
      <c r="BR16" s="437"/>
      <c r="BS16" s="437"/>
      <c r="BT16" s="437"/>
      <c r="BU16" s="437"/>
      <c r="BV16" s="437"/>
      <c r="BW16" s="437"/>
      <c r="BX16" s="437"/>
      <c r="BY16" s="437"/>
      <c r="BZ16" s="437"/>
      <c r="CA16" s="437"/>
      <c r="CB16" s="437"/>
      <c r="CC16" s="437"/>
      <c r="CD16" s="437"/>
      <c r="CE16" s="437"/>
      <c r="CF16" s="437"/>
      <c r="CG16" s="437"/>
      <c r="CH16" s="437"/>
      <c r="CI16" s="437"/>
      <c r="CJ16" s="437"/>
      <c r="CK16" s="437"/>
    </row>
    <row r="17" spans="1:89" s="9" customFormat="1" ht="30.75" customHeight="1" x14ac:dyDescent="0.25">
      <c r="A17" s="86" t="s">
        <v>69</v>
      </c>
      <c r="B17" s="86"/>
      <c r="C17" s="86"/>
      <c r="D17" s="86"/>
      <c r="E17" s="87"/>
      <c r="F17" s="88"/>
      <c r="G17" s="89"/>
      <c r="H17" s="90"/>
      <c r="I17" s="89"/>
      <c r="J17" s="92"/>
      <c r="K17" s="91"/>
      <c r="L17" s="93"/>
      <c r="M17" s="92"/>
      <c r="N17" s="88"/>
      <c r="O17" s="91"/>
      <c r="P17" s="91"/>
      <c r="Q17" s="128">
        <f t="shared" ref="Q17:AF18" si="4">Q18</f>
        <v>0</v>
      </c>
      <c r="R17" s="128">
        <f t="shared" si="4"/>
        <v>0</v>
      </c>
      <c r="S17" s="128">
        <f t="shared" si="4"/>
        <v>0</v>
      </c>
      <c r="T17" s="128">
        <f t="shared" si="4"/>
        <v>0</v>
      </c>
      <c r="U17" s="128">
        <f t="shared" si="4"/>
        <v>0</v>
      </c>
      <c r="V17" s="128">
        <f t="shared" si="4"/>
        <v>0</v>
      </c>
      <c r="W17" s="128">
        <f t="shared" si="4"/>
        <v>0</v>
      </c>
      <c r="X17" s="128">
        <f t="shared" si="4"/>
        <v>0</v>
      </c>
      <c r="Y17" s="128">
        <f t="shared" si="4"/>
        <v>0</v>
      </c>
      <c r="Z17" s="128">
        <f t="shared" si="4"/>
        <v>0</v>
      </c>
      <c r="AA17" s="128">
        <f t="shared" si="4"/>
        <v>983000000</v>
      </c>
      <c r="AB17" s="128">
        <f t="shared" si="4"/>
        <v>0</v>
      </c>
      <c r="AC17" s="128">
        <f t="shared" si="4"/>
        <v>0</v>
      </c>
      <c r="AD17" s="128">
        <f t="shared" si="4"/>
        <v>983000000</v>
      </c>
      <c r="AE17" s="128">
        <f t="shared" si="4"/>
        <v>0</v>
      </c>
      <c r="AF17" s="128">
        <f t="shared" si="4"/>
        <v>0</v>
      </c>
      <c r="AG17" s="8">
        <v>983000000</v>
      </c>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row>
    <row r="18" spans="1:89" ht="32.25" customHeight="1" x14ac:dyDescent="0.2">
      <c r="A18" s="103"/>
      <c r="B18" s="99">
        <v>4</v>
      </c>
      <c r="C18" s="1556" t="s">
        <v>39</v>
      </c>
      <c r="D18" s="1557"/>
      <c r="E18" s="1557"/>
      <c r="F18" s="1557"/>
      <c r="G18" s="1558"/>
      <c r="H18" s="97"/>
      <c r="I18" s="489"/>
      <c r="J18" s="99"/>
      <c r="K18" s="98"/>
      <c r="L18" s="100"/>
      <c r="M18" s="99"/>
      <c r="N18" s="101"/>
      <c r="O18" s="98"/>
      <c r="P18" s="98"/>
      <c r="Q18" s="129">
        <f>Q19</f>
        <v>0</v>
      </c>
      <c r="R18" s="129">
        <f t="shared" si="4"/>
        <v>0</v>
      </c>
      <c r="S18" s="129">
        <f t="shared" si="4"/>
        <v>0</v>
      </c>
      <c r="T18" s="129">
        <f t="shared" si="4"/>
        <v>0</v>
      </c>
      <c r="U18" s="129">
        <f t="shared" si="4"/>
        <v>0</v>
      </c>
      <c r="V18" s="129">
        <f t="shared" si="4"/>
        <v>0</v>
      </c>
      <c r="W18" s="129">
        <f t="shared" si="4"/>
        <v>0</v>
      </c>
      <c r="X18" s="129">
        <f t="shared" si="4"/>
        <v>0</v>
      </c>
      <c r="Y18" s="129">
        <f t="shared" si="4"/>
        <v>0</v>
      </c>
      <c r="Z18" s="129">
        <f t="shared" si="4"/>
        <v>0</v>
      </c>
      <c r="AA18" s="129">
        <f t="shared" si="4"/>
        <v>983000000</v>
      </c>
      <c r="AB18" s="129">
        <f t="shared" si="4"/>
        <v>0</v>
      </c>
      <c r="AC18" s="129">
        <f t="shared" si="4"/>
        <v>0</v>
      </c>
      <c r="AD18" s="129">
        <f t="shared" si="4"/>
        <v>983000000</v>
      </c>
      <c r="AE18" s="129">
        <f t="shared" si="4"/>
        <v>0</v>
      </c>
      <c r="AF18" s="129">
        <f>AF19</f>
        <v>0</v>
      </c>
    </row>
    <row r="19" spans="1:89" s="9" customFormat="1" ht="27.75" customHeight="1" x14ac:dyDescent="0.25">
      <c r="A19" s="95"/>
      <c r="B19" s="576"/>
      <c r="C19" s="593">
        <v>45</v>
      </c>
      <c r="D19" s="592" t="s">
        <v>1302</v>
      </c>
      <c r="E19" s="579"/>
      <c r="F19" s="580"/>
      <c r="G19" s="581"/>
      <c r="H19" s="582"/>
      <c r="I19" s="583"/>
      <c r="J19" s="584"/>
      <c r="K19" s="585"/>
      <c r="L19" s="583"/>
      <c r="M19" s="586"/>
      <c r="N19" s="588"/>
      <c r="O19" s="588"/>
      <c r="P19" s="589"/>
      <c r="Q19" s="589">
        <f>Q20+Q23</f>
        <v>0</v>
      </c>
      <c r="R19" s="589">
        <f t="shared" ref="R19:AF19" si="5">R20+R23</f>
        <v>0</v>
      </c>
      <c r="S19" s="589">
        <f t="shared" si="5"/>
        <v>0</v>
      </c>
      <c r="T19" s="589">
        <f t="shared" si="5"/>
        <v>0</v>
      </c>
      <c r="U19" s="589">
        <f t="shared" si="5"/>
        <v>0</v>
      </c>
      <c r="V19" s="589">
        <f t="shared" si="5"/>
        <v>0</v>
      </c>
      <c r="W19" s="589">
        <f t="shared" si="5"/>
        <v>0</v>
      </c>
      <c r="X19" s="589">
        <f t="shared" si="5"/>
        <v>0</v>
      </c>
      <c r="Y19" s="589">
        <f t="shared" si="5"/>
        <v>0</v>
      </c>
      <c r="Z19" s="589">
        <f t="shared" si="5"/>
        <v>0</v>
      </c>
      <c r="AA19" s="589">
        <f t="shared" si="5"/>
        <v>983000000</v>
      </c>
      <c r="AB19" s="589">
        <f t="shared" si="5"/>
        <v>0</v>
      </c>
      <c r="AC19" s="589">
        <f t="shared" si="5"/>
        <v>0</v>
      </c>
      <c r="AD19" s="589">
        <f t="shared" si="5"/>
        <v>983000000</v>
      </c>
      <c r="AE19" s="589">
        <f t="shared" si="5"/>
        <v>0</v>
      </c>
      <c r="AF19" s="589">
        <f t="shared" si="5"/>
        <v>0</v>
      </c>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row>
    <row r="20" spans="1:89" ht="34.5" customHeight="1" x14ac:dyDescent="0.2">
      <c r="A20" s="103"/>
      <c r="B20" s="104"/>
      <c r="C20" s="104"/>
      <c r="D20" s="104"/>
      <c r="E20" s="105">
        <v>4502</v>
      </c>
      <c r="F20" s="471" t="s">
        <v>61</v>
      </c>
      <c r="G20" s="471"/>
      <c r="H20" s="573"/>
      <c r="I20" s="574"/>
      <c r="J20" s="74"/>
      <c r="K20" s="70"/>
      <c r="L20" s="108"/>
      <c r="M20" s="74"/>
      <c r="N20" s="109"/>
      <c r="O20" s="70"/>
      <c r="P20" s="70"/>
      <c r="Q20" s="130">
        <f>SUM(Q21:Q22)</f>
        <v>0</v>
      </c>
      <c r="R20" s="130">
        <f t="shared" ref="R20:AF20" si="6">SUM(R21:R22)</f>
        <v>0</v>
      </c>
      <c r="S20" s="130">
        <f t="shared" si="6"/>
        <v>0</v>
      </c>
      <c r="T20" s="130">
        <f t="shared" si="6"/>
        <v>0</v>
      </c>
      <c r="U20" s="130">
        <f t="shared" si="6"/>
        <v>0</v>
      </c>
      <c r="V20" s="130">
        <f t="shared" si="6"/>
        <v>0</v>
      </c>
      <c r="W20" s="130">
        <f t="shared" si="6"/>
        <v>0</v>
      </c>
      <c r="X20" s="130">
        <f t="shared" si="6"/>
        <v>0</v>
      </c>
      <c r="Y20" s="130">
        <f t="shared" si="6"/>
        <v>0</v>
      </c>
      <c r="Z20" s="130">
        <f t="shared" si="6"/>
        <v>0</v>
      </c>
      <c r="AA20" s="130">
        <f t="shared" si="6"/>
        <v>175000000</v>
      </c>
      <c r="AB20" s="130">
        <f t="shared" si="6"/>
        <v>0</v>
      </c>
      <c r="AC20" s="130">
        <f t="shared" si="6"/>
        <v>0</v>
      </c>
      <c r="AD20" s="130">
        <f t="shared" si="6"/>
        <v>175000000</v>
      </c>
      <c r="AE20" s="130">
        <f t="shared" si="6"/>
        <v>0</v>
      </c>
      <c r="AF20" s="130">
        <f t="shared" si="6"/>
        <v>0</v>
      </c>
    </row>
    <row r="21" spans="1:89" ht="165" customHeight="1" x14ac:dyDescent="0.2">
      <c r="A21" s="103"/>
      <c r="B21" s="104"/>
      <c r="C21" s="104"/>
      <c r="D21" s="104"/>
      <c r="E21" s="461"/>
      <c r="F21" s="457"/>
      <c r="G21" s="193" t="s">
        <v>70</v>
      </c>
      <c r="H21" s="131">
        <v>4502001</v>
      </c>
      <c r="I21" s="193" t="s">
        <v>72</v>
      </c>
      <c r="J21" s="125">
        <v>450200100</v>
      </c>
      <c r="K21" s="126" t="s">
        <v>73</v>
      </c>
      <c r="L21" s="457" t="s">
        <v>45</v>
      </c>
      <c r="M21" s="116">
        <v>1</v>
      </c>
      <c r="N21" s="454" t="s">
        <v>74</v>
      </c>
      <c r="O21" s="140" t="s">
        <v>75</v>
      </c>
      <c r="P21" s="140" t="s">
        <v>76</v>
      </c>
      <c r="Q21" s="118"/>
      <c r="R21" s="118"/>
      <c r="S21" s="118"/>
      <c r="T21" s="118"/>
      <c r="U21" s="118"/>
      <c r="V21" s="118"/>
      <c r="W21" s="118"/>
      <c r="X21" s="118"/>
      <c r="Y21" s="118"/>
      <c r="Z21" s="118"/>
      <c r="AA21" s="132">
        <v>140000000</v>
      </c>
      <c r="AB21" s="118"/>
      <c r="AC21" s="118"/>
      <c r="AD21" s="120">
        <f>+Q21+R21+S21+T21+U21+V21+W21+X21+Y21+Z21+AA21+AB21+AC21</f>
        <v>140000000</v>
      </c>
      <c r="AE21" s="120" t="s">
        <v>77</v>
      </c>
      <c r="AF21" s="546" t="s">
        <v>78</v>
      </c>
      <c r="AG21" s="1"/>
    </row>
    <row r="22" spans="1:89" ht="107.25" customHeight="1" x14ac:dyDescent="0.2">
      <c r="A22" s="103"/>
      <c r="B22" s="104"/>
      <c r="C22" s="104"/>
      <c r="D22" s="104"/>
      <c r="E22" s="461"/>
      <c r="F22" s="457"/>
      <c r="G22" s="193" t="s">
        <v>62</v>
      </c>
      <c r="H22" s="76">
        <v>4502001</v>
      </c>
      <c r="I22" s="499" t="s">
        <v>79</v>
      </c>
      <c r="J22" s="76">
        <v>450200101</v>
      </c>
      <c r="K22" s="126" t="s">
        <v>80</v>
      </c>
      <c r="L22" s="457" t="s">
        <v>45</v>
      </c>
      <c r="M22" s="116">
        <v>12</v>
      </c>
      <c r="N22" s="454" t="s">
        <v>81</v>
      </c>
      <c r="O22" s="140" t="s">
        <v>82</v>
      </c>
      <c r="P22" s="140" t="s">
        <v>83</v>
      </c>
      <c r="Q22" s="118"/>
      <c r="R22" s="118"/>
      <c r="S22" s="118"/>
      <c r="T22" s="118"/>
      <c r="U22" s="118"/>
      <c r="V22" s="118"/>
      <c r="W22" s="118"/>
      <c r="X22" s="118"/>
      <c r="Y22" s="118"/>
      <c r="Z22" s="118"/>
      <c r="AA22" s="132">
        <v>35000000</v>
      </c>
      <c r="AB22" s="118"/>
      <c r="AC22" s="118"/>
      <c r="AD22" s="120">
        <f>+Q22+R22+S22+T22+U22+V22+W22+X22+Y22+Z22+AA22+AB22+AC22</f>
        <v>35000000</v>
      </c>
      <c r="AE22" s="120" t="s">
        <v>77</v>
      </c>
      <c r="AF22" s="546" t="s">
        <v>78</v>
      </c>
      <c r="AG22" s="1"/>
    </row>
    <row r="23" spans="1:89" ht="32.25" customHeight="1" x14ac:dyDescent="0.2">
      <c r="A23" s="103"/>
      <c r="B23" s="104"/>
      <c r="C23" s="104"/>
      <c r="D23" s="104"/>
      <c r="E23" s="105">
        <v>4599</v>
      </c>
      <c r="F23" s="471" t="s">
        <v>84</v>
      </c>
      <c r="G23" s="471"/>
      <c r="H23" s="573"/>
      <c r="I23" s="574"/>
      <c r="J23" s="74"/>
      <c r="K23" s="70"/>
      <c r="L23" s="108"/>
      <c r="M23" s="74"/>
      <c r="N23" s="109"/>
      <c r="O23" s="478"/>
      <c r="P23" s="478"/>
      <c r="Q23" s="130">
        <f>SUM(Q24:Q33)</f>
        <v>0</v>
      </c>
      <c r="R23" s="130">
        <f t="shared" ref="R23:AF23" si="7">SUM(R24:R33)</f>
        <v>0</v>
      </c>
      <c r="S23" s="130">
        <f t="shared" si="7"/>
        <v>0</v>
      </c>
      <c r="T23" s="130">
        <f t="shared" si="7"/>
        <v>0</v>
      </c>
      <c r="U23" s="130">
        <f t="shared" si="7"/>
        <v>0</v>
      </c>
      <c r="V23" s="130">
        <f t="shared" si="7"/>
        <v>0</v>
      </c>
      <c r="W23" s="130">
        <f t="shared" si="7"/>
        <v>0</v>
      </c>
      <c r="X23" s="130">
        <f t="shared" si="7"/>
        <v>0</v>
      </c>
      <c r="Y23" s="130">
        <f t="shared" si="7"/>
        <v>0</v>
      </c>
      <c r="Z23" s="130">
        <f t="shared" si="7"/>
        <v>0</v>
      </c>
      <c r="AA23" s="130">
        <f t="shared" si="7"/>
        <v>808000000</v>
      </c>
      <c r="AB23" s="130">
        <f t="shared" si="7"/>
        <v>0</v>
      </c>
      <c r="AC23" s="130">
        <f t="shared" si="7"/>
        <v>0</v>
      </c>
      <c r="AD23" s="130">
        <f t="shared" si="7"/>
        <v>808000000</v>
      </c>
      <c r="AE23" s="130">
        <f t="shared" si="7"/>
        <v>0</v>
      </c>
      <c r="AF23" s="130">
        <f t="shared" si="7"/>
        <v>0</v>
      </c>
    </row>
    <row r="24" spans="1:89" s="11" customFormat="1" ht="185.25" customHeight="1" x14ac:dyDescent="0.2">
      <c r="A24" s="133"/>
      <c r="B24" s="464"/>
      <c r="C24" s="464"/>
      <c r="D24" s="464"/>
      <c r="E24" s="463"/>
      <c r="F24" s="457"/>
      <c r="G24" s="140" t="s">
        <v>42</v>
      </c>
      <c r="H24" s="114">
        <v>4599018</v>
      </c>
      <c r="I24" s="193" t="s">
        <v>86</v>
      </c>
      <c r="J24" s="115">
        <v>459901800</v>
      </c>
      <c r="K24" s="193" t="s">
        <v>87</v>
      </c>
      <c r="L24" s="134" t="s">
        <v>45</v>
      </c>
      <c r="M24" s="135">
        <v>5</v>
      </c>
      <c r="N24" s="454" t="s">
        <v>88</v>
      </c>
      <c r="O24" s="140" t="s">
        <v>89</v>
      </c>
      <c r="P24" s="140" t="s">
        <v>90</v>
      </c>
      <c r="Q24" s="136"/>
      <c r="R24" s="136"/>
      <c r="S24" s="136"/>
      <c r="T24" s="136"/>
      <c r="U24" s="136"/>
      <c r="V24" s="136"/>
      <c r="W24" s="136"/>
      <c r="X24" s="136"/>
      <c r="Y24" s="136"/>
      <c r="Z24" s="136"/>
      <c r="AA24" s="137">
        <f>4*3600000*10</f>
        <v>144000000</v>
      </c>
      <c r="AB24" s="136"/>
      <c r="AC24" s="136"/>
      <c r="AD24" s="120">
        <f t="shared" ref="AD24:AD33" si="8">+Q24+R24+S24+T24+U24+V24+W24+X24+Y24+Z24+AA24+AB24+AC24</f>
        <v>144000000</v>
      </c>
      <c r="AE24" s="120" t="s">
        <v>77</v>
      </c>
      <c r="AF24" s="546" t="s">
        <v>78</v>
      </c>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row>
    <row r="25" spans="1:89" ht="143.25" customHeight="1" x14ac:dyDescent="0.2">
      <c r="A25" s="103"/>
      <c r="B25" s="104"/>
      <c r="C25" s="104"/>
      <c r="D25" s="104"/>
      <c r="E25" s="461"/>
      <c r="F25" s="457"/>
      <c r="G25" s="140" t="s">
        <v>42</v>
      </c>
      <c r="H25" s="121">
        <v>4599025</v>
      </c>
      <c r="I25" s="193" t="s">
        <v>91</v>
      </c>
      <c r="J25" s="122">
        <v>459902500</v>
      </c>
      <c r="K25" s="192" t="s">
        <v>92</v>
      </c>
      <c r="L25" s="138" t="s">
        <v>45</v>
      </c>
      <c r="M25" s="461">
        <v>1</v>
      </c>
      <c r="N25" s="454" t="s">
        <v>93</v>
      </c>
      <c r="O25" s="140" t="s">
        <v>94</v>
      </c>
      <c r="P25" s="140" t="s">
        <v>95</v>
      </c>
      <c r="Q25" s="118"/>
      <c r="R25" s="118"/>
      <c r="S25" s="118"/>
      <c r="T25" s="118"/>
      <c r="U25" s="118"/>
      <c r="V25" s="118"/>
      <c r="W25" s="118"/>
      <c r="X25" s="118"/>
      <c r="Y25" s="118"/>
      <c r="Z25" s="118"/>
      <c r="AA25" s="524">
        <v>72000000</v>
      </c>
      <c r="AB25" s="118"/>
      <c r="AC25" s="118"/>
      <c r="AD25" s="120">
        <f t="shared" si="8"/>
        <v>72000000</v>
      </c>
      <c r="AE25" s="120" t="s">
        <v>77</v>
      </c>
      <c r="AF25" s="546" t="s">
        <v>78</v>
      </c>
      <c r="AG25" s="1"/>
    </row>
    <row r="26" spans="1:89" ht="178.5" customHeight="1" x14ac:dyDescent="0.2">
      <c r="A26" s="103"/>
      <c r="B26" s="104"/>
      <c r="C26" s="104"/>
      <c r="D26" s="104"/>
      <c r="E26" s="461"/>
      <c r="F26" s="457"/>
      <c r="G26" s="140" t="s">
        <v>42</v>
      </c>
      <c r="H26" s="114">
        <v>4599025</v>
      </c>
      <c r="I26" s="193" t="s">
        <v>96</v>
      </c>
      <c r="J26" s="122">
        <v>459902500</v>
      </c>
      <c r="K26" s="192" t="s">
        <v>97</v>
      </c>
      <c r="L26" s="138" t="s">
        <v>45</v>
      </c>
      <c r="M26" s="385">
        <v>1</v>
      </c>
      <c r="N26" s="454" t="s">
        <v>98</v>
      </c>
      <c r="O26" s="140" t="s">
        <v>99</v>
      </c>
      <c r="P26" s="140" t="s">
        <v>100</v>
      </c>
      <c r="Q26" s="118"/>
      <c r="R26" s="118"/>
      <c r="S26" s="118"/>
      <c r="T26" s="118"/>
      <c r="U26" s="118"/>
      <c r="V26" s="118"/>
      <c r="W26" s="118"/>
      <c r="X26" s="118"/>
      <c r="Y26" s="118"/>
      <c r="Z26" s="118"/>
      <c r="AA26" s="524">
        <f>(6*3600000*10)+64000000</f>
        <v>280000000</v>
      </c>
      <c r="AB26" s="118"/>
      <c r="AC26" s="118"/>
      <c r="AD26" s="120">
        <f t="shared" si="8"/>
        <v>280000000</v>
      </c>
      <c r="AE26" s="120" t="s">
        <v>77</v>
      </c>
      <c r="AF26" s="546" t="s">
        <v>78</v>
      </c>
      <c r="AG26" s="1"/>
    </row>
    <row r="27" spans="1:89" ht="153.75" customHeight="1" x14ac:dyDescent="0.2">
      <c r="A27" s="103"/>
      <c r="B27" s="104"/>
      <c r="C27" s="104"/>
      <c r="D27" s="104"/>
      <c r="E27" s="461"/>
      <c r="F27" s="457"/>
      <c r="G27" s="193" t="s">
        <v>101</v>
      </c>
      <c r="H27" s="114">
        <v>4599031</v>
      </c>
      <c r="I27" s="193" t="s">
        <v>103</v>
      </c>
      <c r="J27" s="115">
        <v>459903100</v>
      </c>
      <c r="K27" s="192" t="s">
        <v>104</v>
      </c>
      <c r="L27" s="384" t="s">
        <v>45</v>
      </c>
      <c r="M27" s="461">
        <v>12</v>
      </c>
      <c r="N27" s="1523" t="s">
        <v>105</v>
      </c>
      <c r="O27" s="1538" t="s">
        <v>106</v>
      </c>
      <c r="P27" s="1538" t="s">
        <v>107</v>
      </c>
      <c r="Q27" s="118"/>
      <c r="R27" s="118"/>
      <c r="S27" s="118"/>
      <c r="T27" s="118"/>
      <c r="U27" s="118"/>
      <c r="V27" s="118"/>
      <c r="W27" s="118"/>
      <c r="X27" s="118"/>
      <c r="Y27" s="118"/>
      <c r="Z27" s="118"/>
      <c r="AA27" s="132">
        <f>10*3600000*1</f>
        <v>36000000</v>
      </c>
      <c r="AB27" s="118"/>
      <c r="AC27" s="118"/>
      <c r="AD27" s="120">
        <f t="shared" si="8"/>
        <v>36000000</v>
      </c>
      <c r="AE27" s="120" t="s">
        <v>77</v>
      </c>
      <c r="AF27" s="546" t="s">
        <v>78</v>
      </c>
      <c r="AG27" s="1"/>
    </row>
    <row r="28" spans="1:89" ht="106.5" customHeight="1" x14ac:dyDescent="0.2">
      <c r="A28" s="103"/>
      <c r="B28" s="104"/>
      <c r="C28" s="104"/>
      <c r="D28" s="104"/>
      <c r="E28" s="461"/>
      <c r="F28" s="457"/>
      <c r="G28" s="193" t="s">
        <v>101</v>
      </c>
      <c r="H28" s="114">
        <v>4599031</v>
      </c>
      <c r="I28" s="193" t="s">
        <v>109</v>
      </c>
      <c r="J28" s="115">
        <v>459903100</v>
      </c>
      <c r="K28" s="192" t="s">
        <v>110</v>
      </c>
      <c r="L28" s="384" t="s">
        <v>45</v>
      </c>
      <c r="M28" s="461">
        <v>12</v>
      </c>
      <c r="N28" s="1523"/>
      <c r="O28" s="1538"/>
      <c r="P28" s="1538"/>
      <c r="Q28" s="118"/>
      <c r="R28" s="118"/>
      <c r="S28" s="118"/>
      <c r="T28" s="118"/>
      <c r="U28" s="118"/>
      <c r="V28" s="118"/>
      <c r="W28" s="118"/>
      <c r="X28" s="118"/>
      <c r="Y28" s="118"/>
      <c r="Z28" s="118"/>
      <c r="AA28" s="132">
        <f>10*3600000*1</f>
        <v>36000000</v>
      </c>
      <c r="AB28" s="118"/>
      <c r="AC28" s="118"/>
      <c r="AD28" s="120">
        <f t="shared" si="8"/>
        <v>36000000</v>
      </c>
      <c r="AE28" s="120" t="s">
        <v>77</v>
      </c>
      <c r="AF28" s="546" t="s">
        <v>78</v>
      </c>
      <c r="AG28" s="1"/>
    </row>
    <row r="29" spans="1:89" ht="111" customHeight="1" x14ac:dyDescent="0.2">
      <c r="A29" s="103"/>
      <c r="B29" s="104"/>
      <c r="C29" s="104"/>
      <c r="D29" s="104"/>
      <c r="E29" s="461"/>
      <c r="F29" s="457"/>
      <c r="G29" s="193" t="s">
        <v>101</v>
      </c>
      <c r="H29" s="114">
        <v>4599031</v>
      </c>
      <c r="I29" s="193" t="s">
        <v>111</v>
      </c>
      <c r="J29" s="115">
        <v>459903100</v>
      </c>
      <c r="K29" s="192" t="s">
        <v>110</v>
      </c>
      <c r="L29" s="384" t="s">
        <v>45</v>
      </c>
      <c r="M29" s="461">
        <v>12</v>
      </c>
      <c r="N29" s="1523"/>
      <c r="O29" s="1538"/>
      <c r="P29" s="1538"/>
      <c r="Q29" s="118"/>
      <c r="R29" s="118"/>
      <c r="S29" s="118"/>
      <c r="T29" s="118"/>
      <c r="U29" s="118"/>
      <c r="V29" s="118"/>
      <c r="W29" s="118"/>
      <c r="X29" s="118"/>
      <c r="Y29" s="118"/>
      <c r="Z29" s="118"/>
      <c r="AA29" s="132">
        <f>10*3600000*1</f>
        <v>36000000</v>
      </c>
      <c r="AB29" s="118"/>
      <c r="AC29" s="118"/>
      <c r="AD29" s="120">
        <f t="shared" si="8"/>
        <v>36000000</v>
      </c>
      <c r="AE29" s="120" t="s">
        <v>77</v>
      </c>
      <c r="AF29" s="546" t="s">
        <v>78</v>
      </c>
      <c r="AG29" s="1"/>
    </row>
    <row r="30" spans="1:89" ht="136.5" customHeight="1" x14ac:dyDescent="0.2">
      <c r="A30" s="103"/>
      <c r="B30" s="104"/>
      <c r="C30" s="104"/>
      <c r="D30" s="104"/>
      <c r="E30" s="461"/>
      <c r="F30" s="457"/>
      <c r="G30" s="140" t="s">
        <v>101</v>
      </c>
      <c r="H30" s="114">
        <v>4599031</v>
      </c>
      <c r="I30" s="193" t="s">
        <v>112</v>
      </c>
      <c r="J30" s="115">
        <v>459903100</v>
      </c>
      <c r="K30" s="126" t="s">
        <v>110</v>
      </c>
      <c r="L30" s="384" t="s">
        <v>45</v>
      </c>
      <c r="M30" s="461">
        <v>12</v>
      </c>
      <c r="N30" s="1523"/>
      <c r="O30" s="1538"/>
      <c r="P30" s="1538"/>
      <c r="Q30" s="118"/>
      <c r="R30" s="118"/>
      <c r="S30" s="118"/>
      <c r="T30" s="118"/>
      <c r="U30" s="118"/>
      <c r="V30" s="118"/>
      <c r="W30" s="118"/>
      <c r="X30" s="118"/>
      <c r="Y30" s="118"/>
      <c r="Z30" s="118"/>
      <c r="AA30" s="132">
        <f>10*3600000*1+24000000</f>
        <v>60000000</v>
      </c>
      <c r="AB30" s="118"/>
      <c r="AC30" s="118"/>
      <c r="AD30" s="120">
        <f t="shared" si="8"/>
        <v>60000000</v>
      </c>
      <c r="AE30" s="120" t="s">
        <v>77</v>
      </c>
      <c r="AF30" s="546" t="s">
        <v>78</v>
      </c>
      <c r="AG30" s="1"/>
    </row>
    <row r="31" spans="1:89" ht="144" customHeight="1" x14ac:dyDescent="0.2">
      <c r="A31" s="103"/>
      <c r="B31" s="104"/>
      <c r="C31" s="104"/>
      <c r="D31" s="104"/>
      <c r="E31" s="461"/>
      <c r="F31" s="457"/>
      <c r="G31" s="140" t="s">
        <v>101</v>
      </c>
      <c r="H31" s="114">
        <v>4599031</v>
      </c>
      <c r="I31" s="193" t="s">
        <v>114</v>
      </c>
      <c r="J31" s="115">
        <v>459903100</v>
      </c>
      <c r="K31" s="192" t="s">
        <v>110</v>
      </c>
      <c r="L31" s="384" t="s">
        <v>45</v>
      </c>
      <c r="M31" s="461">
        <v>12</v>
      </c>
      <c r="N31" s="1523"/>
      <c r="O31" s="1538"/>
      <c r="P31" s="1538"/>
      <c r="Q31" s="118"/>
      <c r="R31" s="118"/>
      <c r="S31" s="118"/>
      <c r="T31" s="118"/>
      <c r="U31" s="118"/>
      <c r="V31" s="118"/>
      <c r="W31" s="118"/>
      <c r="X31" s="118"/>
      <c r="Y31" s="118"/>
      <c r="Z31" s="118"/>
      <c r="AA31" s="132">
        <f>10*3600000*1</f>
        <v>36000000</v>
      </c>
      <c r="AB31" s="118"/>
      <c r="AC31" s="118"/>
      <c r="AD31" s="120">
        <f t="shared" si="8"/>
        <v>36000000</v>
      </c>
      <c r="AE31" s="120" t="s">
        <v>77</v>
      </c>
      <c r="AF31" s="546" t="s">
        <v>78</v>
      </c>
      <c r="AG31" s="1"/>
    </row>
    <row r="32" spans="1:89" ht="106.5" customHeight="1" x14ac:dyDescent="0.2">
      <c r="A32" s="103"/>
      <c r="B32" s="104"/>
      <c r="C32" s="104"/>
      <c r="D32" s="104"/>
      <c r="E32" s="461"/>
      <c r="F32" s="457"/>
      <c r="G32" s="193" t="s">
        <v>101</v>
      </c>
      <c r="H32" s="114">
        <v>4599031</v>
      </c>
      <c r="I32" s="193" t="s">
        <v>115</v>
      </c>
      <c r="J32" s="115">
        <v>459903100</v>
      </c>
      <c r="K32" s="192" t="s">
        <v>110</v>
      </c>
      <c r="L32" s="384" t="s">
        <v>45</v>
      </c>
      <c r="M32" s="461">
        <v>12</v>
      </c>
      <c r="N32" s="1523"/>
      <c r="O32" s="1538"/>
      <c r="P32" s="1538"/>
      <c r="Q32" s="118"/>
      <c r="R32" s="118"/>
      <c r="S32" s="118"/>
      <c r="T32" s="118"/>
      <c r="U32" s="118"/>
      <c r="V32" s="118"/>
      <c r="W32" s="118"/>
      <c r="X32" s="118"/>
      <c r="Y32" s="118"/>
      <c r="Z32" s="118"/>
      <c r="AA32" s="132">
        <f>10*3600000*1</f>
        <v>36000000</v>
      </c>
      <c r="AB32" s="118"/>
      <c r="AC32" s="118"/>
      <c r="AD32" s="120">
        <f t="shared" si="8"/>
        <v>36000000</v>
      </c>
      <c r="AE32" s="120" t="s">
        <v>77</v>
      </c>
      <c r="AF32" s="546" t="s">
        <v>78</v>
      </c>
      <c r="AG32" s="1"/>
    </row>
    <row r="33" spans="1:89" ht="138" customHeight="1" x14ac:dyDescent="0.2">
      <c r="A33" s="103"/>
      <c r="B33" s="141"/>
      <c r="C33" s="141"/>
      <c r="D33" s="141"/>
      <c r="E33" s="142"/>
      <c r="F33" s="457"/>
      <c r="G33" s="140" t="s">
        <v>42</v>
      </c>
      <c r="H33" s="114">
        <v>4599023</v>
      </c>
      <c r="I33" s="193" t="s">
        <v>43</v>
      </c>
      <c r="J33" s="115">
        <v>459902300</v>
      </c>
      <c r="K33" s="192" t="s">
        <v>44</v>
      </c>
      <c r="L33" s="138" t="s">
        <v>45</v>
      </c>
      <c r="M33" s="386">
        <v>18</v>
      </c>
      <c r="N33" s="407" t="s">
        <v>116</v>
      </c>
      <c r="O33" s="479" t="s">
        <v>117</v>
      </c>
      <c r="P33" s="479" t="s">
        <v>118</v>
      </c>
      <c r="Q33" s="103"/>
      <c r="R33" s="103"/>
      <c r="S33" s="103"/>
      <c r="T33" s="103"/>
      <c r="U33" s="103"/>
      <c r="V33" s="103"/>
      <c r="W33" s="103"/>
      <c r="X33" s="103"/>
      <c r="Y33" s="103"/>
      <c r="Z33" s="103"/>
      <c r="AA33" s="132">
        <v>72000000</v>
      </c>
      <c r="AB33" s="103"/>
      <c r="AC33" s="103"/>
      <c r="AD33" s="120">
        <f t="shared" si="8"/>
        <v>72000000</v>
      </c>
      <c r="AE33" s="120" t="s">
        <v>77</v>
      </c>
      <c r="AF33" s="546" t="s">
        <v>78</v>
      </c>
      <c r="AG33" s="1"/>
    </row>
    <row r="34" spans="1:89" s="442" customFormat="1" ht="27" customHeight="1" x14ac:dyDescent="0.2">
      <c r="A34" s="597"/>
      <c r="B34" s="598"/>
      <c r="C34" s="598"/>
      <c r="D34" s="598"/>
      <c r="E34" s="599"/>
      <c r="F34" s="600"/>
      <c r="G34" s="601"/>
      <c r="H34" s="599"/>
      <c r="I34" s="601"/>
      <c r="J34" s="602"/>
      <c r="K34" s="603"/>
      <c r="L34" s="600"/>
      <c r="M34" s="602"/>
      <c r="N34" s="600"/>
      <c r="O34" s="603"/>
      <c r="P34" s="603"/>
      <c r="Q34" s="597"/>
      <c r="R34" s="597"/>
      <c r="S34" s="597"/>
      <c r="T34" s="597"/>
      <c r="U34" s="597"/>
      <c r="V34" s="597"/>
      <c r="W34" s="597"/>
      <c r="X34" s="597"/>
      <c r="Y34" s="597"/>
      <c r="Z34" s="597"/>
      <c r="AA34" s="604"/>
      <c r="AB34" s="597"/>
      <c r="AC34" s="597"/>
      <c r="AD34" s="597"/>
      <c r="AE34" s="597"/>
      <c r="AF34" s="600"/>
      <c r="AG34" s="437"/>
      <c r="AH34" s="437"/>
      <c r="AI34" s="437"/>
      <c r="AJ34" s="437"/>
      <c r="AK34" s="437"/>
      <c r="AL34" s="437"/>
      <c r="AM34" s="437"/>
      <c r="AN34" s="437"/>
      <c r="AO34" s="437"/>
      <c r="AP34" s="437"/>
      <c r="AQ34" s="437"/>
      <c r="AR34" s="437"/>
      <c r="AS34" s="437"/>
      <c r="AT34" s="437"/>
      <c r="AU34" s="437"/>
      <c r="AV34" s="437"/>
      <c r="AW34" s="437"/>
      <c r="AX34" s="437"/>
      <c r="AY34" s="437"/>
      <c r="AZ34" s="437"/>
      <c r="BA34" s="437"/>
      <c r="BB34" s="437"/>
      <c r="BC34" s="437"/>
      <c r="BD34" s="437"/>
      <c r="BE34" s="437"/>
      <c r="BF34" s="437"/>
      <c r="BG34" s="437"/>
      <c r="BH34" s="437"/>
      <c r="BI34" s="437"/>
      <c r="BJ34" s="437"/>
      <c r="BK34" s="437"/>
      <c r="BL34" s="437"/>
      <c r="BM34" s="437"/>
      <c r="BN34" s="437"/>
      <c r="BO34" s="437"/>
      <c r="BP34" s="437"/>
      <c r="BQ34" s="437"/>
      <c r="BR34" s="437"/>
      <c r="BS34" s="437"/>
      <c r="BT34" s="437"/>
      <c r="BU34" s="437"/>
      <c r="BV34" s="437"/>
      <c r="BW34" s="437"/>
      <c r="BX34" s="437"/>
      <c r="BY34" s="437"/>
      <c r="BZ34" s="437"/>
      <c r="CA34" s="437"/>
      <c r="CB34" s="437"/>
      <c r="CC34" s="437"/>
      <c r="CD34" s="437"/>
      <c r="CE34" s="437"/>
      <c r="CF34" s="437"/>
      <c r="CG34" s="437"/>
      <c r="CH34" s="437"/>
      <c r="CI34" s="437"/>
      <c r="CJ34" s="437"/>
      <c r="CK34" s="437"/>
    </row>
    <row r="35" spans="1:89" ht="33.75" customHeight="1" x14ac:dyDescent="0.2">
      <c r="A35" s="86" t="s">
        <v>1315</v>
      </c>
      <c r="B35" s="86"/>
      <c r="C35" s="86"/>
      <c r="D35" s="86"/>
      <c r="E35" s="87"/>
      <c r="F35" s="88"/>
      <c r="G35" s="89"/>
      <c r="H35" s="90"/>
      <c r="I35" s="89"/>
      <c r="J35" s="92"/>
      <c r="K35" s="91"/>
      <c r="L35" s="93"/>
      <c r="M35" s="92"/>
      <c r="N35" s="88"/>
      <c r="O35" s="91"/>
      <c r="P35" s="91"/>
      <c r="Q35" s="144">
        <f>Q36</f>
        <v>0</v>
      </c>
      <c r="R35" s="144">
        <f t="shared" ref="R35:AD37" si="9">R36</f>
        <v>0</v>
      </c>
      <c r="S35" s="144">
        <f t="shared" si="9"/>
        <v>0</v>
      </c>
      <c r="T35" s="144">
        <f t="shared" si="9"/>
        <v>0</v>
      </c>
      <c r="U35" s="144">
        <f t="shared" si="9"/>
        <v>0</v>
      </c>
      <c r="V35" s="144">
        <f t="shared" si="9"/>
        <v>0</v>
      </c>
      <c r="W35" s="144">
        <f t="shared" si="9"/>
        <v>0</v>
      </c>
      <c r="X35" s="144">
        <f t="shared" si="9"/>
        <v>0</v>
      </c>
      <c r="Y35" s="144">
        <f t="shared" si="9"/>
        <v>0</v>
      </c>
      <c r="Z35" s="144">
        <f t="shared" si="9"/>
        <v>0</v>
      </c>
      <c r="AA35" s="144">
        <f t="shared" si="9"/>
        <v>1840000000</v>
      </c>
      <c r="AB35" s="144">
        <f t="shared" si="9"/>
        <v>0</v>
      </c>
      <c r="AC35" s="144">
        <f t="shared" si="9"/>
        <v>250000000</v>
      </c>
      <c r="AD35" s="144">
        <f t="shared" si="9"/>
        <v>2090000000</v>
      </c>
      <c r="AE35" s="144"/>
      <c r="AF35" s="94"/>
      <c r="AG35" s="4">
        <v>2090000000</v>
      </c>
    </row>
    <row r="36" spans="1:89" ht="30.75" customHeight="1" x14ac:dyDescent="0.2">
      <c r="A36" s="103"/>
      <c r="B36" s="99">
        <v>4</v>
      </c>
      <c r="C36" s="1556" t="s">
        <v>39</v>
      </c>
      <c r="D36" s="1557"/>
      <c r="E36" s="1557"/>
      <c r="F36" s="1557"/>
      <c r="G36" s="1558"/>
      <c r="H36" s="97"/>
      <c r="I36" s="489"/>
      <c r="J36" s="99"/>
      <c r="K36" s="98"/>
      <c r="L36" s="100"/>
      <c r="M36" s="99"/>
      <c r="N36" s="101"/>
      <c r="O36" s="98"/>
      <c r="P36" s="98"/>
      <c r="Q36" s="102">
        <f>Q37</f>
        <v>0</v>
      </c>
      <c r="R36" s="102">
        <f t="shared" si="9"/>
        <v>0</v>
      </c>
      <c r="S36" s="102">
        <f t="shared" si="9"/>
        <v>0</v>
      </c>
      <c r="T36" s="102">
        <f t="shared" si="9"/>
        <v>0</v>
      </c>
      <c r="U36" s="102">
        <f t="shared" si="9"/>
        <v>0</v>
      </c>
      <c r="V36" s="102">
        <f t="shared" si="9"/>
        <v>0</v>
      </c>
      <c r="W36" s="102">
        <f t="shared" si="9"/>
        <v>0</v>
      </c>
      <c r="X36" s="102">
        <f t="shared" si="9"/>
        <v>0</v>
      </c>
      <c r="Y36" s="102">
        <f t="shared" si="9"/>
        <v>0</v>
      </c>
      <c r="Z36" s="102">
        <f t="shared" si="9"/>
        <v>0</v>
      </c>
      <c r="AA36" s="102">
        <f t="shared" si="9"/>
        <v>1840000000</v>
      </c>
      <c r="AB36" s="102">
        <f t="shared" si="9"/>
        <v>0</v>
      </c>
      <c r="AC36" s="102">
        <f t="shared" si="9"/>
        <v>250000000</v>
      </c>
      <c r="AD36" s="102">
        <f>AD37</f>
        <v>2090000000</v>
      </c>
      <c r="AE36" s="102"/>
      <c r="AF36" s="543"/>
    </row>
    <row r="37" spans="1:89" s="9" customFormat="1" ht="27.75" customHeight="1" x14ac:dyDescent="0.25">
      <c r="A37" s="95"/>
      <c r="B37" s="576"/>
      <c r="C37" s="593">
        <v>45</v>
      </c>
      <c r="D37" s="592" t="s">
        <v>1302</v>
      </c>
      <c r="E37" s="579"/>
      <c r="F37" s="580"/>
      <c r="G37" s="581"/>
      <c r="H37" s="582"/>
      <c r="I37" s="583"/>
      <c r="J37" s="584"/>
      <c r="K37" s="585"/>
      <c r="L37" s="583"/>
      <c r="M37" s="586"/>
      <c r="N37" s="588"/>
      <c r="O37" s="588"/>
      <c r="P37" s="589"/>
      <c r="Q37" s="589">
        <f>Q38</f>
        <v>0</v>
      </c>
      <c r="R37" s="589">
        <f t="shared" si="9"/>
        <v>0</v>
      </c>
      <c r="S37" s="589">
        <f t="shared" si="9"/>
        <v>0</v>
      </c>
      <c r="T37" s="589">
        <f t="shared" si="9"/>
        <v>0</v>
      </c>
      <c r="U37" s="589">
        <f t="shared" si="9"/>
        <v>0</v>
      </c>
      <c r="V37" s="589">
        <f t="shared" si="9"/>
        <v>0</v>
      </c>
      <c r="W37" s="589">
        <f t="shared" si="9"/>
        <v>0</v>
      </c>
      <c r="X37" s="589">
        <f t="shared" si="9"/>
        <v>0</v>
      </c>
      <c r="Y37" s="589">
        <f t="shared" si="9"/>
        <v>0</v>
      </c>
      <c r="Z37" s="589">
        <f t="shared" si="9"/>
        <v>0</v>
      </c>
      <c r="AA37" s="589">
        <f t="shared" si="9"/>
        <v>1840000000</v>
      </c>
      <c r="AB37" s="589">
        <f t="shared" si="9"/>
        <v>0</v>
      </c>
      <c r="AC37" s="589">
        <f t="shared" si="9"/>
        <v>250000000</v>
      </c>
      <c r="AD37" s="589">
        <f t="shared" si="9"/>
        <v>2090000000</v>
      </c>
      <c r="AE37" s="590"/>
      <c r="AF37" s="590"/>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row>
    <row r="38" spans="1:89" ht="30" customHeight="1" x14ac:dyDescent="0.2">
      <c r="A38" s="103"/>
      <c r="B38" s="104"/>
      <c r="C38" s="104"/>
      <c r="D38" s="104"/>
      <c r="E38" s="105">
        <v>4599</v>
      </c>
      <c r="F38" s="471" t="s">
        <v>40</v>
      </c>
      <c r="G38" s="471"/>
      <c r="H38" s="146"/>
      <c r="I38" s="487"/>
      <c r="J38" s="146"/>
      <c r="K38" s="145"/>
      <c r="L38" s="145"/>
      <c r="M38" s="145"/>
      <c r="N38" s="109"/>
      <c r="O38" s="70"/>
      <c r="P38" s="70"/>
      <c r="Q38" s="110">
        <f>SUM(Q39:Q40)</f>
        <v>0</v>
      </c>
      <c r="R38" s="110">
        <f t="shared" ref="R38:AD38" si="10">SUM(R39:R40)</f>
        <v>0</v>
      </c>
      <c r="S38" s="110">
        <f t="shared" si="10"/>
        <v>0</v>
      </c>
      <c r="T38" s="110">
        <f t="shared" si="10"/>
        <v>0</v>
      </c>
      <c r="U38" s="110">
        <f t="shared" si="10"/>
        <v>0</v>
      </c>
      <c r="V38" s="110">
        <f t="shared" si="10"/>
        <v>0</v>
      </c>
      <c r="W38" s="110">
        <f t="shared" si="10"/>
        <v>0</v>
      </c>
      <c r="X38" s="110">
        <f t="shared" si="10"/>
        <v>0</v>
      </c>
      <c r="Y38" s="110">
        <f t="shared" si="10"/>
        <v>0</v>
      </c>
      <c r="Z38" s="110">
        <f t="shared" si="10"/>
        <v>0</v>
      </c>
      <c r="AA38" s="110">
        <f t="shared" si="10"/>
        <v>1840000000</v>
      </c>
      <c r="AB38" s="110">
        <f t="shared" si="10"/>
        <v>0</v>
      </c>
      <c r="AC38" s="110">
        <f t="shared" si="10"/>
        <v>250000000</v>
      </c>
      <c r="AD38" s="110">
        <f t="shared" si="10"/>
        <v>2090000000</v>
      </c>
      <c r="AE38" s="110"/>
      <c r="AF38" s="544"/>
    </row>
    <row r="39" spans="1:89" ht="171" customHeight="1" x14ac:dyDescent="0.2">
      <c r="A39" s="103"/>
      <c r="B39" s="104"/>
      <c r="C39" s="104"/>
      <c r="D39" s="104"/>
      <c r="E39" s="111"/>
      <c r="F39" s="457"/>
      <c r="G39" s="193" t="s">
        <v>120</v>
      </c>
      <c r="H39" s="114">
        <v>4599002</v>
      </c>
      <c r="I39" s="500" t="s">
        <v>121</v>
      </c>
      <c r="J39" s="115">
        <v>459900201</v>
      </c>
      <c r="K39" s="126" t="s">
        <v>122</v>
      </c>
      <c r="L39" s="457" t="s">
        <v>45</v>
      </c>
      <c r="M39" s="147">
        <v>1</v>
      </c>
      <c r="N39" s="454" t="s">
        <v>123</v>
      </c>
      <c r="O39" s="192" t="s">
        <v>124</v>
      </c>
      <c r="P39" s="193" t="s">
        <v>125</v>
      </c>
      <c r="Q39" s="148"/>
      <c r="R39" s="148"/>
      <c r="S39" s="118"/>
      <c r="T39" s="148"/>
      <c r="U39" s="148"/>
      <c r="V39" s="148"/>
      <c r="W39" s="148"/>
      <c r="X39" s="148"/>
      <c r="Y39" s="148"/>
      <c r="Z39" s="148"/>
      <c r="AA39" s="197">
        <f>670000000+900000000</f>
        <v>1570000000</v>
      </c>
      <c r="AB39" s="148"/>
      <c r="AC39" s="149">
        <v>250000000</v>
      </c>
      <c r="AD39" s="120">
        <f>+Q39+R39+S39+T39+U39+V39+W39+X39+Y39+Z39+AA39+AB39+AC39</f>
        <v>1820000000</v>
      </c>
      <c r="AE39" s="120" t="s">
        <v>126</v>
      </c>
      <c r="AF39" s="546" t="s">
        <v>127</v>
      </c>
      <c r="AG39" s="1"/>
    </row>
    <row r="40" spans="1:89" ht="145.5" customHeight="1" x14ac:dyDescent="0.2">
      <c r="A40" s="103"/>
      <c r="B40" s="104"/>
      <c r="C40" s="104"/>
      <c r="D40" s="104"/>
      <c r="E40" s="111"/>
      <c r="F40" s="457"/>
      <c r="G40" s="193" t="s">
        <v>120</v>
      </c>
      <c r="H40" s="114">
        <v>4599002</v>
      </c>
      <c r="I40" s="500" t="s">
        <v>128</v>
      </c>
      <c r="J40" s="115">
        <v>459900200</v>
      </c>
      <c r="K40" s="126" t="s">
        <v>129</v>
      </c>
      <c r="L40" s="457" t="s">
        <v>45</v>
      </c>
      <c r="M40" s="147">
        <v>1</v>
      </c>
      <c r="N40" s="454" t="s">
        <v>130</v>
      </c>
      <c r="O40" s="192" t="s">
        <v>131</v>
      </c>
      <c r="P40" s="193" t="s">
        <v>132</v>
      </c>
      <c r="Q40" s="118"/>
      <c r="R40" s="118"/>
      <c r="S40" s="118"/>
      <c r="T40" s="118"/>
      <c r="U40" s="118"/>
      <c r="V40" s="118"/>
      <c r="W40" s="118"/>
      <c r="X40" s="118"/>
      <c r="Y40" s="118"/>
      <c r="Z40" s="118"/>
      <c r="AA40" s="150">
        <v>270000000</v>
      </c>
      <c r="AB40" s="118"/>
      <c r="AC40" s="118"/>
      <c r="AD40" s="120">
        <f>+Q40+R40+S40+T40+U40+V40+W40+X40+Y40+Z40+AA40+AB40+AC40</f>
        <v>270000000</v>
      </c>
      <c r="AE40" s="120" t="s">
        <v>126</v>
      </c>
      <c r="AF40" s="546" t="s">
        <v>127</v>
      </c>
      <c r="AG40" s="1"/>
    </row>
    <row r="41" spans="1:89" s="635" customFormat="1" ht="22.5" customHeight="1" x14ac:dyDescent="0.2">
      <c r="A41" s="630"/>
      <c r="B41" s="631"/>
      <c r="C41" s="631"/>
      <c r="D41" s="631"/>
      <c r="E41" s="632"/>
      <c r="F41" s="630"/>
      <c r="G41" s="607"/>
      <c r="H41" s="632"/>
      <c r="I41" s="607"/>
      <c r="J41" s="608"/>
      <c r="K41" s="609"/>
      <c r="L41" s="630"/>
      <c r="M41" s="608"/>
      <c r="N41" s="660"/>
      <c r="O41" s="609"/>
      <c r="P41" s="609"/>
      <c r="Q41" s="630"/>
      <c r="R41" s="630"/>
      <c r="S41" s="630"/>
      <c r="T41" s="630"/>
      <c r="U41" s="630"/>
      <c r="V41" s="630"/>
      <c r="W41" s="630"/>
      <c r="X41" s="630"/>
      <c r="Y41" s="630"/>
      <c r="Z41" s="630"/>
      <c r="AA41" s="630"/>
      <c r="AB41" s="630"/>
      <c r="AC41" s="630"/>
      <c r="AD41" s="630"/>
      <c r="AE41" s="630"/>
      <c r="AF41" s="634"/>
      <c r="AG41" s="441"/>
      <c r="AH41" s="441"/>
      <c r="AI41" s="441"/>
      <c r="AJ41" s="441"/>
      <c r="AK41" s="441"/>
      <c r="AL41" s="441"/>
      <c r="AM41" s="441"/>
      <c r="AN41" s="441"/>
      <c r="AO41" s="441"/>
      <c r="AP41" s="441"/>
      <c r="AQ41" s="441"/>
      <c r="AR41" s="441"/>
      <c r="AS41" s="441"/>
      <c r="AT41" s="441"/>
      <c r="AU41" s="441"/>
      <c r="AV41" s="441"/>
      <c r="AW41" s="441"/>
      <c r="AX41" s="441"/>
      <c r="AY41" s="441"/>
      <c r="AZ41" s="441"/>
      <c r="BA41" s="441"/>
      <c r="BB41" s="441"/>
      <c r="BC41" s="441"/>
      <c r="BD41" s="441"/>
      <c r="BE41" s="441"/>
      <c r="BF41" s="441"/>
      <c r="BG41" s="441"/>
      <c r="BH41" s="441"/>
      <c r="BI41" s="441"/>
      <c r="BJ41" s="441"/>
      <c r="BK41" s="441"/>
      <c r="BL41" s="441"/>
      <c r="BM41" s="441"/>
      <c r="BN41" s="441"/>
      <c r="BO41" s="441"/>
      <c r="BP41" s="441"/>
      <c r="BQ41" s="441"/>
      <c r="BR41" s="441"/>
      <c r="BS41" s="441"/>
      <c r="BT41" s="441"/>
      <c r="BU41" s="441"/>
      <c r="BV41" s="441"/>
      <c r="BW41" s="441"/>
      <c r="BX41" s="441"/>
      <c r="BY41" s="441"/>
      <c r="BZ41" s="441"/>
      <c r="CA41" s="441"/>
      <c r="CB41" s="441"/>
      <c r="CC41" s="441"/>
      <c r="CD41" s="441"/>
      <c r="CE41" s="441"/>
      <c r="CF41" s="441"/>
      <c r="CG41" s="441"/>
      <c r="CH41" s="441"/>
      <c r="CI41" s="441"/>
      <c r="CJ41" s="441"/>
      <c r="CK41" s="441"/>
    </row>
    <row r="42" spans="1:89" ht="30.75" customHeight="1" x14ac:dyDescent="0.2">
      <c r="A42" s="86" t="s">
        <v>133</v>
      </c>
      <c r="B42" s="86"/>
      <c r="C42" s="86"/>
      <c r="D42" s="86"/>
      <c r="E42" s="87"/>
      <c r="F42" s="88"/>
      <c r="G42" s="89"/>
      <c r="H42" s="90"/>
      <c r="I42" s="89"/>
      <c r="J42" s="92"/>
      <c r="K42" s="91"/>
      <c r="L42" s="93"/>
      <c r="M42" s="92"/>
      <c r="N42" s="88"/>
      <c r="O42" s="91"/>
      <c r="P42" s="91"/>
      <c r="Q42" s="144">
        <f t="shared" ref="Q42:AD42" si="11">Q43+Q59+Q79</f>
        <v>4469330595</v>
      </c>
      <c r="R42" s="144">
        <f t="shared" si="11"/>
        <v>0</v>
      </c>
      <c r="S42" s="144">
        <f t="shared" si="11"/>
        <v>0</v>
      </c>
      <c r="T42" s="144">
        <f t="shared" si="11"/>
        <v>0</v>
      </c>
      <c r="U42" s="144">
        <f t="shared" si="11"/>
        <v>0</v>
      </c>
      <c r="V42" s="144">
        <f t="shared" si="11"/>
        <v>0</v>
      </c>
      <c r="W42" s="144">
        <f t="shared" si="11"/>
        <v>0</v>
      </c>
      <c r="X42" s="144">
        <f t="shared" si="11"/>
        <v>0</v>
      </c>
      <c r="Y42" s="144">
        <f t="shared" si="11"/>
        <v>0</v>
      </c>
      <c r="Z42" s="144">
        <f t="shared" si="11"/>
        <v>2753011221</v>
      </c>
      <c r="AA42" s="144">
        <f t="shared" si="11"/>
        <v>779750000</v>
      </c>
      <c r="AB42" s="144">
        <f t="shared" si="11"/>
        <v>0</v>
      </c>
      <c r="AC42" s="144">
        <f t="shared" si="11"/>
        <v>0</v>
      </c>
      <c r="AD42" s="144">
        <f t="shared" si="11"/>
        <v>8002091816</v>
      </c>
      <c r="AE42" s="144"/>
      <c r="AF42" s="144"/>
      <c r="AG42" s="4">
        <v>8002091816</v>
      </c>
    </row>
    <row r="43" spans="1:89" ht="23.25" customHeight="1" x14ac:dyDescent="0.2">
      <c r="A43" s="103"/>
      <c r="B43" s="99">
        <v>1</v>
      </c>
      <c r="C43" s="594" t="s">
        <v>134</v>
      </c>
      <c r="D43" s="96"/>
      <c r="E43" s="365"/>
      <c r="F43" s="365"/>
      <c r="G43" s="365"/>
      <c r="H43" s="97"/>
      <c r="I43" s="489"/>
      <c r="J43" s="99"/>
      <c r="K43" s="98"/>
      <c r="L43" s="100"/>
      <c r="M43" s="99"/>
      <c r="N43" s="101"/>
      <c r="O43" s="98"/>
      <c r="P43" s="98"/>
      <c r="Q43" s="102">
        <f>Q44+Q47+Q50+Q53+Q56</f>
        <v>3919330595</v>
      </c>
      <c r="R43" s="102">
        <f t="shared" ref="R43:AC43" si="12">R44+R47+R50+R53+R56</f>
        <v>0</v>
      </c>
      <c r="S43" s="102">
        <f t="shared" si="12"/>
        <v>0</v>
      </c>
      <c r="T43" s="102">
        <f t="shared" si="12"/>
        <v>0</v>
      </c>
      <c r="U43" s="102">
        <f t="shared" si="12"/>
        <v>0</v>
      </c>
      <c r="V43" s="102">
        <f t="shared" si="12"/>
        <v>0</v>
      </c>
      <c r="W43" s="102">
        <f t="shared" si="12"/>
        <v>0</v>
      </c>
      <c r="X43" s="102">
        <f t="shared" si="12"/>
        <v>0</v>
      </c>
      <c r="Y43" s="102">
        <f t="shared" si="12"/>
        <v>0</v>
      </c>
      <c r="Z43" s="102">
        <f t="shared" si="12"/>
        <v>0</v>
      </c>
      <c r="AA43" s="102">
        <f t="shared" si="12"/>
        <v>91750000</v>
      </c>
      <c r="AB43" s="102">
        <f t="shared" si="12"/>
        <v>0</v>
      </c>
      <c r="AC43" s="102">
        <f t="shared" si="12"/>
        <v>0</v>
      </c>
      <c r="AD43" s="102">
        <f>AD44+AD47+AD50+AD53+AD56</f>
        <v>4011080595</v>
      </c>
      <c r="AE43" s="102"/>
      <c r="AF43" s="102"/>
    </row>
    <row r="44" spans="1:89" s="9" customFormat="1" ht="27.75" customHeight="1" x14ac:dyDescent="0.25">
      <c r="A44" s="95"/>
      <c r="B44" s="576"/>
      <c r="C44" s="593">
        <v>12</v>
      </c>
      <c r="D44" s="592" t="s">
        <v>1303</v>
      </c>
      <c r="E44" s="579"/>
      <c r="F44" s="580"/>
      <c r="G44" s="581"/>
      <c r="H44" s="582"/>
      <c r="I44" s="583"/>
      <c r="J44" s="584"/>
      <c r="K44" s="585"/>
      <c r="L44" s="583"/>
      <c r="M44" s="586"/>
      <c r="N44" s="588"/>
      <c r="O44" s="588"/>
      <c r="P44" s="589"/>
      <c r="Q44" s="589">
        <f>Q45</f>
        <v>0</v>
      </c>
      <c r="R44" s="589">
        <f t="shared" ref="R44:AD44" si="13">R45</f>
        <v>0</v>
      </c>
      <c r="S44" s="589">
        <f t="shared" si="13"/>
        <v>0</v>
      </c>
      <c r="T44" s="589">
        <f t="shared" si="13"/>
        <v>0</v>
      </c>
      <c r="U44" s="589">
        <f t="shared" si="13"/>
        <v>0</v>
      </c>
      <c r="V44" s="589">
        <f t="shared" si="13"/>
        <v>0</v>
      </c>
      <c r="W44" s="589">
        <f t="shared" si="13"/>
        <v>0</v>
      </c>
      <c r="X44" s="589">
        <f t="shared" si="13"/>
        <v>0</v>
      </c>
      <c r="Y44" s="589">
        <f t="shared" si="13"/>
        <v>0</v>
      </c>
      <c r="Z44" s="589">
        <f t="shared" si="13"/>
        <v>0</v>
      </c>
      <c r="AA44" s="589">
        <f t="shared" si="13"/>
        <v>23750000</v>
      </c>
      <c r="AB44" s="589">
        <f t="shared" si="13"/>
        <v>0</v>
      </c>
      <c r="AC44" s="589">
        <f t="shared" si="13"/>
        <v>0</v>
      </c>
      <c r="AD44" s="589">
        <f t="shared" si="13"/>
        <v>23750000</v>
      </c>
      <c r="AE44" s="589"/>
      <c r="AF44" s="589"/>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row>
    <row r="45" spans="1:89" ht="33" customHeight="1" x14ac:dyDescent="0.2">
      <c r="A45" s="103"/>
      <c r="B45" s="104"/>
      <c r="C45" s="104"/>
      <c r="D45" s="104"/>
      <c r="E45" s="74">
        <v>1202</v>
      </c>
      <c r="F45" s="732" t="s">
        <v>135</v>
      </c>
      <c r="G45" s="471"/>
      <c r="H45" s="107"/>
      <c r="I45" s="487"/>
      <c r="J45" s="74"/>
      <c r="K45" s="70"/>
      <c r="L45" s="108"/>
      <c r="M45" s="74"/>
      <c r="N45" s="109"/>
      <c r="O45" s="70"/>
      <c r="P45" s="70"/>
      <c r="Q45" s="110">
        <f t="shared" ref="Q45:AD45" si="14">Q46</f>
        <v>0</v>
      </c>
      <c r="R45" s="110">
        <f t="shared" si="14"/>
        <v>0</v>
      </c>
      <c r="S45" s="110">
        <f t="shared" si="14"/>
        <v>0</v>
      </c>
      <c r="T45" s="110">
        <f t="shared" si="14"/>
        <v>0</v>
      </c>
      <c r="U45" s="110">
        <f t="shared" si="14"/>
        <v>0</v>
      </c>
      <c r="V45" s="110">
        <f t="shared" si="14"/>
        <v>0</v>
      </c>
      <c r="W45" s="110">
        <f t="shared" si="14"/>
        <v>0</v>
      </c>
      <c r="X45" s="110">
        <f t="shared" si="14"/>
        <v>0</v>
      </c>
      <c r="Y45" s="110">
        <f t="shared" si="14"/>
        <v>0</v>
      </c>
      <c r="Z45" s="110">
        <f t="shared" si="14"/>
        <v>0</v>
      </c>
      <c r="AA45" s="110">
        <f>AA46</f>
        <v>23750000</v>
      </c>
      <c r="AB45" s="110">
        <f t="shared" si="14"/>
        <v>0</v>
      </c>
      <c r="AC45" s="110">
        <f t="shared" si="14"/>
        <v>0</v>
      </c>
      <c r="AD45" s="110">
        <f t="shared" si="14"/>
        <v>23750000</v>
      </c>
      <c r="AE45" s="110"/>
      <c r="AF45" s="110"/>
    </row>
    <row r="46" spans="1:89" ht="217.5" customHeight="1" x14ac:dyDescent="0.2">
      <c r="A46" s="103"/>
      <c r="B46" s="104"/>
      <c r="C46" s="104"/>
      <c r="D46" s="104"/>
      <c r="E46" s="111"/>
      <c r="F46" s="457"/>
      <c r="G46" s="152" t="s">
        <v>136</v>
      </c>
      <c r="H46" s="786" t="s">
        <v>137</v>
      </c>
      <c r="I46" s="257" t="s">
        <v>138</v>
      </c>
      <c r="J46" s="896" t="s">
        <v>137</v>
      </c>
      <c r="K46" s="257" t="s">
        <v>139</v>
      </c>
      <c r="L46" s="457" t="s">
        <v>57</v>
      </c>
      <c r="M46" s="470">
        <v>3</v>
      </c>
      <c r="N46" s="112" t="s">
        <v>140</v>
      </c>
      <c r="O46" s="935" t="s">
        <v>141</v>
      </c>
      <c r="P46" s="480" t="s">
        <v>142</v>
      </c>
      <c r="Q46" s="154"/>
      <c r="R46" s="118"/>
      <c r="S46" s="118"/>
      <c r="T46" s="118"/>
      <c r="U46" s="118"/>
      <c r="V46" s="118"/>
      <c r="W46" s="118"/>
      <c r="X46" s="118"/>
      <c r="Y46" s="118"/>
      <c r="Z46" s="118"/>
      <c r="AA46" s="132">
        <v>23750000</v>
      </c>
      <c r="AB46" s="118"/>
      <c r="AC46" s="155"/>
      <c r="AD46" s="120">
        <f>+Q46+R46+S46+T46+U46+V46+W46+X46+Y46+Z46+AA46+AB46+AC46</f>
        <v>23750000</v>
      </c>
      <c r="AE46" s="156" t="s">
        <v>143</v>
      </c>
      <c r="AF46" s="546" t="s">
        <v>144</v>
      </c>
      <c r="AG46" s="1"/>
    </row>
    <row r="47" spans="1:89" s="9" customFormat="1" ht="27.75" customHeight="1" x14ac:dyDescent="0.25">
      <c r="A47" s="95"/>
      <c r="B47" s="576"/>
      <c r="C47" s="593">
        <v>19</v>
      </c>
      <c r="D47" s="592" t="s">
        <v>1304</v>
      </c>
      <c r="E47" s="579"/>
      <c r="F47" s="580"/>
      <c r="G47" s="581"/>
      <c r="H47" s="582"/>
      <c r="I47" s="583"/>
      <c r="J47" s="584"/>
      <c r="K47" s="585"/>
      <c r="L47" s="583"/>
      <c r="M47" s="586"/>
      <c r="N47" s="588"/>
      <c r="O47" s="588"/>
      <c r="P47" s="589"/>
      <c r="Q47" s="589">
        <f>Q48</f>
        <v>0</v>
      </c>
      <c r="R47" s="589">
        <f t="shared" ref="R47:AD47" si="15">R48</f>
        <v>0</v>
      </c>
      <c r="S47" s="589">
        <f t="shared" si="15"/>
        <v>0</v>
      </c>
      <c r="T47" s="589">
        <f t="shared" si="15"/>
        <v>0</v>
      </c>
      <c r="U47" s="589">
        <f t="shared" si="15"/>
        <v>0</v>
      </c>
      <c r="V47" s="589">
        <f t="shared" si="15"/>
        <v>0</v>
      </c>
      <c r="W47" s="589">
        <f t="shared" si="15"/>
        <v>0</v>
      </c>
      <c r="X47" s="589">
        <f t="shared" si="15"/>
        <v>0</v>
      </c>
      <c r="Y47" s="589">
        <f t="shared" si="15"/>
        <v>0</v>
      </c>
      <c r="Z47" s="589">
        <f t="shared" si="15"/>
        <v>0</v>
      </c>
      <c r="AA47" s="589">
        <f t="shared" si="15"/>
        <v>38000000</v>
      </c>
      <c r="AB47" s="589">
        <f t="shared" si="15"/>
        <v>0</v>
      </c>
      <c r="AC47" s="589">
        <f t="shared" si="15"/>
        <v>0</v>
      </c>
      <c r="AD47" s="589">
        <f t="shared" si="15"/>
        <v>38000000</v>
      </c>
      <c r="AE47" s="590"/>
      <c r="AF47" s="590"/>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row>
    <row r="48" spans="1:89" ht="30.75" customHeight="1" x14ac:dyDescent="0.2">
      <c r="A48" s="103"/>
      <c r="B48" s="104"/>
      <c r="C48" s="104"/>
      <c r="D48" s="104"/>
      <c r="E48" s="74">
        <v>1906</v>
      </c>
      <c r="F48" s="471" t="s">
        <v>145</v>
      </c>
      <c r="G48" s="471"/>
      <c r="H48" s="107"/>
      <c r="I48" s="487"/>
      <c r="J48" s="74"/>
      <c r="K48" s="70"/>
      <c r="L48" s="108"/>
      <c r="M48" s="74"/>
      <c r="N48" s="109"/>
      <c r="O48" s="70"/>
      <c r="P48" s="70"/>
      <c r="Q48" s="110">
        <f t="shared" ref="Q48:AD48" si="16">Q49</f>
        <v>0</v>
      </c>
      <c r="R48" s="110">
        <f t="shared" si="16"/>
        <v>0</v>
      </c>
      <c r="S48" s="110">
        <f t="shared" si="16"/>
        <v>0</v>
      </c>
      <c r="T48" s="110">
        <f t="shared" si="16"/>
        <v>0</v>
      </c>
      <c r="U48" s="110">
        <f t="shared" si="16"/>
        <v>0</v>
      </c>
      <c r="V48" s="110">
        <f t="shared" si="16"/>
        <v>0</v>
      </c>
      <c r="W48" s="110">
        <f t="shared" si="16"/>
        <v>0</v>
      </c>
      <c r="X48" s="110">
        <f t="shared" si="16"/>
        <v>0</v>
      </c>
      <c r="Y48" s="110">
        <f t="shared" si="16"/>
        <v>0</v>
      </c>
      <c r="Z48" s="110">
        <f t="shared" si="16"/>
        <v>0</v>
      </c>
      <c r="AA48" s="110">
        <f t="shared" si="16"/>
        <v>38000000</v>
      </c>
      <c r="AB48" s="110">
        <f t="shared" si="16"/>
        <v>0</v>
      </c>
      <c r="AC48" s="110">
        <f t="shared" si="16"/>
        <v>0</v>
      </c>
      <c r="AD48" s="110">
        <f t="shared" si="16"/>
        <v>38000000</v>
      </c>
      <c r="AE48" s="110"/>
      <c r="AF48" s="544"/>
    </row>
    <row r="49" spans="1:88" ht="156.75" customHeight="1" x14ac:dyDescent="0.2">
      <c r="A49" s="103"/>
      <c r="B49" s="104"/>
      <c r="C49" s="104"/>
      <c r="D49" s="104"/>
      <c r="E49" s="111"/>
      <c r="F49" s="457"/>
      <c r="G49" s="140" t="s">
        <v>146</v>
      </c>
      <c r="H49" s="124">
        <v>1906015</v>
      </c>
      <c r="I49" s="257" t="s">
        <v>147</v>
      </c>
      <c r="J49" s="157">
        <v>190601500</v>
      </c>
      <c r="K49" s="71" t="s">
        <v>148</v>
      </c>
      <c r="L49" s="457" t="s">
        <v>57</v>
      </c>
      <c r="M49" s="116">
        <v>1</v>
      </c>
      <c r="N49" s="112" t="s">
        <v>149</v>
      </c>
      <c r="O49" s="934" t="s">
        <v>150</v>
      </c>
      <c r="P49" s="199" t="s">
        <v>151</v>
      </c>
      <c r="Q49" s="154"/>
      <c r="R49" s="118"/>
      <c r="S49" s="118"/>
      <c r="T49" s="118"/>
      <c r="U49" s="118"/>
      <c r="V49" s="118"/>
      <c r="W49" s="118"/>
      <c r="X49" s="118"/>
      <c r="Y49" s="118"/>
      <c r="Z49" s="118"/>
      <c r="AA49" s="132">
        <v>38000000</v>
      </c>
      <c r="AB49" s="118"/>
      <c r="AC49" s="155"/>
      <c r="AD49" s="120">
        <f>+Q49+R49+S49+T49+U49+V49+W49+X49+Y49+Z49+AA49+AB49+AC49</f>
        <v>38000000</v>
      </c>
      <c r="AE49" s="156" t="s">
        <v>143</v>
      </c>
      <c r="AF49" s="546" t="s">
        <v>144</v>
      </c>
      <c r="AG49" s="1"/>
    </row>
    <row r="50" spans="1:88" s="9" customFormat="1" ht="27.75" customHeight="1" x14ac:dyDescent="0.25">
      <c r="A50" s="95"/>
      <c r="B50" s="576"/>
      <c r="C50" s="593">
        <v>22</v>
      </c>
      <c r="D50" s="592" t="s">
        <v>266</v>
      </c>
      <c r="E50" s="579"/>
      <c r="F50" s="580"/>
      <c r="G50" s="581"/>
      <c r="H50" s="582"/>
      <c r="I50" s="583"/>
      <c r="J50" s="584"/>
      <c r="K50" s="585"/>
      <c r="L50" s="583"/>
      <c r="M50" s="586"/>
      <c r="N50" s="588"/>
      <c r="O50" s="588"/>
      <c r="P50" s="589"/>
      <c r="Q50" s="589">
        <f>Q51</f>
        <v>2083257220</v>
      </c>
      <c r="R50" s="589">
        <f t="shared" ref="R50:AD50" si="17">R51</f>
        <v>0</v>
      </c>
      <c r="S50" s="589">
        <f t="shared" si="17"/>
        <v>0</v>
      </c>
      <c r="T50" s="589">
        <f t="shared" si="17"/>
        <v>0</v>
      </c>
      <c r="U50" s="589">
        <f t="shared" si="17"/>
        <v>0</v>
      </c>
      <c r="V50" s="589">
        <f t="shared" si="17"/>
        <v>0</v>
      </c>
      <c r="W50" s="589">
        <f t="shared" si="17"/>
        <v>0</v>
      </c>
      <c r="X50" s="589">
        <f t="shared" si="17"/>
        <v>0</v>
      </c>
      <c r="Y50" s="589">
        <f t="shared" si="17"/>
        <v>0</v>
      </c>
      <c r="Z50" s="589">
        <f t="shared" si="17"/>
        <v>0</v>
      </c>
      <c r="AA50" s="589">
        <f t="shared" si="17"/>
        <v>0</v>
      </c>
      <c r="AB50" s="589">
        <f t="shared" si="17"/>
        <v>0</v>
      </c>
      <c r="AC50" s="589">
        <f t="shared" si="17"/>
        <v>0</v>
      </c>
      <c r="AD50" s="589">
        <f t="shared" si="17"/>
        <v>2083257220</v>
      </c>
      <c r="AE50" s="590"/>
      <c r="AF50" s="590"/>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row>
    <row r="51" spans="1:88" ht="30" customHeight="1" x14ac:dyDescent="0.2">
      <c r="A51" s="103"/>
      <c r="B51" s="104"/>
      <c r="C51" s="104"/>
      <c r="D51" s="104"/>
      <c r="E51" s="74">
        <v>2201</v>
      </c>
      <c r="F51" s="471" t="s">
        <v>152</v>
      </c>
      <c r="G51" s="471"/>
      <c r="H51" s="573"/>
      <c r="I51" s="574"/>
      <c r="J51" s="74"/>
      <c r="K51" s="70"/>
      <c r="L51" s="108"/>
      <c r="M51" s="74"/>
      <c r="N51" s="109"/>
      <c r="O51" s="70"/>
      <c r="P51" s="70"/>
      <c r="Q51" s="110">
        <f t="shared" ref="Q51:AD51" si="18">Q52</f>
        <v>2083257220</v>
      </c>
      <c r="R51" s="110">
        <f t="shared" si="18"/>
        <v>0</v>
      </c>
      <c r="S51" s="110">
        <f t="shared" si="18"/>
        <v>0</v>
      </c>
      <c r="T51" s="110">
        <f t="shared" si="18"/>
        <v>0</v>
      </c>
      <c r="U51" s="110">
        <f t="shared" si="18"/>
        <v>0</v>
      </c>
      <c r="V51" s="110">
        <f t="shared" si="18"/>
        <v>0</v>
      </c>
      <c r="W51" s="110">
        <f t="shared" si="18"/>
        <v>0</v>
      </c>
      <c r="X51" s="110">
        <f t="shared" si="18"/>
        <v>0</v>
      </c>
      <c r="Y51" s="110">
        <f t="shared" si="18"/>
        <v>0</v>
      </c>
      <c r="Z51" s="110">
        <f t="shared" si="18"/>
        <v>0</v>
      </c>
      <c r="AA51" s="110">
        <f t="shared" si="18"/>
        <v>0</v>
      </c>
      <c r="AB51" s="110">
        <f t="shared" si="18"/>
        <v>0</v>
      </c>
      <c r="AC51" s="110">
        <f t="shared" si="18"/>
        <v>0</v>
      </c>
      <c r="AD51" s="110">
        <f t="shared" si="18"/>
        <v>2083257220</v>
      </c>
      <c r="AE51" s="110"/>
      <c r="AF51" s="544"/>
    </row>
    <row r="52" spans="1:88" ht="173.25" customHeight="1" x14ac:dyDescent="0.2">
      <c r="A52" s="103"/>
      <c r="B52" s="104"/>
      <c r="C52" s="104"/>
      <c r="D52" s="104"/>
      <c r="E52" s="111"/>
      <c r="F52" s="457"/>
      <c r="G52" s="140" t="s">
        <v>153</v>
      </c>
      <c r="H52" s="135">
        <v>2201062</v>
      </c>
      <c r="I52" s="193" t="s">
        <v>154</v>
      </c>
      <c r="J52" s="135">
        <v>220106200</v>
      </c>
      <c r="K52" s="192" t="s">
        <v>155</v>
      </c>
      <c r="L52" s="457" t="s">
        <v>57</v>
      </c>
      <c r="M52" s="470">
        <v>15</v>
      </c>
      <c r="N52" s="454" t="s">
        <v>156</v>
      </c>
      <c r="O52" s="199" t="s">
        <v>157</v>
      </c>
      <c r="P52" s="199" t="s">
        <v>158</v>
      </c>
      <c r="Q52" s="158">
        <v>2083257220</v>
      </c>
      <c r="R52" s="118"/>
      <c r="S52" s="118"/>
      <c r="T52" s="118"/>
      <c r="U52" s="118"/>
      <c r="V52" s="118"/>
      <c r="W52" s="118"/>
      <c r="X52" s="118"/>
      <c r="Y52" s="118"/>
      <c r="Z52" s="118"/>
      <c r="AA52" s="132"/>
      <c r="AB52" s="118"/>
      <c r="AC52" s="155"/>
      <c r="AD52" s="120">
        <f>+Q52+R52+S52+T52+U52+V52+W52+X52+Y52+Z52+AA52+AB52+AC52</f>
        <v>2083257220</v>
      </c>
      <c r="AE52" s="156" t="s">
        <v>143</v>
      </c>
      <c r="AF52" s="546" t="s">
        <v>144</v>
      </c>
      <c r="AG52" s="1"/>
    </row>
    <row r="53" spans="1:88" s="9" customFormat="1" ht="27.75" customHeight="1" x14ac:dyDescent="0.25">
      <c r="A53" s="95"/>
      <c r="B53" s="576"/>
      <c r="C53" s="593">
        <v>33</v>
      </c>
      <c r="D53" s="592" t="s">
        <v>1305</v>
      </c>
      <c r="E53" s="579"/>
      <c r="F53" s="580"/>
      <c r="G53" s="581"/>
      <c r="H53" s="582"/>
      <c r="I53" s="583"/>
      <c r="J53" s="584"/>
      <c r="K53" s="585"/>
      <c r="L53" s="583"/>
      <c r="M53" s="586"/>
      <c r="N53" s="588"/>
      <c r="O53" s="588"/>
      <c r="P53" s="589"/>
      <c r="Q53" s="589">
        <f>Q54</f>
        <v>0</v>
      </c>
      <c r="R53" s="589">
        <f t="shared" ref="R53:AC53" si="19">R54</f>
        <v>0</v>
      </c>
      <c r="S53" s="589">
        <f t="shared" si="19"/>
        <v>0</v>
      </c>
      <c r="T53" s="589">
        <f t="shared" si="19"/>
        <v>0</v>
      </c>
      <c r="U53" s="589">
        <f t="shared" si="19"/>
        <v>0</v>
      </c>
      <c r="V53" s="589">
        <f t="shared" si="19"/>
        <v>0</v>
      </c>
      <c r="W53" s="589">
        <f t="shared" si="19"/>
        <v>0</v>
      </c>
      <c r="X53" s="589">
        <f t="shared" si="19"/>
        <v>0</v>
      </c>
      <c r="Y53" s="589">
        <f t="shared" si="19"/>
        <v>0</v>
      </c>
      <c r="Z53" s="589">
        <f t="shared" si="19"/>
        <v>0</v>
      </c>
      <c r="AA53" s="589">
        <f t="shared" si="19"/>
        <v>30000000</v>
      </c>
      <c r="AB53" s="589">
        <f t="shared" si="19"/>
        <v>0</v>
      </c>
      <c r="AC53" s="589">
        <f t="shared" si="19"/>
        <v>0</v>
      </c>
      <c r="AD53" s="589">
        <f>AD54</f>
        <v>30000000</v>
      </c>
      <c r="AE53" s="590"/>
      <c r="AF53" s="590"/>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row>
    <row r="54" spans="1:88" ht="63" customHeight="1" x14ac:dyDescent="0.2">
      <c r="A54" s="103"/>
      <c r="B54" s="104"/>
      <c r="C54" s="104"/>
      <c r="D54" s="104"/>
      <c r="E54" s="74">
        <v>3301</v>
      </c>
      <c r="F54" s="471" t="s">
        <v>159</v>
      </c>
      <c r="G54" s="471"/>
      <c r="H54" s="573"/>
      <c r="I54" s="574"/>
      <c r="J54" s="74"/>
      <c r="K54" s="70"/>
      <c r="L54" s="108"/>
      <c r="M54" s="74"/>
      <c r="N54" s="109"/>
      <c r="O54" s="481"/>
      <c r="P54" s="481"/>
      <c r="Q54" s="110">
        <f>SUM(Q55)</f>
        <v>0</v>
      </c>
      <c r="R54" s="110">
        <f t="shared" ref="R54:Z54" si="20">SUM(R55:R58)</f>
        <v>0</v>
      </c>
      <c r="S54" s="110">
        <f t="shared" si="20"/>
        <v>0</v>
      </c>
      <c r="T54" s="110">
        <f t="shared" si="20"/>
        <v>0</v>
      </c>
      <c r="U54" s="110">
        <f t="shared" si="20"/>
        <v>0</v>
      </c>
      <c r="V54" s="110">
        <f t="shared" si="20"/>
        <v>0</v>
      </c>
      <c r="W54" s="110">
        <f t="shared" si="20"/>
        <v>0</v>
      </c>
      <c r="X54" s="110">
        <f t="shared" si="20"/>
        <v>0</v>
      </c>
      <c r="Y54" s="110">
        <f t="shared" si="20"/>
        <v>0</v>
      </c>
      <c r="Z54" s="110">
        <f t="shared" si="20"/>
        <v>0</v>
      </c>
      <c r="AA54" s="110">
        <f>SUM(AA55)</f>
        <v>30000000</v>
      </c>
      <c r="AB54" s="110">
        <f>SUM(AB55:AB58)</f>
        <v>0</v>
      </c>
      <c r="AC54" s="110">
        <f>SUM(AC55:AC58)</f>
        <v>0</v>
      </c>
      <c r="AD54" s="110">
        <f>SUM(AD55)</f>
        <v>30000000</v>
      </c>
      <c r="AE54" s="110"/>
      <c r="AF54" s="544"/>
    </row>
    <row r="55" spans="1:88" ht="96" customHeight="1" x14ac:dyDescent="0.2">
      <c r="A55" s="103"/>
      <c r="B55" s="104"/>
      <c r="C55" s="104"/>
      <c r="D55" s="104"/>
      <c r="E55" s="111"/>
      <c r="F55" s="159"/>
      <c r="G55" s="140" t="s">
        <v>160</v>
      </c>
      <c r="H55" s="461" t="s">
        <v>161</v>
      </c>
      <c r="I55" s="193" t="s">
        <v>162</v>
      </c>
      <c r="J55" s="160" t="s">
        <v>163</v>
      </c>
      <c r="K55" s="257" t="s">
        <v>164</v>
      </c>
      <c r="L55" s="457" t="s">
        <v>57</v>
      </c>
      <c r="M55" s="470">
        <v>2</v>
      </c>
      <c r="N55" s="454" t="s">
        <v>165</v>
      </c>
      <c r="O55" s="199" t="s">
        <v>166</v>
      </c>
      <c r="P55" s="199" t="s">
        <v>167</v>
      </c>
      <c r="Q55" s="118"/>
      <c r="R55" s="118"/>
      <c r="S55" s="118"/>
      <c r="T55" s="118"/>
      <c r="U55" s="118"/>
      <c r="V55" s="118"/>
      <c r="W55" s="118"/>
      <c r="X55" s="118"/>
      <c r="Y55" s="118"/>
      <c r="Z55" s="118"/>
      <c r="AA55" s="161">
        <v>30000000</v>
      </c>
      <c r="AB55" s="118"/>
      <c r="AC55" s="118"/>
      <c r="AD55" s="120">
        <f>+Q55+R55+S55+T55+U55+V55+W55+X55+Y55+Z55+AA55+AB55+AC55</f>
        <v>30000000</v>
      </c>
      <c r="AE55" s="156" t="s">
        <v>143</v>
      </c>
      <c r="AF55" s="546" t="s">
        <v>144</v>
      </c>
      <c r="AG55" s="1"/>
    </row>
    <row r="56" spans="1:88" s="9" customFormat="1" ht="27.75" customHeight="1" x14ac:dyDescent="0.25">
      <c r="A56" s="95"/>
      <c r="B56" s="576"/>
      <c r="C56" s="593">
        <v>43</v>
      </c>
      <c r="D56" s="592" t="s">
        <v>1306</v>
      </c>
      <c r="E56" s="579"/>
      <c r="F56" s="580"/>
      <c r="G56" s="581"/>
      <c r="H56" s="582"/>
      <c r="I56" s="583"/>
      <c r="J56" s="584"/>
      <c r="K56" s="585"/>
      <c r="L56" s="583"/>
      <c r="M56" s="586"/>
      <c r="N56" s="588"/>
      <c r="O56" s="588"/>
      <c r="P56" s="589"/>
      <c r="Q56" s="589">
        <f>Q57</f>
        <v>1836073375</v>
      </c>
      <c r="R56" s="589">
        <f t="shared" ref="R56:AD56" si="21">R57</f>
        <v>0</v>
      </c>
      <c r="S56" s="589">
        <f t="shared" si="21"/>
        <v>0</v>
      </c>
      <c r="T56" s="589">
        <f t="shared" si="21"/>
        <v>0</v>
      </c>
      <c r="U56" s="589">
        <f t="shared" si="21"/>
        <v>0</v>
      </c>
      <c r="V56" s="589">
        <f t="shared" si="21"/>
        <v>0</v>
      </c>
      <c r="W56" s="589">
        <f t="shared" si="21"/>
        <v>0</v>
      </c>
      <c r="X56" s="589">
        <f t="shared" si="21"/>
        <v>0</v>
      </c>
      <c r="Y56" s="589">
        <f t="shared" si="21"/>
        <v>0</v>
      </c>
      <c r="Z56" s="589">
        <f t="shared" si="21"/>
        <v>0</v>
      </c>
      <c r="AA56" s="589">
        <f t="shared" si="21"/>
        <v>0</v>
      </c>
      <c r="AB56" s="589">
        <f t="shared" si="21"/>
        <v>0</v>
      </c>
      <c r="AC56" s="589">
        <f t="shared" si="21"/>
        <v>0</v>
      </c>
      <c r="AD56" s="589">
        <f t="shared" si="21"/>
        <v>1836073375</v>
      </c>
      <c r="AE56" s="590"/>
      <c r="AF56" s="590"/>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row>
    <row r="57" spans="1:88" ht="48.75" customHeight="1" x14ac:dyDescent="0.2">
      <c r="A57" s="103"/>
      <c r="B57" s="104"/>
      <c r="C57" s="104"/>
      <c r="D57" s="104"/>
      <c r="E57" s="74">
        <v>4301</v>
      </c>
      <c r="F57" s="471" t="s">
        <v>168</v>
      </c>
      <c r="G57" s="471"/>
      <c r="H57" s="107"/>
      <c r="I57" s="487"/>
      <c r="J57" s="74"/>
      <c r="K57" s="70"/>
      <c r="L57" s="70"/>
      <c r="M57" s="74"/>
      <c r="N57" s="109"/>
      <c r="O57" s="481"/>
      <c r="P57" s="481"/>
      <c r="Q57" s="110">
        <f t="shared" ref="Q57:AD57" si="22">Q58</f>
        <v>1836073375</v>
      </c>
      <c r="R57" s="110">
        <f t="shared" si="22"/>
        <v>0</v>
      </c>
      <c r="S57" s="110">
        <f t="shared" si="22"/>
        <v>0</v>
      </c>
      <c r="T57" s="110">
        <f t="shared" si="22"/>
        <v>0</v>
      </c>
      <c r="U57" s="110">
        <f t="shared" si="22"/>
        <v>0</v>
      </c>
      <c r="V57" s="110">
        <f t="shared" si="22"/>
        <v>0</v>
      </c>
      <c r="W57" s="110">
        <f t="shared" si="22"/>
        <v>0</v>
      </c>
      <c r="X57" s="110">
        <f t="shared" si="22"/>
        <v>0</v>
      </c>
      <c r="Y57" s="110">
        <f t="shared" si="22"/>
        <v>0</v>
      </c>
      <c r="Z57" s="110">
        <f t="shared" si="22"/>
        <v>0</v>
      </c>
      <c r="AA57" s="110">
        <f t="shared" si="22"/>
        <v>0</v>
      </c>
      <c r="AB57" s="110">
        <f t="shared" si="22"/>
        <v>0</v>
      </c>
      <c r="AC57" s="110">
        <f t="shared" si="22"/>
        <v>0</v>
      </c>
      <c r="AD57" s="110">
        <f t="shared" si="22"/>
        <v>1836073375</v>
      </c>
      <c r="AE57" s="110"/>
      <c r="AF57" s="544"/>
      <c r="AG57" s="1"/>
    </row>
    <row r="58" spans="1:88" ht="161.25" customHeight="1" x14ac:dyDescent="0.2">
      <c r="A58" s="103"/>
      <c r="B58" s="104"/>
      <c r="C58" s="104"/>
      <c r="D58" s="104"/>
      <c r="E58" s="111"/>
      <c r="F58" s="457"/>
      <c r="G58" s="152" t="s">
        <v>169</v>
      </c>
      <c r="H58" s="115">
        <v>4301004</v>
      </c>
      <c r="I58" s="257" t="s">
        <v>170</v>
      </c>
      <c r="J58" s="115">
        <v>430100401</v>
      </c>
      <c r="K58" s="257" t="s">
        <v>171</v>
      </c>
      <c r="L58" s="457" t="s">
        <v>57</v>
      </c>
      <c r="M58" s="470">
        <v>3</v>
      </c>
      <c r="N58" s="454" t="s">
        <v>172</v>
      </c>
      <c r="O58" s="199" t="s">
        <v>173</v>
      </c>
      <c r="P58" s="199" t="s">
        <v>174</v>
      </c>
      <c r="Q58" s="162">
        <f>1800000000+16073375+20000000</f>
        <v>1836073375</v>
      </c>
      <c r="R58" s="118"/>
      <c r="S58" s="118"/>
      <c r="T58" s="118"/>
      <c r="U58" s="118"/>
      <c r="V58" s="118"/>
      <c r="W58" s="118"/>
      <c r="X58" s="118"/>
      <c r="Y58" s="118"/>
      <c r="Z58" s="118"/>
      <c r="AA58" s="132"/>
      <c r="AB58" s="118"/>
      <c r="AC58" s="118"/>
      <c r="AD58" s="120">
        <f>+Q58+R58+S58+T58+U58+V58+W58+X58+Y58+Z58+AA58+AB58+AC58</f>
        <v>1836073375</v>
      </c>
      <c r="AE58" s="156" t="s">
        <v>143</v>
      </c>
      <c r="AF58" s="546" t="s">
        <v>144</v>
      </c>
      <c r="AG58" s="1"/>
    </row>
    <row r="59" spans="1:88" ht="30.75" customHeight="1" x14ac:dyDescent="0.2">
      <c r="A59" s="103"/>
      <c r="B59" s="99">
        <v>3</v>
      </c>
      <c r="C59" s="569" t="s">
        <v>175</v>
      </c>
      <c r="D59" s="96"/>
      <c r="E59" s="591"/>
      <c r="F59" s="365"/>
      <c r="G59" s="614"/>
      <c r="H59" s="615"/>
      <c r="I59" s="616"/>
      <c r="J59" s="617"/>
      <c r="K59" s="620"/>
      <c r="L59" s="628"/>
      <c r="M59" s="617"/>
      <c r="N59" s="619"/>
      <c r="O59" s="620"/>
      <c r="P59" s="618"/>
      <c r="Q59" s="102">
        <f>Q60+Q65+Q69</f>
        <v>550000000</v>
      </c>
      <c r="R59" s="102">
        <f t="shared" ref="R59:AC59" si="23">R60+R65+R69</f>
        <v>0</v>
      </c>
      <c r="S59" s="102">
        <f t="shared" si="23"/>
        <v>0</v>
      </c>
      <c r="T59" s="102">
        <f t="shared" si="23"/>
        <v>0</v>
      </c>
      <c r="U59" s="102">
        <f t="shared" si="23"/>
        <v>0</v>
      </c>
      <c r="V59" s="102">
        <f t="shared" si="23"/>
        <v>0</v>
      </c>
      <c r="W59" s="102">
        <f t="shared" si="23"/>
        <v>0</v>
      </c>
      <c r="X59" s="102">
        <f t="shared" si="23"/>
        <v>0</v>
      </c>
      <c r="Y59" s="102">
        <f t="shared" si="23"/>
        <v>0</v>
      </c>
      <c r="Z59" s="102">
        <f t="shared" si="23"/>
        <v>2753011221</v>
      </c>
      <c r="AA59" s="102">
        <f t="shared" si="23"/>
        <v>610000000</v>
      </c>
      <c r="AB59" s="102">
        <f t="shared" si="23"/>
        <v>0</v>
      </c>
      <c r="AC59" s="102">
        <f t="shared" si="23"/>
        <v>0</v>
      </c>
      <c r="AD59" s="102">
        <f>AD60+AD65+AD69</f>
        <v>3913011221</v>
      </c>
      <c r="AE59" s="102">
        <f>AE61+AE66+AE70+AE72</f>
        <v>0</v>
      </c>
      <c r="AF59" s="543"/>
      <c r="AG59" s="1"/>
    </row>
    <row r="60" spans="1:88" s="9" customFormat="1" ht="27.75" customHeight="1" x14ac:dyDescent="0.25">
      <c r="A60" s="95"/>
      <c r="B60" s="576"/>
      <c r="C60" s="593">
        <v>24</v>
      </c>
      <c r="D60" s="592" t="s">
        <v>180</v>
      </c>
      <c r="E60" s="579"/>
      <c r="F60" s="580"/>
      <c r="G60" s="581"/>
      <c r="H60" s="582"/>
      <c r="I60" s="583"/>
      <c r="J60" s="584"/>
      <c r="K60" s="585"/>
      <c r="L60" s="583"/>
      <c r="M60" s="586"/>
      <c r="N60" s="584"/>
      <c r="O60" s="584"/>
      <c r="P60" s="629"/>
      <c r="Q60" s="589">
        <f>Q61</f>
        <v>0</v>
      </c>
      <c r="R60" s="589">
        <f t="shared" ref="R60:AD60" si="24">R61</f>
        <v>0</v>
      </c>
      <c r="S60" s="589">
        <f t="shared" si="24"/>
        <v>0</v>
      </c>
      <c r="T60" s="589">
        <f t="shared" si="24"/>
        <v>0</v>
      </c>
      <c r="U60" s="589">
        <f t="shared" si="24"/>
        <v>0</v>
      </c>
      <c r="V60" s="589">
        <f t="shared" si="24"/>
        <v>0</v>
      </c>
      <c r="W60" s="589">
        <f t="shared" si="24"/>
        <v>0</v>
      </c>
      <c r="X60" s="589">
        <f t="shared" si="24"/>
        <v>0</v>
      </c>
      <c r="Y60" s="589">
        <f t="shared" si="24"/>
        <v>0</v>
      </c>
      <c r="Z60" s="589">
        <f t="shared" si="24"/>
        <v>0</v>
      </c>
      <c r="AA60" s="589">
        <f t="shared" si="24"/>
        <v>390000000</v>
      </c>
      <c r="AB60" s="589">
        <f t="shared" si="24"/>
        <v>0</v>
      </c>
      <c r="AC60" s="589">
        <f t="shared" si="24"/>
        <v>0</v>
      </c>
      <c r="AD60" s="589">
        <f t="shared" si="24"/>
        <v>390000000</v>
      </c>
      <c r="AE60" s="590"/>
      <c r="AF60" s="590"/>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row>
    <row r="61" spans="1:88" ht="26.25" customHeight="1" x14ac:dyDescent="0.2">
      <c r="A61" s="103"/>
      <c r="B61" s="104"/>
      <c r="C61" s="104"/>
      <c r="D61" s="104"/>
      <c r="E61" s="74">
        <v>2402</v>
      </c>
      <c r="F61" s="471" t="s">
        <v>176</v>
      </c>
      <c r="G61" s="473"/>
      <c r="H61" s="627"/>
      <c r="I61" s="621"/>
      <c r="J61" s="622"/>
      <c r="K61" s="623"/>
      <c r="L61" s="624"/>
      <c r="M61" s="622"/>
      <c r="N61" s="625"/>
      <c r="O61" s="623"/>
      <c r="P61" s="626"/>
      <c r="Q61" s="110">
        <f>SUM(Q62:Q64)</f>
        <v>0</v>
      </c>
      <c r="R61" s="110">
        <f t="shared" ref="R61:AD61" si="25">SUM(R62:R64)</f>
        <v>0</v>
      </c>
      <c r="S61" s="110">
        <f t="shared" si="25"/>
        <v>0</v>
      </c>
      <c r="T61" s="110">
        <f t="shared" si="25"/>
        <v>0</v>
      </c>
      <c r="U61" s="110">
        <f t="shared" si="25"/>
        <v>0</v>
      </c>
      <c r="V61" s="110">
        <f t="shared" si="25"/>
        <v>0</v>
      </c>
      <c r="W61" s="110">
        <f t="shared" si="25"/>
        <v>0</v>
      </c>
      <c r="X61" s="110">
        <f t="shared" si="25"/>
        <v>0</v>
      </c>
      <c r="Y61" s="110">
        <f t="shared" si="25"/>
        <v>0</v>
      </c>
      <c r="Z61" s="110">
        <f t="shared" si="25"/>
        <v>0</v>
      </c>
      <c r="AA61" s="110">
        <f t="shared" si="25"/>
        <v>390000000</v>
      </c>
      <c r="AB61" s="110">
        <f t="shared" si="25"/>
        <v>0</v>
      </c>
      <c r="AC61" s="110">
        <f t="shared" si="25"/>
        <v>0</v>
      </c>
      <c r="AD61" s="110">
        <f t="shared" si="25"/>
        <v>390000000</v>
      </c>
      <c r="AE61" s="110"/>
      <c r="AF61" s="544"/>
      <c r="AG61" s="1"/>
    </row>
    <row r="62" spans="1:88" ht="125.25" customHeight="1" x14ac:dyDescent="0.2">
      <c r="A62" s="103"/>
      <c r="B62" s="104"/>
      <c r="C62" s="104"/>
      <c r="D62" s="104"/>
      <c r="E62" s="111"/>
      <c r="F62" s="457"/>
      <c r="G62" s="193" t="s">
        <v>177</v>
      </c>
      <c r="H62" s="696">
        <v>2402022</v>
      </c>
      <c r="I62" s="257" t="s">
        <v>178</v>
      </c>
      <c r="J62" s="696">
        <v>240202200</v>
      </c>
      <c r="K62" s="257" t="s">
        <v>179</v>
      </c>
      <c r="L62" s="457" t="s">
        <v>45</v>
      </c>
      <c r="M62" s="164">
        <v>1</v>
      </c>
      <c r="N62" s="1523" t="s">
        <v>181</v>
      </c>
      <c r="O62" s="1538" t="s">
        <v>182</v>
      </c>
      <c r="P62" s="1538" t="s">
        <v>183</v>
      </c>
      <c r="Q62" s="118"/>
      <c r="R62" s="118"/>
      <c r="S62" s="165"/>
      <c r="T62" s="118"/>
      <c r="U62" s="118"/>
      <c r="V62" s="118"/>
      <c r="W62" s="118"/>
      <c r="X62" s="118"/>
      <c r="Y62" s="118"/>
      <c r="Z62" s="118"/>
      <c r="AA62" s="166">
        <v>100000000</v>
      </c>
      <c r="AB62" s="118"/>
      <c r="AC62" s="118"/>
      <c r="AD62" s="120">
        <f>+Q62+R62+S62+T62+U62+V62+W62+X62+Y62+Z62+AA62+AB62+AC62</f>
        <v>100000000</v>
      </c>
      <c r="AE62" s="156" t="s">
        <v>143</v>
      </c>
      <c r="AF62" s="546" t="s">
        <v>144</v>
      </c>
      <c r="AG62" s="1"/>
    </row>
    <row r="63" spans="1:88" ht="144.75" customHeight="1" x14ac:dyDescent="0.2">
      <c r="A63" s="103"/>
      <c r="B63" s="104"/>
      <c r="C63" s="104"/>
      <c r="D63" s="104"/>
      <c r="E63" s="111"/>
      <c r="F63" s="457"/>
      <c r="G63" s="257" t="s">
        <v>177</v>
      </c>
      <c r="H63" s="163">
        <v>2402041</v>
      </c>
      <c r="I63" s="257" t="s">
        <v>184</v>
      </c>
      <c r="J63" s="153">
        <v>240204100</v>
      </c>
      <c r="K63" s="257" t="s">
        <v>185</v>
      </c>
      <c r="L63" s="457" t="s">
        <v>45</v>
      </c>
      <c r="M63" s="164">
        <v>130</v>
      </c>
      <c r="N63" s="1523"/>
      <c r="O63" s="1538"/>
      <c r="P63" s="1538"/>
      <c r="Q63" s="118"/>
      <c r="R63" s="118"/>
      <c r="S63" s="158"/>
      <c r="T63" s="118"/>
      <c r="U63" s="118"/>
      <c r="V63" s="118"/>
      <c r="W63" s="118"/>
      <c r="X63" s="118"/>
      <c r="Y63" s="118"/>
      <c r="Z63" s="118"/>
      <c r="AA63" s="166">
        <v>250000000</v>
      </c>
      <c r="AB63" s="118"/>
      <c r="AC63" s="118"/>
      <c r="AD63" s="120">
        <f>+Q63+R63+S63+T63+U63+V63+W63+X63+Y63+Z63+AA63+AB63+AC63</f>
        <v>250000000</v>
      </c>
      <c r="AE63" s="156" t="s">
        <v>143</v>
      </c>
      <c r="AF63" s="546" t="s">
        <v>144</v>
      </c>
      <c r="AG63" s="1"/>
    </row>
    <row r="64" spans="1:88" ht="121.5" customHeight="1" x14ac:dyDescent="0.2">
      <c r="A64" s="103"/>
      <c r="B64" s="104"/>
      <c r="C64" s="104"/>
      <c r="D64" s="104"/>
      <c r="E64" s="111"/>
      <c r="F64" s="457"/>
      <c r="G64" s="257" t="s">
        <v>177</v>
      </c>
      <c r="H64" s="167">
        <v>2402118</v>
      </c>
      <c r="I64" s="205" t="s">
        <v>186</v>
      </c>
      <c r="J64" s="167">
        <v>240211800</v>
      </c>
      <c r="K64" s="192" t="s">
        <v>187</v>
      </c>
      <c r="L64" s="457" t="s">
        <v>57</v>
      </c>
      <c r="M64" s="470">
        <v>6</v>
      </c>
      <c r="N64" s="454" t="s">
        <v>188</v>
      </c>
      <c r="O64" s="482" t="s">
        <v>189</v>
      </c>
      <c r="P64" s="482" t="s">
        <v>190</v>
      </c>
      <c r="Q64" s="118"/>
      <c r="R64" s="118"/>
      <c r="S64" s="165"/>
      <c r="T64" s="118"/>
      <c r="U64" s="118"/>
      <c r="V64" s="118"/>
      <c r="W64" s="118"/>
      <c r="X64" s="118"/>
      <c r="Y64" s="118"/>
      <c r="Z64" s="118"/>
      <c r="AA64" s="166">
        <v>40000000</v>
      </c>
      <c r="AB64" s="118"/>
      <c r="AC64" s="118"/>
      <c r="AD64" s="120">
        <f>+Q64+R64+S64+T64+U64+V64+W64+X64+Y64+Z64+AA64+AB64+AC64</f>
        <v>40000000</v>
      </c>
      <c r="AE64" s="156" t="s">
        <v>143</v>
      </c>
      <c r="AF64" s="546" t="s">
        <v>144</v>
      </c>
      <c r="AG64" s="1"/>
    </row>
    <row r="65" spans="1:88" s="9" customFormat="1" ht="27.75" customHeight="1" x14ac:dyDescent="0.25">
      <c r="A65" s="95"/>
      <c r="B65" s="576"/>
      <c r="C65" s="593">
        <v>32</v>
      </c>
      <c r="D65" s="592" t="s">
        <v>1307</v>
      </c>
      <c r="E65" s="579"/>
      <c r="F65" s="580"/>
      <c r="G65" s="581"/>
      <c r="H65" s="582"/>
      <c r="I65" s="583"/>
      <c r="J65" s="584"/>
      <c r="K65" s="585"/>
      <c r="L65" s="583"/>
      <c r="M65" s="586"/>
      <c r="N65" s="588"/>
      <c r="O65" s="588"/>
      <c r="P65" s="589"/>
      <c r="Q65" s="589">
        <f>Q66</f>
        <v>0</v>
      </c>
      <c r="R65" s="589">
        <f t="shared" ref="R65:AD65" si="26">R66</f>
        <v>0</v>
      </c>
      <c r="S65" s="589">
        <f t="shared" si="26"/>
        <v>0</v>
      </c>
      <c r="T65" s="589">
        <f t="shared" si="26"/>
        <v>0</v>
      </c>
      <c r="U65" s="589">
        <f t="shared" si="26"/>
        <v>0</v>
      </c>
      <c r="V65" s="589">
        <f t="shared" si="26"/>
        <v>0</v>
      </c>
      <c r="W65" s="589">
        <f t="shared" si="26"/>
        <v>0</v>
      </c>
      <c r="X65" s="589">
        <f t="shared" si="26"/>
        <v>0</v>
      </c>
      <c r="Y65" s="589">
        <f t="shared" si="26"/>
        <v>0</v>
      </c>
      <c r="Z65" s="589">
        <f t="shared" si="26"/>
        <v>0</v>
      </c>
      <c r="AA65" s="589">
        <f t="shared" si="26"/>
        <v>200000000</v>
      </c>
      <c r="AB65" s="589">
        <f t="shared" si="26"/>
        <v>0</v>
      </c>
      <c r="AC65" s="589">
        <f t="shared" si="26"/>
        <v>0</v>
      </c>
      <c r="AD65" s="589">
        <f t="shared" si="26"/>
        <v>200000000</v>
      </c>
      <c r="AE65" s="590"/>
      <c r="AF65" s="590"/>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row>
    <row r="66" spans="1:88" ht="28.5" customHeight="1" x14ac:dyDescent="0.2">
      <c r="A66" s="103"/>
      <c r="B66" s="104"/>
      <c r="C66" s="104"/>
      <c r="D66" s="104"/>
      <c r="E66" s="74">
        <v>3205</v>
      </c>
      <c r="F66" s="471" t="s">
        <v>191</v>
      </c>
      <c r="G66" s="472"/>
      <c r="H66" s="472"/>
      <c r="I66" s="473"/>
      <c r="J66" s="74"/>
      <c r="K66" s="70"/>
      <c r="L66" s="108"/>
      <c r="M66" s="74"/>
      <c r="N66" s="109"/>
      <c r="O66" s="481"/>
      <c r="P66" s="481"/>
      <c r="Q66" s="110">
        <f>SUM(Q67:Q68)</f>
        <v>0</v>
      </c>
      <c r="R66" s="110">
        <f t="shared" ref="R66:AD66" si="27">SUM(R67:R68)</f>
        <v>0</v>
      </c>
      <c r="S66" s="110">
        <f t="shared" si="27"/>
        <v>0</v>
      </c>
      <c r="T66" s="110">
        <f t="shared" si="27"/>
        <v>0</v>
      </c>
      <c r="U66" s="110">
        <f t="shared" si="27"/>
        <v>0</v>
      </c>
      <c r="V66" s="110">
        <f t="shared" si="27"/>
        <v>0</v>
      </c>
      <c r="W66" s="110">
        <f t="shared" si="27"/>
        <v>0</v>
      </c>
      <c r="X66" s="110">
        <f t="shared" si="27"/>
        <v>0</v>
      </c>
      <c r="Y66" s="110">
        <f t="shared" si="27"/>
        <v>0</v>
      </c>
      <c r="Z66" s="110">
        <f t="shared" si="27"/>
        <v>0</v>
      </c>
      <c r="AA66" s="110">
        <f t="shared" si="27"/>
        <v>200000000</v>
      </c>
      <c r="AB66" s="110">
        <f t="shared" si="27"/>
        <v>0</v>
      </c>
      <c r="AC66" s="110">
        <f t="shared" si="27"/>
        <v>0</v>
      </c>
      <c r="AD66" s="110">
        <f t="shared" si="27"/>
        <v>200000000</v>
      </c>
      <c r="AE66" s="110"/>
      <c r="AF66" s="544"/>
      <c r="AG66" s="1"/>
    </row>
    <row r="67" spans="1:88" ht="135" customHeight="1" x14ac:dyDescent="0.2">
      <c r="A67" s="103"/>
      <c r="B67" s="104"/>
      <c r="C67" s="104"/>
      <c r="D67" s="104"/>
      <c r="E67" s="111"/>
      <c r="F67" s="457"/>
      <c r="G67" s="193" t="s">
        <v>192</v>
      </c>
      <c r="H67" s="160">
        <v>3205010</v>
      </c>
      <c r="I67" s="193" t="s">
        <v>193</v>
      </c>
      <c r="J67" s="160" t="s">
        <v>194</v>
      </c>
      <c r="K67" s="192" t="s">
        <v>195</v>
      </c>
      <c r="L67" s="466" t="s">
        <v>57</v>
      </c>
      <c r="M67" s="470">
        <v>2</v>
      </c>
      <c r="N67" s="454" t="s">
        <v>196</v>
      </c>
      <c r="O67" s="199" t="s">
        <v>197</v>
      </c>
      <c r="P67" s="199" t="s">
        <v>198</v>
      </c>
      <c r="Q67" s="118" t="s">
        <v>41</v>
      </c>
      <c r="R67" s="118"/>
      <c r="S67" s="165"/>
      <c r="T67" s="118"/>
      <c r="U67" s="118"/>
      <c r="V67" s="118"/>
      <c r="W67" s="118"/>
      <c r="X67" s="118"/>
      <c r="Y67" s="118"/>
      <c r="Z67" s="118"/>
      <c r="AA67" s="168">
        <v>100000000</v>
      </c>
      <c r="AB67" s="118"/>
      <c r="AC67" s="118"/>
      <c r="AD67" s="120">
        <f>SUM(Q67:AC67)</f>
        <v>100000000</v>
      </c>
      <c r="AE67" s="156" t="s">
        <v>143</v>
      </c>
      <c r="AF67" s="546" t="s">
        <v>144</v>
      </c>
      <c r="AG67" s="1"/>
    </row>
    <row r="68" spans="1:88" ht="157.5" customHeight="1" x14ac:dyDescent="0.2">
      <c r="A68" s="103"/>
      <c r="B68" s="104"/>
      <c r="C68" s="104"/>
      <c r="D68" s="104"/>
      <c r="E68" s="111"/>
      <c r="F68" s="457"/>
      <c r="G68" s="193" t="s">
        <v>199</v>
      </c>
      <c r="H68" s="160">
        <v>3205021</v>
      </c>
      <c r="I68" s="193" t="s">
        <v>200</v>
      </c>
      <c r="J68" s="160">
        <v>320502100</v>
      </c>
      <c r="K68" s="192" t="s">
        <v>201</v>
      </c>
      <c r="L68" s="466" t="s">
        <v>57</v>
      </c>
      <c r="M68" s="470">
        <v>2</v>
      </c>
      <c r="N68" s="454" t="s">
        <v>202</v>
      </c>
      <c r="O68" s="199" t="s">
        <v>203</v>
      </c>
      <c r="P68" s="199" t="s">
        <v>204</v>
      </c>
      <c r="Q68" s="118"/>
      <c r="R68" s="118"/>
      <c r="S68" s="169">
        <v>0</v>
      </c>
      <c r="T68" s="118"/>
      <c r="U68" s="118"/>
      <c r="V68" s="118"/>
      <c r="W68" s="118"/>
      <c r="X68" s="118"/>
      <c r="Y68" s="118"/>
      <c r="Z68" s="118"/>
      <c r="AA68" s="168">
        <v>100000000</v>
      </c>
      <c r="AB68" s="118"/>
      <c r="AC68" s="118"/>
      <c r="AD68" s="120">
        <f>SUM(Q68:AC68)</f>
        <v>100000000</v>
      </c>
      <c r="AE68" s="156" t="s">
        <v>143</v>
      </c>
      <c r="AF68" s="546" t="s">
        <v>144</v>
      </c>
      <c r="AG68" s="1"/>
    </row>
    <row r="69" spans="1:88" s="9" customFormat="1" ht="27.75" customHeight="1" x14ac:dyDescent="0.25">
      <c r="A69" s="95"/>
      <c r="B69" s="576"/>
      <c r="C69" s="593">
        <v>40</v>
      </c>
      <c r="D69" s="592" t="s">
        <v>210</v>
      </c>
      <c r="E69" s="579"/>
      <c r="F69" s="580"/>
      <c r="G69" s="581"/>
      <c r="H69" s="582"/>
      <c r="I69" s="583"/>
      <c r="J69" s="584"/>
      <c r="K69" s="585"/>
      <c r="L69" s="583"/>
      <c r="M69" s="586"/>
      <c r="N69" s="588"/>
      <c r="O69" s="588"/>
      <c r="P69" s="589"/>
      <c r="Q69" s="589">
        <f>Q70+Q72</f>
        <v>550000000</v>
      </c>
      <c r="R69" s="589">
        <f t="shared" ref="R69:AD69" si="28">R70+R72</f>
        <v>0</v>
      </c>
      <c r="S69" s="589">
        <f t="shared" si="28"/>
        <v>0</v>
      </c>
      <c r="T69" s="589">
        <f t="shared" si="28"/>
        <v>0</v>
      </c>
      <c r="U69" s="589">
        <f t="shared" si="28"/>
        <v>0</v>
      </c>
      <c r="V69" s="589">
        <f t="shared" si="28"/>
        <v>0</v>
      </c>
      <c r="W69" s="589">
        <f t="shared" si="28"/>
        <v>0</v>
      </c>
      <c r="X69" s="589">
        <f t="shared" si="28"/>
        <v>0</v>
      </c>
      <c r="Y69" s="589">
        <f t="shared" si="28"/>
        <v>0</v>
      </c>
      <c r="Z69" s="589">
        <f t="shared" si="28"/>
        <v>2753011221</v>
      </c>
      <c r="AA69" s="589">
        <f t="shared" si="28"/>
        <v>20000000</v>
      </c>
      <c r="AB69" s="589">
        <f t="shared" si="28"/>
        <v>0</v>
      </c>
      <c r="AC69" s="589">
        <f t="shared" si="28"/>
        <v>0</v>
      </c>
      <c r="AD69" s="589">
        <f t="shared" si="28"/>
        <v>3323011221</v>
      </c>
      <c r="AE69" s="590"/>
      <c r="AF69" s="590"/>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row>
    <row r="70" spans="1:88" ht="28.5" customHeight="1" x14ac:dyDescent="0.2">
      <c r="A70" s="103"/>
      <c r="B70" s="104"/>
      <c r="C70" s="104"/>
      <c r="D70" s="104"/>
      <c r="E70" s="74">
        <v>4001</v>
      </c>
      <c r="F70" s="471" t="s">
        <v>205</v>
      </c>
      <c r="G70" s="473"/>
      <c r="H70" s="107"/>
      <c r="I70" s="487"/>
      <c r="J70" s="74"/>
      <c r="K70" s="70"/>
      <c r="L70" s="108"/>
      <c r="M70" s="74"/>
      <c r="N70" s="109"/>
      <c r="O70" s="70"/>
      <c r="P70" s="70"/>
      <c r="Q70" s="110">
        <f>Q71</f>
        <v>100000000</v>
      </c>
      <c r="R70" s="110">
        <f t="shared" ref="R70:AD70" si="29">R71</f>
        <v>0</v>
      </c>
      <c r="S70" s="110">
        <f t="shared" si="29"/>
        <v>0</v>
      </c>
      <c r="T70" s="110">
        <f t="shared" si="29"/>
        <v>0</v>
      </c>
      <c r="U70" s="110">
        <f t="shared" si="29"/>
        <v>0</v>
      </c>
      <c r="V70" s="110">
        <f t="shared" si="29"/>
        <v>0</v>
      </c>
      <c r="W70" s="110">
        <f t="shared" si="29"/>
        <v>0</v>
      </c>
      <c r="X70" s="110">
        <f t="shared" si="29"/>
        <v>0</v>
      </c>
      <c r="Y70" s="110">
        <f t="shared" si="29"/>
        <v>0</v>
      </c>
      <c r="Z70" s="110">
        <f t="shared" si="29"/>
        <v>0</v>
      </c>
      <c r="AA70" s="110">
        <f t="shared" si="29"/>
        <v>20000000</v>
      </c>
      <c r="AB70" s="110">
        <f t="shared" si="29"/>
        <v>0</v>
      </c>
      <c r="AC70" s="110">
        <f t="shared" si="29"/>
        <v>0</v>
      </c>
      <c r="AD70" s="110">
        <f t="shared" si="29"/>
        <v>120000000</v>
      </c>
      <c r="AE70" s="110"/>
      <c r="AF70" s="544"/>
      <c r="AG70" s="1"/>
    </row>
    <row r="71" spans="1:88" ht="126.75" customHeight="1" x14ac:dyDescent="0.2">
      <c r="A71" s="103"/>
      <c r="B71" s="104"/>
      <c r="C71" s="104"/>
      <c r="D71" s="104"/>
      <c r="E71" s="111"/>
      <c r="F71" s="457"/>
      <c r="G71" s="193" t="s">
        <v>206</v>
      </c>
      <c r="H71" s="170">
        <v>4001015</v>
      </c>
      <c r="I71" s="193" t="s">
        <v>207</v>
      </c>
      <c r="J71" s="171" t="s">
        <v>208</v>
      </c>
      <c r="K71" s="220" t="s">
        <v>209</v>
      </c>
      <c r="L71" s="457" t="s">
        <v>57</v>
      </c>
      <c r="M71" s="470">
        <v>50</v>
      </c>
      <c r="N71" s="454" t="s">
        <v>211</v>
      </c>
      <c r="O71" s="483" t="s">
        <v>212</v>
      </c>
      <c r="P71" s="483" t="s">
        <v>213</v>
      </c>
      <c r="Q71" s="118">
        <v>100000000</v>
      </c>
      <c r="R71" s="118"/>
      <c r="S71" s="165"/>
      <c r="T71" s="118"/>
      <c r="U71" s="118"/>
      <c r="V71" s="118"/>
      <c r="W71" s="118"/>
      <c r="X71" s="118"/>
      <c r="Y71" s="118"/>
      <c r="Z71" s="118"/>
      <c r="AA71" s="132">
        <v>20000000</v>
      </c>
      <c r="AB71" s="118"/>
      <c r="AC71" s="118"/>
      <c r="AD71" s="120">
        <f>+Q71+R71+S71+T71+U71+V71+W71+X71+Y71+Z71+AA71+AB71+AC71</f>
        <v>120000000</v>
      </c>
      <c r="AE71" s="156" t="s">
        <v>143</v>
      </c>
      <c r="AF71" s="546" t="s">
        <v>144</v>
      </c>
      <c r="AG71" s="1"/>
    </row>
    <row r="72" spans="1:88" ht="33" customHeight="1" x14ac:dyDescent="0.2">
      <c r="A72" s="103"/>
      <c r="B72" s="104"/>
      <c r="C72" s="104"/>
      <c r="D72" s="104"/>
      <c r="E72" s="74">
        <v>4003</v>
      </c>
      <c r="F72" s="471" t="s">
        <v>214</v>
      </c>
      <c r="G72" s="473"/>
      <c r="H72" s="107"/>
      <c r="I72" s="487"/>
      <c r="J72" s="74"/>
      <c r="K72" s="70"/>
      <c r="L72" s="108"/>
      <c r="M72" s="74"/>
      <c r="N72" s="109"/>
      <c r="O72" s="70"/>
      <c r="P72" s="70"/>
      <c r="Q72" s="110">
        <f>SUM(Q73:Q78)</f>
        <v>450000000</v>
      </c>
      <c r="R72" s="110">
        <f t="shared" ref="R72:AD72" si="30">SUM(R73:R78)</f>
        <v>0</v>
      </c>
      <c r="S72" s="110">
        <f t="shared" si="30"/>
        <v>0</v>
      </c>
      <c r="T72" s="110">
        <f t="shared" si="30"/>
        <v>0</v>
      </c>
      <c r="U72" s="110">
        <f t="shared" si="30"/>
        <v>0</v>
      </c>
      <c r="V72" s="110">
        <f t="shared" si="30"/>
        <v>0</v>
      </c>
      <c r="W72" s="110">
        <f t="shared" si="30"/>
        <v>0</v>
      </c>
      <c r="X72" s="110">
        <f t="shared" si="30"/>
        <v>0</v>
      </c>
      <c r="Y72" s="110">
        <f t="shared" si="30"/>
        <v>0</v>
      </c>
      <c r="Z72" s="110">
        <f t="shared" si="30"/>
        <v>2753011221</v>
      </c>
      <c r="AA72" s="110">
        <f t="shared" si="30"/>
        <v>0</v>
      </c>
      <c r="AB72" s="110">
        <f t="shared" si="30"/>
        <v>0</v>
      </c>
      <c r="AC72" s="110">
        <f t="shared" si="30"/>
        <v>0</v>
      </c>
      <c r="AD72" s="110">
        <f t="shared" si="30"/>
        <v>3203011221</v>
      </c>
      <c r="AE72" s="110">
        <f>SUM(AE73:AE78)</f>
        <v>0</v>
      </c>
      <c r="AF72" s="544">
        <f>SUM(AF73:AF78)</f>
        <v>0</v>
      </c>
      <c r="AG72" s="1"/>
    </row>
    <row r="73" spans="1:88" ht="117" customHeight="1" x14ac:dyDescent="0.2">
      <c r="A73" s="103"/>
      <c r="B73" s="104"/>
      <c r="C73" s="104"/>
      <c r="D73" s="104"/>
      <c r="E73" s="111"/>
      <c r="F73" s="172"/>
      <c r="G73" s="257" t="s">
        <v>215</v>
      </c>
      <c r="H73" s="121">
        <v>4003006</v>
      </c>
      <c r="I73" s="193" t="s">
        <v>217</v>
      </c>
      <c r="J73" s="121">
        <v>4003006</v>
      </c>
      <c r="K73" s="173" t="s">
        <v>218</v>
      </c>
      <c r="L73" s="178" t="s">
        <v>45</v>
      </c>
      <c r="M73" s="565">
        <v>1</v>
      </c>
      <c r="N73" s="1524" t="s">
        <v>219</v>
      </c>
      <c r="O73" s="1535" t="s">
        <v>220</v>
      </c>
      <c r="P73" s="1525" t="s">
        <v>221</v>
      </c>
      <c r="Q73" s="118"/>
      <c r="R73" s="118"/>
      <c r="S73" s="165"/>
      <c r="T73" s="118"/>
      <c r="U73" s="118"/>
      <c r="V73" s="118"/>
      <c r="W73" s="118"/>
      <c r="X73" s="118"/>
      <c r="Y73" s="118"/>
      <c r="Z73" s="118">
        <v>100000000</v>
      </c>
      <c r="AA73" s="132"/>
      <c r="AB73" s="118"/>
      <c r="AC73" s="118"/>
      <c r="AD73" s="120">
        <f t="shared" ref="AD73:AD78" si="31">+Q73+R73+S73+T73+U73+V73+W73+X73+Y73+Z73+AA73+AB73+AC73</f>
        <v>100000000</v>
      </c>
      <c r="AE73" s="156" t="s">
        <v>143</v>
      </c>
      <c r="AF73" s="546" t="s">
        <v>144</v>
      </c>
      <c r="AG73" s="1"/>
    </row>
    <row r="74" spans="1:88" ht="60" customHeight="1" x14ac:dyDescent="0.2">
      <c r="A74" s="103"/>
      <c r="B74" s="104"/>
      <c r="C74" s="104"/>
      <c r="D74" s="104"/>
      <c r="E74" s="111"/>
      <c r="F74" s="172"/>
      <c r="G74" s="257" t="s">
        <v>222</v>
      </c>
      <c r="H74" s="160">
        <v>4003018</v>
      </c>
      <c r="I74" s="257" t="s">
        <v>223</v>
      </c>
      <c r="J74" s="160">
        <v>400301802</v>
      </c>
      <c r="K74" s="175" t="s">
        <v>224</v>
      </c>
      <c r="L74" s="457" t="s">
        <v>57</v>
      </c>
      <c r="M74" s="164">
        <v>1</v>
      </c>
      <c r="N74" s="1524"/>
      <c r="O74" s="1535"/>
      <c r="P74" s="1525"/>
      <c r="Q74" s="118"/>
      <c r="R74" s="118"/>
      <c r="S74" s="165"/>
      <c r="T74" s="118"/>
      <c r="U74" s="118"/>
      <c r="V74" s="118"/>
      <c r="W74" s="118"/>
      <c r="X74" s="118"/>
      <c r="Y74" s="118"/>
      <c r="Z74" s="118">
        <v>729000000</v>
      </c>
      <c r="AA74" s="132"/>
      <c r="AB74" s="118"/>
      <c r="AC74" s="118"/>
      <c r="AD74" s="120">
        <f t="shared" si="31"/>
        <v>729000000</v>
      </c>
      <c r="AE74" s="156" t="s">
        <v>143</v>
      </c>
      <c r="AF74" s="546" t="s">
        <v>144</v>
      </c>
      <c r="AG74" s="1"/>
    </row>
    <row r="75" spans="1:88" ht="67.5" customHeight="1" x14ac:dyDescent="0.2">
      <c r="A75" s="103"/>
      <c r="B75" s="104"/>
      <c r="C75" s="104"/>
      <c r="D75" s="104"/>
      <c r="E75" s="111"/>
      <c r="F75" s="172"/>
      <c r="G75" s="257" t="s">
        <v>215</v>
      </c>
      <c r="H75" s="160">
        <v>4003025</v>
      </c>
      <c r="I75" s="257" t="s">
        <v>225</v>
      </c>
      <c r="J75" s="72">
        <v>400302500</v>
      </c>
      <c r="K75" s="176" t="s">
        <v>226</v>
      </c>
      <c r="L75" s="177" t="s">
        <v>57</v>
      </c>
      <c r="M75" s="164">
        <v>4</v>
      </c>
      <c r="N75" s="1524"/>
      <c r="O75" s="1535"/>
      <c r="P75" s="1525"/>
      <c r="Q75" s="118">
        <v>450000000</v>
      </c>
      <c r="R75" s="118"/>
      <c r="S75" s="165"/>
      <c r="T75" s="118"/>
      <c r="U75" s="118"/>
      <c r="V75" s="118"/>
      <c r="W75" s="118"/>
      <c r="X75" s="118"/>
      <c r="Y75" s="118"/>
      <c r="Z75" s="118">
        <v>230774762</v>
      </c>
      <c r="AA75" s="132"/>
      <c r="AB75" s="118"/>
      <c r="AC75" s="118"/>
      <c r="AD75" s="120">
        <f t="shared" si="31"/>
        <v>680774762</v>
      </c>
      <c r="AE75" s="156" t="s">
        <v>143</v>
      </c>
      <c r="AF75" s="546" t="s">
        <v>144</v>
      </c>
      <c r="AG75" s="1"/>
    </row>
    <row r="76" spans="1:88" ht="72" customHeight="1" x14ac:dyDescent="0.2">
      <c r="A76" s="103"/>
      <c r="B76" s="104"/>
      <c r="C76" s="104"/>
      <c r="D76" s="104"/>
      <c r="E76" s="111"/>
      <c r="F76" s="172"/>
      <c r="G76" s="257" t="s">
        <v>215</v>
      </c>
      <c r="H76" s="160">
        <v>4003028</v>
      </c>
      <c r="I76" s="257" t="s">
        <v>227</v>
      </c>
      <c r="J76" s="160">
        <v>400302801</v>
      </c>
      <c r="K76" s="175" t="s">
        <v>228</v>
      </c>
      <c r="L76" s="457" t="s">
        <v>45</v>
      </c>
      <c r="M76" s="164">
        <v>4</v>
      </c>
      <c r="N76" s="1524"/>
      <c r="O76" s="1535"/>
      <c r="P76" s="1525"/>
      <c r="Q76" s="118"/>
      <c r="R76" s="118"/>
      <c r="S76" s="165"/>
      <c r="T76" s="118"/>
      <c r="U76" s="118"/>
      <c r="V76" s="118"/>
      <c r="W76" s="118"/>
      <c r="X76" s="118"/>
      <c r="Y76" s="118"/>
      <c r="Z76" s="118">
        <v>279000000</v>
      </c>
      <c r="AA76" s="132"/>
      <c r="AB76" s="118"/>
      <c r="AC76" s="118"/>
      <c r="AD76" s="120">
        <f t="shared" si="31"/>
        <v>279000000</v>
      </c>
      <c r="AE76" s="156" t="s">
        <v>143</v>
      </c>
      <c r="AF76" s="546" t="s">
        <v>144</v>
      </c>
      <c r="AG76" s="1"/>
    </row>
    <row r="77" spans="1:88" ht="78.75" customHeight="1" x14ac:dyDescent="0.2">
      <c r="A77" s="103"/>
      <c r="B77" s="104"/>
      <c r="C77" s="104"/>
      <c r="D77" s="104"/>
      <c r="E77" s="111"/>
      <c r="F77" s="172"/>
      <c r="G77" s="257" t="s">
        <v>215</v>
      </c>
      <c r="H77" s="160">
        <v>4003042</v>
      </c>
      <c r="I77" s="257" t="s">
        <v>229</v>
      </c>
      <c r="J77" s="160">
        <v>400304200</v>
      </c>
      <c r="K77" s="175" t="s">
        <v>230</v>
      </c>
      <c r="L77" s="457" t="s">
        <v>57</v>
      </c>
      <c r="M77" s="164">
        <v>3</v>
      </c>
      <c r="N77" s="1524"/>
      <c r="O77" s="1535"/>
      <c r="P77" s="1525"/>
      <c r="Q77" s="118"/>
      <c r="R77" s="118"/>
      <c r="S77" s="165"/>
      <c r="T77" s="118"/>
      <c r="U77" s="118"/>
      <c r="V77" s="118"/>
      <c r="W77" s="118"/>
      <c r="X77" s="118"/>
      <c r="Y77" s="118"/>
      <c r="Z77" s="118">
        <v>629000000</v>
      </c>
      <c r="AA77" s="132"/>
      <c r="AB77" s="118"/>
      <c r="AC77" s="118"/>
      <c r="AD77" s="120">
        <f t="shared" si="31"/>
        <v>629000000</v>
      </c>
      <c r="AE77" s="156" t="s">
        <v>143</v>
      </c>
      <c r="AF77" s="546" t="s">
        <v>144</v>
      </c>
      <c r="AG77" s="1"/>
    </row>
    <row r="78" spans="1:88" ht="89.25" customHeight="1" x14ac:dyDescent="0.2">
      <c r="A78" s="103"/>
      <c r="B78" s="104"/>
      <c r="C78" s="104"/>
      <c r="D78" s="104"/>
      <c r="E78" s="111"/>
      <c r="F78" s="172"/>
      <c r="G78" s="257" t="s">
        <v>215</v>
      </c>
      <c r="H78" s="160" t="s">
        <v>231</v>
      </c>
      <c r="I78" s="257" t="s">
        <v>232</v>
      </c>
      <c r="J78" s="72">
        <v>400302600</v>
      </c>
      <c r="K78" s="176" t="s">
        <v>233</v>
      </c>
      <c r="L78" s="177" t="s">
        <v>57</v>
      </c>
      <c r="M78" s="164">
        <v>1</v>
      </c>
      <c r="N78" s="1524"/>
      <c r="O78" s="1535"/>
      <c r="P78" s="1525"/>
      <c r="Q78" s="118"/>
      <c r="R78" s="118"/>
      <c r="S78" s="165"/>
      <c r="T78" s="118"/>
      <c r="U78" s="118"/>
      <c r="V78" s="118"/>
      <c r="W78" s="118"/>
      <c r="X78" s="118"/>
      <c r="Y78" s="118"/>
      <c r="Z78" s="118">
        <v>785236459</v>
      </c>
      <c r="AA78" s="132"/>
      <c r="AB78" s="118"/>
      <c r="AC78" s="118"/>
      <c r="AD78" s="120">
        <f t="shared" si="31"/>
        <v>785236459</v>
      </c>
      <c r="AE78" s="156" t="s">
        <v>143</v>
      </c>
      <c r="AF78" s="546" t="s">
        <v>144</v>
      </c>
      <c r="AG78" s="1"/>
    </row>
    <row r="79" spans="1:88" ht="25.5" customHeight="1" x14ac:dyDescent="0.2">
      <c r="A79" s="103"/>
      <c r="B79" s="99">
        <v>4</v>
      </c>
      <c r="C79" s="365" t="s">
        <v>39</v>
      </c>
      <c r="D79" s="96"/>
      <c r="E79" s="365" t="s">
        <v>39</v>
      </c>
      <c r="F79" s="365"/>
      <c r="G79" s="365"/>
      <c r="H79" s="97"/>
      <c r="I79" s="489"/>
      <c r="J79" s="99"/>
      <c r="K79" s="98"/>
      <c r="L79" s="100"/>
      <c r="M79" s="99"/>
      <c r="N79" s="101"/>
      <c r="O79" s="98"/>
      <c r="P79" s="98"/>
      <c r="Q79" s="102">
        <f>Q80</f>
        <v>0</v>
      </c>
      <c r="R79" s="102">
        <f t="shared" ref="R79:AC79" si="32">R80</f>
        <v>0</v>
      </c>
      <c r="S79" s="102">
        <f t="shared" si="32"/>
        <v>0</v>
      </c>
      <c r="T79" s="102">
        <f t="shared" si="32"/>
        <v>0</v>
      </c>
      <c r="U79" s="102">
        <f t="shared" si="32"/>
        <v>0</v>
      </c>
      <c r="V79" s="102">
        <f t="shared" si="32"/>
        <v>0</v>
      </c>
      <c r="W79" s="102">
        <f t="shared" si="32"/>
        <v>0</v>
      </c>
      <c r="X79" s="102">
        <f t="shared" si="32"/>
        <v>0</v>
      </c>
      <c r="Y79" s="102">
        <f t="shared" si="32"/>
        <v>0</v>
      </c>
      <c r="Z79" s="102">
        <f t="shared" si="32"/>
        <v>0</v>
      </c>
      <c r="AA79" s="102">
        <f t="shared" si="32"/>
        <v>78000000</v>
      </c>
      <c r="AB79" s="102">
        <f t="shared" si="32"/>
        <v>0</v>
      </c>
      <c r="AC79" s="102">
        <f t="shared" si="32"/>
        <v>0</v>
      </c>
      <c r="AD79" s="102">
        <f>AD80</f>
        <v>78000000</v>
      </c>
      <c r="AE79" s="102"/>
      <c r="AF79" s="543"/>
      <c r="AG79" s="1"/>
    </row>
    <row r="80" spans="1:88" s="9" customFormat="1" ht="27.75" customHeight="1" x14ac:dyDescent="0.25">
      <c r="A80" s="95"/>
      <c r="B80" s="576"/>
      <c r="C80" s="577">
        <v>45</v>
      </c>
      <c r="D80" s="592" t="s">
        <v>1302</v>
      </c>
      <c r="E80" s="579"/>
      <c r="F80" s="580"/>
      <c r="G80" s="581"/>
      <c r="H80" s="582"/>
      <c r="I80" s="583"/>
      <c r="J80" s="584"/>
      <c r="K80" s="585"/>
      <c r="L80" s="583"/>
      <c r="M80" s="586"/>
      <c r="N80" s="588"/>
      <c r="O80" s="588"/>
      <c r="P80" s="589"/>
      <c r="Q80" s="589">
        <f>Q81+Q83</f>
        <v>0</v>
      </c>
      <c r="R80" s="589">
        <f t="shared" ref="R80:AD80" si="33">R81+R83</f>
        <v>0</v>
      </c>
      <c r="S80" s="589">
        <f t="shared" si="33"/>
        <v>0</v>
      </c>
      <c r="T80" s="589">
        <f t="shared" si="33"/>
        <v>0</v>
      </c>
      <c r="U80" s="589">
        <f t="shared" si="33"/>
        <v>0</v>
      </c>
      <c r="V80" s="589">
        <f t="shared" si="33"/>
        <v>0</v>
      </c>
      <c r="W80" s="589">
        <f t="shared" si="33"/>
        <v>0</v>
      </c>
      <c r="X80" s="589">
        <f t="shared" si="33"/>
        <v>0</v>
      </c>
      <c r="Y80" s="589">
        <f t="shared" si="33"/>
        <v>0</v>
      </c>
      <c r="Z80" s="589">
        <f t="shared" si="33"/>
        <v>0</v>
      </c>
      <c r="AA80" s="589">
        <f t="shared" si="33"/>
        <v>78000000</v>
      </c>
      <c r="AB80" s="589">
        <f t="shared" si="33"/>
        <v>0</v>
      </c>
      <c r="AC80" s="589">
        <f t="shared" si="33"/>
        <v>0</v>
      </c>
      <c r="AD80" s="589">
        <f t="shared" si="33"/>
        <v>78000000</v>
      </c>
      <c r="AE80" s="590"/>
      <c r="AF80" s="590"/>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row>
    <row r="81" spans="1:89" ht="27.75" customHeight="1" x14ac:dyDescent="0.2">
      <c r="A81" s="103"/>
      <c r="B81" s="104"/>
      <c r="C81" s="104"/>
      <c r="D81" s="104"/>
      <c r="E81" s="74">
        <v>4599</v>
      </c>
      <c r="F81" s="471" t="s">
        <v>40</v>
      </c>
      <c r="G81" s="473"/>
      <c r="H81" s="509"/>
      <c r="I81" s="487"/>
      <c r="J81" s="74"/>
      <c r="K81" s="70"/>
      <c r="L81" s="108"/>
      <c r="M81" s="74"/>
      <c r="N81" s="109"/>
      <c r="O81" s="70"/>
      <c r="P81" s="70"/>
      <c r="Q81" s="110">
        <f>Q82</f>
        <v>0</v>
      </c>
      <c r="R81" s="110">
        <f t="shared" ref="R81:AD81" si="34">R82</f>
        <v>0</v>
      </c>
      <c r="S81" s="110">
        <f t="shared" si="34"/>
        <v>0</v>
      </c>
      <c r="T81" s="110">
        <f t="shared" si="34"/>
        <v>0</v>
      </c>
      <c r="U81" s="110">
        <f t="shared" si="34"/>
        <v>0</v>
      </c>
      <c r="V81" s="110">
        <f t="shared" si="34"/>
        <v>0</v>
      </c>
      <c r="W81" s="110">
        <f t="shared" si="34"/>
        <v>0</v>
      </c>
      <c r="X81" s="110">
        <f t="shared" si="34"/>
        <v>0</v>
      </c>
      <c r="Y81" s="110">
        <f t="shared" si="34"/>
        <v>0</v>
      </c>
      <c r="Z81" s="110">
        <f t="shared" si="34"/>
        <v>0</v>
      </c>
      <c r="AA81" s="110">
        <f t="shared" si="34"/>
        <v>40000000</v>
      </c>
      <c r="AB81" s="110">
        <f t="shared" si="34"/>
        <v>0</v>
      </c>
      <c r="AC81" s="110">
        <f t="shared" si="34"/>
        <v>0</v>
      </c>
      <c r="AD81" s="110">
        <f t="shared" si="34"/>
        <v>40000000</v>
      </c>
      <c r="AE81" s="110"/>
      <c r="AF81" s="544"/>
      <c r="AG81" s="1"/>
    </row>
    <row r="82" spans="1:89" ht="130.5" customHeight="1" x14ac:dyDescent="0.2">
      <c r="A82" s="103"/>
      <c r="B82" s="104"/>
      <c r="C82" s="104"/>
      <c r="D82" s="104"/>
      <c r="E82" s="111"/>
      <c r="F82" s="178" t="s">
        <v>41</v>
      </c>
      <c r="G82" s="140" t="s">
        <v>42</v>
      </c>
      <c r="H82" s="179" t="s">
        <v>234</v>
      </c>
      <c r="I82" s="140" t="s">
        <v>235</v>
      </c>
      <c r="J82" s="179">
        <v>459901600</v>
      </c>
      <c r="K82" s="199" t="s">
        <v>236</v>
      </c>
      <c r="L82" s="457" t="s">
        <v>45</v>
      </c>
      <c r="M82" s="470">
        <v>4</v>
      </c>
      <c r="N82" s="454" t="s">
        <v>237</v>
      </c>
      <c r="O82" s="479" t="s">
        <v>238</v>
      </c>
      <c r="P82" s="479" t="s">
        <v>239</v>
      </c>
      <c r="Q82" s="180"/>
      <c r="R82" s="118"/>
      <c r="S82" s="118"/>
      <c r="T82" s="118"/>
      <c r="U82" s="118"/>
      <c r="V82" s="118"/>
      <c r="W82" s="118"/>
      <c r="X82" s="118"/>
      <c r="Y82" s="118"/>
      <c r="Z82" s="118"/>
      <c r="AA82" s="132">
        <v>40000000</v>
      </c>
      <c r="AB82" s="181"/>
      <c r="AC82" s="118"/>
      <c r="AD82" s="120">
        <f>+Q82+R82+S82+T82+U82+V82+W82+X82+Y82+Z82+AA82+AB82+AC82</f>
        <v>40000000</v>
      </c>
      <c r="AE82" s="156" t="s">
        <v>143</v>
      </c>
      <c r="AF82" s="546" t="s">
        <v>144</v>
      </c>
      <c r="AG82" s="1"/>
    </row>
    <row r="83" spans="1:89" ht="24" customHeight="1" x14ac:dyDescent="0.2">
      <c r="A83" s="103"/>
      <c r="B83" s="104"/>
      <c r="C83" s="104"/>
      <c r="D83" s="104"/>
      <c r="E83" s="74">
        <v>4502</v>
      </c>
      <c r="F83" s="471" t="s">
        <v>61</v>
      </c>
      <c r="G83" s="473"/>
      <c r="H83" s="107"/>
      <c r="I83" s="487"/>
      <c r="J83" s="74"/>
      <c r="K83" s="70"/>
      <c r="L83" s="108"/>
      <c r="M83" s="74"/>
      <c r="N83" s="109"/>
      <c r="O83" s="70"/>
      <c r="P83" s="70"/>
      <c r="Q83" s="110">
        <f>Q84</f>
        <v>0</v>
      </c>
      <c r="R83" s="110">
        <f t="shared" ref="R83:AD83" si="35">R84</f>
        <v>0</v>
      </c>
      <c r="S83" s="110">
        <f t="shared" si="35"/>
        <v>0</v>
      </c>
      <c r="T83" s="110">
        <f t="shared" si="35"/>
        <v>0</v>
      </c>
      <c r="U83" s="110">
        <f t="shared" si="35"/>
        <v>0</v>
      </c>
      <c r="V83" s="110">
        <f t="shared" si="35"/>
        <v>0</v>
      </c>
      <c r="W83" s="110">
        <f t="shared" si="35"/>
        <v>0</v>
      </c>
      <c r="X83" s="110">
        <f t="shared" si="35"/>
        <v>0</v>
      </c>
      <c r="Y83" s="110">
        <f t="shared" si="35"/>
        <v>0</v>
      </c>
      <c r="Z83" s="110">
        <f t="shared" si="35"/>
        <v>0</v>
      </c>
      <c r="AA83" s="110">
        <f t="shared" si="35"/>
        <v>38000000</v>
      </c>
      <c r="AB83" s="110">
        <f t="shared" si="35"/>
        <v>0</v>
      </c>
      <c r="AC83" s="110">
        <f t="shared" si="35"/>
        <v>0</v>
      </c>
      <c r="AD83" s="110">
        <f t="shared" si="35"/>
        <v>38000000</v>
      </c>
      <c r="AE83" s="110"/>
      <c r="AF83" s="544"/>
    </row>
    <row r="84" spans="1:89" ht="147.75" customHeight="1" x14ac:dyDescent="0.2">
      <c r="A84" s="103"/>
      <c r="B84" s="104"/>
      <c r="C84" s="104"/>
      <c r="D84" s="104"/>
      <c r="E84" s="111"/>
      <c r="F84" s="457"/>
      <c r="G84" s="193" t="s">
        <v>70</v>
      </c>
      <c r="H84" s="160">
        <v>4502003</v>
      </c>
      <c r="I84" s="257" t="s">
        <v>240</v>
      </c>
      <c r="J84" s="160">
        <v>450200300</v>
      </c>
      <c r="K84" s="257" t="s">
        <v>240</v>
      </c>
      <c r="L84" s="457" t="s">
        <v>57</v>
      </c>
      <c r="M84" s="470">
        <v>2</v>
      </c>
      <c r="N84" s="454" t="s">
        <v>241</v>
      </c>
      <c r="O84" s="479" t="s">
        <v>242</v>
      </c>
      <c r="P84" s="479" t="s">
        <v>243</v>
      </c>
      <c r="Q84" s="180"/>
      <c r="R84" s="118"/>
      <c r="S84" s="118"/>
      <c r="T84" s="118"/>
      <c r="U84" s="118"/>
      <c r="V84" s="118"/>
      <c r="W84" s="118"/>
      <c r="X84" s="118"/>
      <c r="Y84" s="118"/>
      <c r="Z84" s="118"/>
      <c r="AA84" s="132">
        <v>38000000</v>
      </c>
      <c r="AB84" s="103"/>
      <c r="AC84" s="118"/>
      <c r="AD84" s="120">
        <f>+Q84+R84+S84+T84+U84+V84+W84+X84+Y84+Z84+AA84+AB84+AC84</f>
        <v>38000000</v>
      </c>
      <c r="AE84" s="156" t="s">
        <v>143</v>
      </c>
      <c r="AF84" s="546" t="s">
        <v>144</v>
      </c>
      <c r="AG84" s="1"/>
    </row>
    <row r="85" spans="1:89" s="635" customFormat="1" ht="30" customHeight="1" x14ac:dyDescent="0.2">
      <c r="A85" s="630"/>
      <c r="B85" s="631"/>
      <c r="C85" s="631"/>
      <c r="D85" s="631"/>
      <c r="E85" s="632"/>
      <c r="F85" s="630"/>
      <c r="G85" s="607"/>
      <c r="H85" s="632"/>
      <c r="I85" s="607"/>
      <c r="J85" s="633"/>
      <c r="K85" s="609"/>
      <c r="L85" s="630"/>
      <c r="M85" s="608"/>
      <c r="N85" s="634"/>
      <c r="O85" s="609"/>
      <c r="P85" s="609"/>
      <c r="Q85" s="630"/>
      <c r="R85" s="630"/>
      <c r="S85" s="630"/>
      <c r="T85" s="630"/>
      <c r="U85" s="630"/>
      <c r="V85" s="630"/>
      <c r="W85" s="630"/>
      <c r="X85" s="630"/>
      <c r="Y85" s="630"/>
      <c r="Z85" s="630"/>
      <c r="AA85" s="630"/>
      <c r="AB85" s="630"/>
      <c r="AC85" s="630"/>
      <c r="AD85" s="630"/>
      <c r="AE85" s="630"/>
      <c r="AF85" s="634"/>
      <c r="AG85" s="441"/>
      <c r="AH85" s="441"/>
      <c r="AI85" s="441"/>
      <c r="AJ85" s="441"/>
      <c r="AK85" s="441"/>
      <c r="AL85" s="441"/>
      <c r="AM85" s="441"/>
      <c r="AN85" s="441"/>
      <c r="AO85" s="441"/>
      <c r="AP85" s="441"/>
      <c r="AQ85" s="441"/>
      <c r="AR85" s="441"/>
      <c r="AS85" s="441"/>
      <c r="AT85" s="441"/>
      <c r="AU85" s="441"/>
      <c r="AV85" s="441"/>
      <c r="AW85" s="441"/>
      <c r="AX85" s="441"/>
      <c r="AY85" s="441"/>
      <c r="AZ85" s="441"/>
      <c r="BA85" s="441"/>
      <c r="BB85" s="441"/>
      <c r="BC85" s="441"/>
      <c r="BD85" s="441"/>
      <c r="BE85" s="441"/>
      <c r="BF85" s="441"/>
      <c r="BG85" s="441"/>
      <c r="BH85" s="441"/>
      <c r="BI85" s="441"/>
      <c r="BJ85" s="441"/>
      <c r="BK85" s="441"/>
      <c r="BL85" s="441"/>
      <c r="BM85" s="441"/>
      <c r="BN85" s="441"/>
      <c r="BO85" s="441"/>
      <c r="BP85" s="441"/>
      <c r="BQ85" s="441"/>
      <c r="BR85" s="441"/>
      <c r="BS85" s="441"/>
      <c r="BT85" s="441"/>
      <c r="BU85" s="441"/>
      <c r="BV85" s="441"/>
      <c r="BW85" s="441"/>
      <c r="BX85" s="441"/>
      <c r="BY85" s="441"/>
      <c r="BZ85" s="441"/>
      <c r="CA85" s="441"/>
      <c r="CB85" s="441"/>
      <c r="CC85" s="441"/>
      <c r="CD85" s="441"/>
      <c r="CE85" s="441"/>
      <c r="CF85" s="441"/>
      <c r="CG85" s="441"/>
      <c r="CH85" s="441"/>
      <c r="CI85" s="441"/>
      <c r="CJ85" s="441"/>
      <c r="CK85" s="441"/>
    </row>
    <row r="86" spans="1:89" ht="36.75" customHeight="1" x14ac:dyDescent="0.2">
      <c r="A86" s="86" t="s">
        <v>244</v>
      </c>
      <c r="B86" s="86"/>
      <c r="C86" s="86"/>
      <c r="D86" s="86"/>
      <c r="E86" s="87"/>
      <c r="F86" s="88"/>
      <c r="G86" s="89"/>
      <c r="H86" s="90"/>
      <c r="I86" s="89"/>
      <c r="J86" s="92"/>
      <c r="K86" s="91"/>
      <c r="L86" s="93"/>
      <c r="M86" s="92"/>
      <c r="N86" s="88"/>
      <c r="O86" s="91"/>
      <c r="P86" s="91"/>
      <c r="Q86" s="144">
        <f t="shared" ref="Q86:AD86" si="36">+Q87+Q111+Q120</f>
        <v>0</v>
      </c>
      <c r="R86" s="144">
        <f t="shared" si="36"/>
        <v>1724182726</v>
      </c>
      <c r="S86" s="144">
        <f t="shared" si="36"/>
        <v>0</v>
      </c>
      <c r="T86" s="144">
        <f t="shared" si="36"/>
        <v>0</v>
      </c>
      <c r="U86" s="144">
        <f t="shared" si="36"/>
        <v>0</v>
      </c>
      <c r="V86" s="144">
        <f t="shared" si="36"/>
        <v>0</v>
      </c>
      <c r="W86" s="144">
        <f t="shared" si="36"/>
        <v>0</v>
      </c>
      <c r="X86" s="144">
        <f t="shared" si="36"/>
        <v>0</v>
      </c>
      <c r="Y86" s="144">
        <f t="shared" si="36"/>
        <v>0</v>
      </c>
      <c r="Z86" s="144">
        <f t="shared" si="36"/>
        <v>0</v>
      </c>
      <c r="AA86" s="144">
        <f t="shared" si="36"/>
        <v>982000000</v>
      </c>
      <c r="AB86" s="144">
        <f t="shared" si="36"/>
        <v>0</v>
      </c>
      <c r="AC86" s="144">
        <f t="shared" si="36"/>
        <v>0</v>
      </c>
      <c r="AD86" s="144">
        <f t="shared" si="36"/>
        <v>2706182726</v>
      </c>
      <c r="AE86" s="144"/>
      <c r="AF86" s="94"/>
      <c r="AG86" s="4">
        <v>2706182726</v>
      </c>
    </row>
    <row r="87" spans="1:89" ht="23.25" customHeight="1" x14ac:dyDescent="0.2">
      <c r="A87" s="103"/>
      <c r="B87" s="99">
        <v>1</v>
      </c>
      <c r="C87" s="594" t="s">
        <v>134</v>
      </c>
      <c r="D87" s="96"/>
      <c r="E87" s="365"/>
      <c r="F87" s="365"/>
      <c r="G87" s="365"/>
      <c r="H87" s="97"/>
      <c r="I87" s="489"/>
      <c r="J87" s="99"/>
      <c r="K87" s="98"/>
      <c r="L87" s="182"/>
      <c r="M87" s="99"/>
      <c r="N87" s="101"/>
      <c r="O87" s="98"/>
      <c r="P87" s="98"/>
      <c r="Q87" s="102">
        <f>Q88+Q95+Q98+Q107</f>
        <v>0</v>
      </c>
      <c r="R87" s="102">
        <f>R88+R95+R98+R107</f>
        <v>1724182726</v>
      </c>
      <c r="S87" s="102">
        <f t="shared" ref="S87:AC87" si="37">S88+S95+S98+S107</f>
        <v>0</v>
      </c>
      <c r="T87" s="102">
        <f t="shared" si="37"/>
        <v>0</v>
      </c>
      <c r="U87" s="102">
        <f t="shared" si="37"/>
        <v>0</v>
      </c>
      <c r="V87" s="102">
        <f t="shared" si="37"/>
        <v>0</v>
      </c>
      <c r="W87" s="102">
        <f t="shared" si="37"/>
        <v>0</v>
      </c>
      <c r="X87" s="102">
        <f t="shared" si="37"/>
        <v>0</v>
      </c>
      <c r="Y87" s="102">
        <f t="shared" si="37"/>
        <v>0</v>
      </c>
      <c r="Z87" s="102">
        <f t="shared" si="37"/>
        <v>0</v>
      </c>
      <c r="AA87" s="102">
        <f t="shared" si="37"/>
        <v>476000000</v>
      </c>
      <c r="AB87" s="102">
        <f t="shared" si="37"/>
        <v>0</v>
      </c>
      <c r="AC87" s="102">
        <f t="shared" si="37"/>
        <v>0</v>
      </c>
      <c r="AD87" s="102">
        <f>AD88+AD95+AD98+AD107</f>
        <v>2200182726</v>
      </c>
      <c r="AE87" s="102"/>
      <c r="AF87" s="543"/>
      <c r="AG87" s="4">
        <f>AG86-AD86</f>
        <v>0</v>
      </c>
    </row>
    <row r="88" spans="1:89" s="9" customFormat="1" ht="27.75" customHeight="1" x14ac:dyDescent="0.25">
      <c r="A88" s="95"/>
      <c r="B88" s="576"/>
      <c r="C88" s="593">
        <v>12</v>
      </c>
      <c r="D88" s="578" t="s">
        <v>1303</v>
      </c>
      <c r="E88" s="592"/>
      <c r="F88" s="579"/>
      <c r="G88" s="580"/>
      <c r="H88" s="581"/>
      <c r="I88" s="582"/>
      <c r="J88" s="583"/>
      <c r="K88" s="584"/>
      <c r="L88" s="585"/>
      <c r="M88" s="583"/>
      <c r="N88" s="587"/>
      <c r="O88" s="588"/>
      <c r="P88" s="588"/>
      <c r="Q88" s="589">
        <f t="shared" ref="Q88:AD88" si="38">Q89+Q91+Q93</f>
        <v>0</v>
      </c>
      <c r="R88" s="589">
        <f t="shared" si="38"/>
        <v>0</v>
      </c>
      <c r="S88" s="589">
        <f t="shared" si="38"/>
        <v>0</v>
      </c>
      <c r="T88" s="589">
        <f t="shared" si="38"/>
        <v>0</v>
      </c>
      <c r="U88" s="589">
        <f t="shared" si="38"/>
        <v>0</v>
      </c>
      <c r="V88" s="589">
        <f t="shared" si="38"/>
        <v>0</v>
      </c>
      <c r="W88" s="589">
        <f t="shared" si="38"/>
        <v>0</v>
      </c>
      <c r="X88" s="589">
        <f t="shared" si="38"/>
        <v>0</v>
      </c>
      <c r="Y88" s="589">
        <f t="shared" si="38"/>
        <v>0</v>
      </c>
      <c r="Z88" s="589">
        <f t="shared" si="38"/>
        <v>0</v>
      </c>
      <c r="AA88" s="589">
        <f t="shared" si="38"/>
        <v>186000000</v>
      </c>
      <c r="AB88" s="589">
        <f t="shared" si="38"/>
        <v>0</v>
      </c>
      <c r="AC88" s="589">
        <f t="shared" si="38"/>
        <v>0</v>
      </c>
      <c r="AD88" s="589">
        <f t="shared" si="38"/>
        <v>186000000</v>
      </c>
      <c r="AE88" s="589"/>
      <c r="AF88" s="590"/>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row>
    <row r="89" spans="1:89" ht="28.5" customHeight="1" x14ac:dyDescent="0.2">
      <c r="A89" s="103"/>
      <c r="B89" s="104"/>
      <c r="C89" s="104"/>
      <c r="D89" s="104"/>
      <c r="E89" s="74">
        <v>1202</v>
      </c>
      <c r="F89" s="471" t="s">
        <v>135</v>
      </c>
      <c r="G89" s="473"/>
      <c r="H89" s="107"/>
      <c r="I89" s="487"/>
      <c r="J89" s="74"/>
      <c r="K89" s="70"/>
      <c r="L89" s="183"/>
      <c r="M89" s="74"/>
      <c r="N89" s="109"/>
      <c r="O89" s="70"/>
      <c r="P89" s="70"/>
      <c r="Q89" s="636">
        <f t="shared" ref="Q89:AD89" si="39">Q90</f>
        <v>0</v>
      </c>
      <c r="R89" s="636">
        <f t="shared" si="39"/>
        <v>0</v>
      </c>
      <c r="S89" s="636">
        <f t="shared" si="39"/>
        <v>0</v>
      </c>
      <c r="T89" s="636">
        <f t="shared" si="39"/>
        <v>0</v>
      </c>
      <c r="U89" s="636">
        <f t="shared" si="39"/>
        <v>0</v>
      </c>
      <c r="V89" s="636">
        <f t="shared" si="39"/>
        <v>0</v>
      </c>
      <c r="W89" s="636">
        <f t="shared" si="39"/>
        <v>0</v>
      </c>
      <c r="X89" s="636">
        <f t="shared" si="39"/>
        <v>0</v>
      </c>
      <c r="Y89" s="636">
        <f t="shared" si="39"/>
        <v>0</v>
      </c>
      <c r="Z89" s="636">
        <f t="shared" si="39"/>
        <v>0</v>
      </c>
      <c r="AA89" s="636">
        <f t="shared" si="39"/>
        <v>114000000</v>
      </c>
      <c r="AB89" s="636">
        <f t="shared" si="39"/>
        <v>0</v>
      </c>
      <c r="AC89" s="636">
        <f t="shared" si="39"/>
        <v>0</v>
      </c>
      <c r="AD89" s="636">
        <f t="shared" si="39"/>
        <v>114000000</v>
      </c>
      <c r="AE89" s="184"/>
      <c r="AF89" s="544"/>
    </row>
    <row r="90" spans="1:89" ht="186" customHeight="1" x14ac:dyDescent="0.2">
      <c r="A90" s="103"/>
      <c r="B90" s="104"/>
      <c r="C90" s="104"/>
      <c r="D90" s="104"/>
      <c r="E90" s="111"/>
      <c r="F90" s="457"/>
      <c r="G90" s="193" t="s">
        <v>136</v>
      </c>
      <c r="H90" s="463">
        <v>1202004</v>
      </c>
      <c r="I90" s="140" t="s">
        <v>245</v>
      </c>
      <c r="J90" s="160">
        <v>120200400</v>
      </c>
      <c r="K90" s="185" t="s">
        <v>108</v>
      </c>
      <c r="L90" s="457" t="s">
        <v>45</v>
      </c>
      <c r="M90" s="470">
        <v>12</v>
      </c>
      <c r="N90" s="454" t="s">
        <v>246</v>
      </c>
      <c r="O90" s="484" t="s">
        <v>247</v>
      </c>
      <c r="P90" s="484" t="s">
        <v>248</v>
      </c>
      <c r="Q90" s="118"/>
      <c r="R90" s="186"/>
      <c r="S90" s="118"/>
      <c r="T90" s="118"/>
      <c r="U90" s="118"/>
      <c r="V90" s="118"/>
      <c r="W90" s="118"/>
      <c r="X90" s="118"/>
      <c r="Y90" s="118"/>
      <c r="Z90" s="118"/>
      <c r="AA90" s="132">
        <v>114000000</v>
      </c>
      <c r="AB90" s="118"/>
      <c r="AC90" s="118"/>
      <c r="AD90" s="120">
        <f>+Q90+R90+S90+T90+U90+V90+W90+X90+Y90+Z90+AA90+AB90+AC90</f>
        <v>114000000</v>
      </c>
      <c r="AE90" s="120" t="s">
        <v>249</v>
      </c>
      <c r="AF90" s="546" t="s">
        <v>250</v>
      </c>
      <c r="AG90" s="1"/>
    </row>
    <row r="91" spans="1:89" ht="30.75" customHeight="1" x14ac:dyDescent="0.2">
      <c r="A91" s="103"/>
      <c r="B91" s="104"/>
      <c r="C91" s="104"/>
      <c r="D91" s="104"/>
      <c r="E91" s="74">
        <v>1203</v>
      </c>
      <c r="F91" s="471" t="s">
        <v>251</v>
      </c>
      <c r="G91" s="473"/>
      <c r="H91" s="107"/>
      <c r="I91" s="487"/>
      <c r="J91" s="74"/>
      <c r="K91" s="70"/>
      <c r="L91" s="183"/>
      <c r="M91" s="74"/>
      <c r="N91" s="109"/>
      <c r="O91" s="481"/>
      <c r="P91" s="481"/>
      <c r="Q91" s="110">
        <f>Q92</f>
        <v>0</v>
      </c>
      <c r="R91" s="110">
        <f t="shared" ref="R91:AD91" si="40">R92</f>
        <v>0</v>
      </c>
      <c r="S91" s="110">
        <f t="shared" si="40"/>
        <v>0</v>
      </c>
      <c r="T91" s="110">
        <f t="shared" si="40"/>
        <v>0</v>
      </c>
      <c r="U91" s="110">
        <f t="shared" si="40"/>
        <v>0</v>
      </c>
      <c r="V91" s="110">
        <f t="shared" si="40"/>
        <v>0</v>
      </c>
      <c r="W91" s="110">
        <f t="shared" si="40"/>
        <v>0</v>
      </c>
      <c r="X91" s="110">
        <f t="shared" si="40"/>
        <v>0</v>
      </c>
      <c r="Y91" s="110">
        <f t="shared" si="40"/>
        <v>0</v>
      </c>
      <c r="Z91" s="110">
        <f t="shared" si="40"/>
        <v>0</v>
      </c>
      <c r="AA91" s="110">
        <f t="shared" si="40"/>
        <v>36000000</v>
      </c>
      <c r="AB91" s="110">
        <f t="shared" si="40"/>
        <v>0</v>
      </c>
      <c r="AC91" s="110">
        <f t="shared" si="40"/>
        <v>0</v>
      </c>
      <c r="AD91" s="110">
        <f t="shared" si="40"/>
        <v>36000000</v>
      </c>
      <c r="AE91" s="468"/>
      <c r="AF91" s="544"/>
    </row>
    <row r="92" spans="1:89" ht="186" customHeight="1" x14ac:dyDescent="0.2">
      <c r="A92" s="103"/>
      <c r="B92" s="104"/>
      <c r="C92" s="104"/>
      <c r="D92" s="104"/>
      <c r="E92" s="111"/>
      <c r="F92" s="457"/>
      <c r="G92" s="193" t="s">
        <v>136</v>
      </c>
      <c r="H92" s="463">
        <v>1203002</v>
      </c>
      <c r="I92" s="140" t="s">
        <v>252</v>
      </c>
      <c r="J92" s="160">
        <v>120300200</v>
      </c>
      <c r="K92" s="185" t="s">
        <v>253</v>
      </c>
      <c r="L92" s="453" t="s">
        <v>57</v>
      </c>
      <c r="M92" s="470">
        <v>40</v>
      </c>
      <c r="N92" s="454" t="s">
        <v>254</v>
      </c>
      <c r="O92" s="484" t="s">
        <v>255</v>
      </c>
      <c r="P92" s="484" t="s">
        <v>256</v>
      </c>
      <c r="Q92" s="118"/>
      <c r="R92" s="120"/>
      <c r="S92" s="118"/>
      <c r="T92" s="118"/>
      <c r="U92" s="118"/>
      <c r="V92" s="118"/>
      <c r="W92" s="118"/>
      <c r="X92" s="118"/>
      <c r="Y92" s="118"/>
      <c r="Z92" s="118"/>
      <c r="AA92" s="132">
        <v>36000000</v>
      </c>
      <c r="AB92" s="118"/>
      <c r="AC92" s="187"/>
      <c r="AD92" s="120">
        <f>+Q92+R92+S92+T92+U92+V92+W92+X92+Y92+Z92+AA92+AB92+AC92</f>
        <v>36000000</v>
      </c>
      <c r="AE92" s="120" t="s">
        <v>249</v>
      </c>
      <c r="AF92" s="546" t="s">
        <v>250</v>
      </c>
      <c r="AG92" s="1"/>
    </row>
    <row r="93" spans="1:89" ht="27" customHeight="1" x14ac:dyDescent="0.2">
      <c r="A93" s="103"/>
      <c r="B93" s="104"/>
      <c r="C93" s="104"/>
      <c r="D93" s="104"/>
      <c r="E93" s="74">
        <v>1206</v>
      </c>
      <c r="F93" s="1498" t="s">
        <v>257</v>
      </c>
      <c r="G93" s="1499"/>
      <c r="H93" s="107"/>
      <c r="I93" s="487"/>
      <c r="J93" s="74"/>
      <c r="K93" s="70"/>
      <c r="L93" s="183"/>
      <c r="M93" s="74"/>
      <c r="N93" s="109"/>
      <c r="O93" s="70"/>
      <c r="P93" s="70"/>
      <c r="Q93" s="637">
        <f>Q94</f>
        <v>0</v>
      </c>
      <c r="R93" s="637">
        <f t="shared" ref="R93:AD93" si="41">R94</f>
        <v>0</v>
      </c>
      <c r="S93" s="637">
        <f t="shared" si="41"/>
        <v>0</v>
      </c>
      <c r="T93" s="637">
        <f t="shared" si="41"/>
        <v>0</v>
      </c>
      <c r="U93" s="637">
        <f t="shared" si="41"/>
        <v>0</v>
      </c>
      <c r="V93" s="637">
        <f t="shared" si="41"/>
        <v>0</v>
      </c>
      <c r="W93" s="637">
        <f t="shared" si="41"/>
        <v>0</v>
      </c>
      <c r="X93" s="637">
        <f t="shared" si="41"/>
        <v>0</v>
      </c>
      <c r="Y93" s="637">
        <f t="shared" si="41"/>
        <v>0</v>
      </c>
      <c r="Z93" s="637">
        <f t="shared" si="41"/>
        <v>0</v>
      </c>
      <c r="AA93" s="637">
        <f t="shared" si="41"/>
        <v>36000000</v>
      </c>
      <c r="AB93" s="637">
        <f t="shared" si="41"/>
        <v>0</v>
      </c>
      <c r="AC93" s="637">
        <f t="shared" si="41"/>
        <v>0</v>
      </c>
      <c r="AD93" s="637">
        <f t="shared" si="41"/>
        <v>36000000</v>
      </c>
      <c r="AE93" s="110"/>
      <c r="AF93" s="544"/>
    </row>
    <row r="94" spans="1:89" ht="180" customHeight="1" x14ac:dyDescent="0.2">
      <c r="A94" s="103"/>
      <c r="B94" s="104"/>
      <c r="C94" s="104"/>
      <c r="D94" s="104"/>
      <c r="E94" s="111"/>
      <c r="F94" s="457"/>
      <c r="G94" s="193" t="s">
        <v>136</v>
      </c>
      <c r="H94" s="463">
        <v>1206005</v>
      </c>
      <c r="I94" s="140" t="s">
        <v>258</v>
      </c>
      <c r="J94" s="160">
        <v>120600500</v>
      </c>
      <c r="K94" s="199" t="s">
        <v>259</v>
      </c>
      <c r="L94" s="453" t="s">
        <v>57</v>
      </c>
      <c r="M94" s="470">
        <v>20</v>
      </c>
      <c r="N94" s="454" t="s">
        <v>260</v>
      </c>
      <c r="O94" s="485" t="s">
        <v>261</v>
      </c>
      <c r="P94" s="485" t="s">
        <v>262</v>
      </c>
      <c r="Q94" s="118"/>
      <c r="R94" s="189"/>
      <c r="S94" s="118"/>
      <c r="T94" s="118"/>
      <c r="U94" s="118"/>
      <c r="V94" s="118"/>
      <c r="W94" s="118"/>
      <c r="X94" s="118"/>
      <c r="Y94" s="118"/>
      <c r="Z94" s="118"/>
      <c r="AA94" s="132">
        <v>36000000</v>
      </c>
      <c r="AB94" s="118"/>
      <c r="AC94" s="118"/>
      <c r="AD94" s="120">
        <f>+Q94+R94+S94+T94+U94+V94+W94+X94+Y94+Z94+AA94+AB94+AC94</f>
        <v>36000000</v>
      </c>
      <c r="AE94" s="120" t="s">
        <v>249</v>
      </c>
      <c r="AF94" s="546" t="s">
        <v>250</v>
      </c>
      <c r="AG94" s="1"/>
    </row>
    <row r="95" spans="1:89" s="9" customFormat="1" ht="27.75" customHeight="1" x14ac:dyDescent="0.25">
      <c r="A95" s="95"/>
      <c r="B95" s="576"/>
      <c r="C95" s="593">
        <v>22</v>
      </c>
      <c r="D95" s="578" t="s">
        <v>266</v>
      </c>
      <c r="E95" s="592"/>
      <c r="F95" s="579"/>
      <c r="G95" s="580"/>
      <c r="H95" s="581"/>
      <c r="I95" s="582"/>
      <c r="J95" s="583"/>
      <c r="K95" s="584"/>
      <c r="L95" s="585"/>
      <c r="M95" s="583"/>
      <c r="N95" s="587"/>
      <c r="O95" s="588"/>
      <c r="P95" s="588"/>
      <c r="Q95" s="589">
        <f>Q96</f>
        <v>0</v>
      </c>
      <c r="R95" s="589">
        <f t="shared" ref="R95:AD96" si="42">R96</f>
        <v>0</v>
      </c>
      <c r="S95" s="589">
        <f t="shared" si="42"/>
        <v>0</v>
      </c>
      <c r="T95" s="589">
        <f t="shared" si="42"/>
        <v>0</v>
      </c>
      <c r="U95" s="589">
        <f t="shared" si="42"/>
        <v>0</v>
      </c>
      <c r="V95" s="589">
        <f t="shared" si="42"/>
        <v>0</v>
      </c>
      <c r="W95" s="589">
        <f t="shared" si="42"/>
        <v>0</v>
      </c>
      <c r="X95" s="589">
        <f t="shared" si="42"/>
        <v>0</v>
      </c>
      <c r="Y95" s="589">
        <f t="shared" si="42"/>
        <v>0</v>
      </c>
      <c r="Z95" s="589">
        <f t="shared" si="42"/>
        <v>0</v>
      </c>
      <c r="AA95" s="589">
        <f t="shared" si="42"/>
        <v>30000000</v>
      </c>
      <c r="AB95" s="589">
        <f t="shared" si="42"/>
        <v>0</v>
      </c>
      <c r="AC95" s="589">
        <f t="shared" si="42"/>
        <v>0</v>
      </c>
      <c r="AD95" s="589">
        <f t="shared" si="42"/>
        <v>30000000</v>
      </c>
      <c r="AE95" s="589"/>
      <c r="AF95" s="590"/>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row>
    <row r="96" spans="1:89" ht="27.75" customHeight="1" x14ac:dyDescent="0.2">
      <c r="A96" s="103"/>
      <c r="B96" s="104"/>
      <c r="C96" s="104"/>
      <c r="D96" s="104"/>
      <c r="E96" s="74">
        <v>2201</v>
      </c>
      <c r="F96" s="471" t="s">
        <v>152</v>
      </c>
      <c r="G96" s="473"/>
      <c r="H96" s="107"/>
      <c r="I96" s="487"/>
      <c r="J96" s="74"/>
      <c r="K96" s="70"/>
      <c r="L96" s="183"/>
      <c r="M96" s="74"/>
      <c r="N96" s="109"/>
      <c r="O96" s="481"/>
      <c r="P96" s="481"/>
      <c r="Q96" s="636">
        <f>Q97</f>
        <v>0</v>
      </c>
      <c r="R96" s="636">
        <f t="shared" si="42"/>
        <v>0</v>
      </c>
      <c r="S96" s="636">
        <f t="shared" si="42"/>
        <v>0</v>
      </c>
      <c r="T96" s="636">
        <f t="shared" si="42"/>
        <v>0</v>
      </c>
      <c r="U96" s="636">
        <f t="shared" si="42"/>
        <v>0</v>
      </c>
      <c r="V96" s="636">
        <f t="shared" si="42"/>
        <v>0</v>
      </c>
      <c r="W96" s="636">
        <f t="shared" si="42"/>
        <v>0</v>
      </c>
      <c r="X96" s="636">
        <f t="shared" si="42"/>
        <v>0</v>
      </c>
      <c r="Y96" s="636">
        <f t="shared" si="42"/>
        <v>0</v>
      </c>
      <c r="Z96" s="636">
        <f t="shared" si="42"/>
        <v>0</v>
      </c>
      <c r="AA96" s="636">
        <f t="shared" si="42"/>
        <v>30000000</v>
      </c>
      <c r="AB96" s="636">
        <f t="shared" si="42"/>
        <v>0</v>
      </c>
      <c r="AC96" s="636">
        <f t="shared" si="42"/>
        <v>0</v>
      </c>
      <c r="AD96" s="636">
        <f t="shared" si="42"/>
        <v>30000000</v>
      </c>
      <c r="AE96" s="190"/>
      <c r="AF96" s="303"/>
    </row>
    <row r="97" spans="1:89" ht="129.75" customHeight="1" x14ac:dyDescent="0.2">
      <c r="A97" s="103"/>
      <c r="B97" s="104"/>
      <c r="C97" s="104"/>
      <c r="D97" s="104"/>
      <c r="E97" s="111"/>
      <c r="F97" s="462"/>
      <c r="G97" s="193" t="s">
        <v>263</v>
      </c>
      <c r="H97" s="191">
        <v>2201068</v>
      </c>
      <c r="I97" s="193" t="s">
        <v>264</v>
      </c>
      <c r="J97" s="160">
        <v>220106800</v>
      </c>
      <c r="K97" s="192" t="s">
        <v>265</v>
      </c>
      <c r="L97" s="457" t="s">
        <v>57</v>
      </c>
      <c r="M97" s="470">
        <v>70</v>
      </c>
      <c r="N97" s="454" t="s">
        <v>267</v>
      </c>
      <c r="O97" s="199" t="s">
        <v>268</v>
      </c>
      <c r="P97" s="199" t="s">
        <v>269</v>
      </c>
      <c r="Q97" s="118"/>
      <c r="R97" s="118"/>
      <c r="S97" s="118"/>
      <c r="T97" s="118"/>
      <c r="U97" s="118"/>
      <c r="V97" s="118"/>
      <c r="W97" s="118"/>
      <c r="X97" s="118"/>
      <c r="Y97" s="118"/>
      <c r="Z97" s="118"/>
      <c r="AA97" s="132">
        <v>30000000</v>
      </c>
      <c r="AB97" s="118"/>
      <c r="AC97" s="118"/>
      <c r="AD97" s="120">
        <f>+Q97+R97+S97+T97+U97+V97+W97+X97+Y97+Z97+AA97+AB97+AC97</f>
        <v>30000000</v>
      </c>
      <c r="AE97" s="120" t="s">
        <v>249</v>
      </c>
      <c r="AF97" s="546" t="s">
        <v>250</v>
      </c>
      <c r="AG97" s="1"/>
    </row>
    <row r="98" spans="1:89" s="9" customFormat="1" ht="27.75" customHeight="1" x14ac:dyDescent="0.25">
      <c r="A98" s="95"/>
      <c r="B98" s="576"/>
      <c r="C98" s="593">
        <v>41</v>
      </c>
      <c r="D98" s="578" t="s">
        <v>1308</v>
      </c>
      <c r="E98" s="592"/>
      <c r="F98" s="579"/>
      <c r="G98" s="580"/>
      <c r="H98" s="581"/>
      <c r="I98" s="582"/>
      <c r="J98" s="583"/>
      <c r="K98" s="584"/>
      <c r="L98" s="585"/>
      <c r="M98" s="583"/>
      <c r="N98" s="587"/>
      <c r="O98" s="588"/>
      <c r="P98" s="588"/>
      <c r="Q98" s="589">
        <f>Q99+Q105</f>
        <v>0</v>
      </c>
      <c r="R98" s="589">
        <f t="shared" ref="R98:AD98" si="43">R99+R105</f>
        <v>0</v>
      </c>
      <c r="S98" s="589">
        <f t="shared" si="43"/>
        <v>0</v>
      </c>
      <c r="T98" s="589">
        <f t="shared" si="43"/>
        <v>0</v>
      </c>
      <c r="U98" s="589">
        <f t="shared" si="43"/>
        <v>0</v>
      </c>
      <c r="V98" s="589">
        <f t="shared" si="43"/>
        <v>0</v>
      </c>
      <c r="W98" s="589">
        <f t="shared" si="43"/>
        <v>0</v>
      </c>
      <c r="X98" s="589">
        <f t="shared" si="43"/>
        <v>0</v>
      </c>
      <c r="Y98" s="589">
        <f t="shared" si="43"/>
        <v>0</v>
      </c>
      <c r="Z98" s="589">
        <f t="shared" si="43"/>
        <v>0</v>
      </c>
      <c r="AA98" s="589">
        <f t="shared" si="43"/>
        <v>224000000</v>
      </c>
      <c r="AB98" s="589">
        <f t="shared" si="43"/>
        <v>0</v>
      </c>
      <c r="AC98" s="589">
        <f t="shared" si="43"/>
        <v>0</v>
      </c>
      <c r="AD98" s="589">
        <f t="shared" si="43"/>
        <v>224000000</v>
      </c>
      <c r="AE98" s="589">
        <f>AE99</f>
        <v>0</v>
      </c>
      <c r="AF98" s="589">
        <f>AF99</f>
        <v>0</v>
      </c>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row>
    <row r="99" spans="1:89" ht="24" customHeight="1" x14ac:dyDescent="0.2">
      <c r="A99" s="103"/>
      <c r="B99" s="104"/>
      <c r="C99" s="104"/>
      <c r="D99" s="104"/>
      <c r="E99" s="74">
        <v>4101</v>
      </c>
      <c r="F99" s="471" t="s">
        <v>270</v>
      </c>
      <c r="G99" s="473"/>
      <c r="H99" s="107"/>
      <c r="I99" s="487"/>
      <c r="J99" s="74"/>
      <c r="K99" s="70"/>
      <c r="L99" s="183"/>
      <c r="M99" s="74"/>
      <c r="N99" s="109"/>
      <c r="O99" s="70"/>
      <c r="P99" s="70"/>
      <c r="Q99" s="110">
        <f>SUM(Q100:Q104)</f>
        <v>0</v>
      </c>
      <c r="R99" s="110">
        <f t="shared" ref="R99:AF99" si="44">SUM(R100:R104)</f>
        <v>0</v>
      </c>
      <c r="S99" s="110">
        <f t="shared" si="44"/>
        <v>0</v>
      </c>
      <c r="T99" s="110">
        <f t="shared" si="44"/>
        <v>0</v>
      </c>
      <c r="U99" s="110">
        <f t="shared" si="44"/>
        <v>0</v>
      </c>
      <c r="V99" s="110">
        <f t="shared" si="44"/>
        <v>0</v>
      </c>
      <c r="W99" s="110">
        <f t="shared" si="44"/>
        <v>0</v>
      </c>
      <c r="X99" s="110">
        <f t="shared" si="44"/>
        <v>0</v>
      </c>
      <c r="Y99" s="110">
        <f t="shared" si="44"/>
        <v>0</v>
      </c>
      <c r="Z99" s="110">
        <f t="shared" si="44"/>
        <v>0</v>
      </c>
      <c r="AA99" s="110">
        <f t="shared" si="44"/>
        <v>206000000</v>
      </c>
      <c r="AB99" s="110">
        <f t="shared" si="44"/>
        <v>0</v>
      </c>
      <c r="AC99" s="110">
        <f t="shared" si="44"/>
        <v>0</v>
      </c>
      <c r="AD99" s="110">
        <f t="shared" si="44"/>
        <v>206000000</v>
      </c>
      <c r="AE99" s="110">
        <f t="shared" si="44"/>
        <v>0</v>
      </c>
      <c r="AF99" s="110">
        <f t="shared" si="44"/>
        <v>0</v>
      </c>
    </row>
    <row r="100" spans="1:89" ht="140.25" customHeight="1" x14ac:dyDescent="0.2">
      <c r="A100" s="103"/>
      <c r="B100" s="104"/>
      <c r="C100" s="104"/>
      <c r="D100" s="104"/>
      <c r="E100" s="461"/>
      <c r="F100" s="457"/>
      <c r="G100" s="193" t="s">
        <v>271</v>
      </c>
      <c r="H100" s="160">
        <v>4101023</v>
      </c>
      <c r="I100" s="193" t="s">
        <v>272</v>
      </c>
      <c r="J100" s="160">
        <v>410102300</v>
      </c>
      <c r="K100" s="220" t="s">
        <v>273</v>
      </c>
      <c r="L100" s="453" t="s">
        <v>57</v>
      </c>
      <c r="M100" s="470">
        <v>500</v>
      </c>
      <c r="N100" s="1523" t="s">
        <v>274</v>
      </c>
      <c r="O100" s="1519" t="s">
        <v>275</v>
      </c>
      <c r="P100" s="1503" t="s">
        <v>276</v>
      </c>
      <c r="Q100" s="118"/>
      <c r="R100" s="118"/>
      <c r="S100" s="118"/>
      <c r="T100" s="118"/>
      <c r="U100" s="118"/>
      <c r="V100" s="118"/>
      <c r="W100" s="118"/>
      <c r="X100" s="118"/>
      <c r="Y100" s="118"/>
      <c r="Z100" s="118"/>
      <c r="AA100" s="132">
        <v>70000000</v>
      </c>
      <c r="AB100" s="118"/>
      <c r="AC100" s="118"/>
      <c r="AD100" s="120">
        <f>+Q100+R100+S100+T100+U100+V100+W100+X100+Y100+Z100+AA100+AB100+AC100</f>
        <v>70000000</v>
      </c>
      <c r="AE100" s="120" t="s">
        <v>249</v>
      </c>
      <c r="AF100" s="546" t="s">
        <v>250</v>
      </c>
      <c r="AG100" s="1"/>
    </row>
    <row r="101" spans="1:89" ht="45" x14ac:dyDescent="0.2">
      <c r="A101" s="103"/>
      <c r="B101" s="104"/>
      <c r="C101" s="104"/>
      <c r="D101" s="104"/>
      <c r="E101" s="461"/>
      <c r="F101" s="457"/>
      <c r="G101" s="193" t="s">
        <v>271</v>
      </c>
      <c r="H101" s="160">
        <v>4101025</v>
      </c>
      <c r="I101" s="193" t="s">
        <v>277</v>
      </c>
      <c r="J101" s="160">
        <v>410102511</v>
      </c>
      <c r="K101" s="192" t="s">
        <v>278</v>
      </c>
      <c r="L101" s="453" t="s">
        <v>57</v>
      </c>
      <c r="M101" s="470">
        <v>100</v>
      </c>
      <c r="N101" s="1523"/>
      <c r="O101" s="1519"/>
      <c r="P101" s="1503"/>
      <c r="Q101" s="118"/>
      <c r="R101" s="118"/>
      <c r="S101" s="118"/>
      <c r="T101" s="118"/>
      <c r="U101" s="118"/>
      <c r="V101" s="118"/>
      <c r="W101" s="118"/>
      <c r="X101" s="118"/>
      <c r="Y101" s="118"/>
      <c r="Z101" s="118"/>
      <c r="AA101" s="132">
        <v>40000000</v>
      </c>
      <c r="AB101" s="118"/>
      <c r="AC101" s="118"/>
      <c r="AD101" s="120">
        <f>+Q101+R101+S101+T101+U101+V101+W101+X101+Y101+Z101+AA101+AB101+AC101</f>
        <v>40000000</v>
      </c>
      <c r="AE101" s="120" t="s">
        <v>249</v>
      </c>
      <c r="AF101" s="546" t="s">
        <v>250</v>
      </c>
      <c r="AG101" s="1"/>
    </row>
    <row r="102" spans="1:89" ht="69" customHeight="1" x14ac:dyDescent="0.2">
      <c r="A102" s="103"/>
      <c r="B102" s="104"/>
      <c r="C102" s="104"/>
      <c r="D102" s="104"/>
      <c r="E102" s="461"/>
      <c r="F102" s="457"/>
      <c r="G102" s="193" t="s">
        <v>271</v>
      </c>
      <c r="H102" s="160">
        <v>4101038</v>
      </c>
      <c r="I102" s="193" t="s">
        <v>279</v>
      </c>
      <c r="J102" s="160">
        <v>410103800</v>
      </c>
      <c r="K102" s="192" t="s">
        <v>280</v>
      </c>
      <c r="L102" s="453" t="s">
        <v>57</v>
      </c>
      <c r="M102" s="470">
        <v>12</v>
      </c>
      <c r="N102" s="1523"/>
      <c r="O102" s="1519"/>
      <c r="P102" s="1503"/>
      <c r="Q102" s="118"/>
      <c r="R102" s="118"/>
      <c r="S102" s="118"/>
      <c r="T102" s="118"/>
      <c r="U102" s="118"/>
      <c r="V102" s="118"/>
      <c r="W102" s="118"/>
      <c r="X102" s="118"/>
      <c r="Y102" s="118"/>
      <c r="Z102" s="118"/>
      <c r="AA102" s="132">
        <v>41000000</v>
      </c>
      <c r="AB102" s="118"/>
      <c r="AC102" s="118"/>
      <c r="AD102" s="120">
        <f>+Q102+R102+S102+T102+U102+V102+W102+X102+Y102+Z102+AA102+AB102+AC102</f>
        <v>41000000</v>
      </c>
      <c r="AE102" s="120" t="s">
        <v>249</v>
      </c>
      <c r="AF102" s="546" t="s">
        <v>250</v>
      </c>
      <c r="AG102" s="1"/>
    </row>
    <row r="103" spans="1:89" ht="109.5" customHeight="1" x14ac:dyDescent="0.2">
      <c r="A103" s="103"/>
      <c r="B103" s="104"/>
      <c r="C103" s="104"/>
      <c r="D103" s="104"/>
      <c r="E103" s="461"/>
      <c r="F103" s="457"/>
      <c r="G103" s="193" t="s">
        <v>281</v>
      </c>
      <c r="H103" s="160">
        <v>4101073</v>
      </c>
      <c r="I103" s="193" t="s">
        <v>282</v>
      </c>
      <c r="J103" s="160">
        <v>410107300</v>
      </c>
      <c r="K103" s="192" t="s">
        <v>283</v>
      </c>
      <c r="L103" s="466" t="s">
        <v>57</v>
      </c>
      <c r="M103" s="470">
        <v>30</v>
      </c>
      <c r="N103" s="1523"/>
      <c r="O103" s="1519"/>
      <c r="P103" s="1503"/>
      <c r="Q103" s="118"/>
      <c r="R103" s="118"/>
      <c r="S103" s="118"/>
      <c r="T103" s="118"/>
      <c r="U103" s="118"/>
      <c r="V103" s="118"/>
      <c r="W103" s="118"/>
      <c r="X103" s="118"/>
      <c r="Y103" s="118"/>
      <c r="Z103" s="118"/>
      <c r="AA103" s="132">
        <v>40000000</v>
      </c>
      <c r="AB103" s="118"/>
      <c r="AC103" s="118"/>
      <c r="AD103" s="120">
        <f>+Q103+R103+S103+T103+U103+V103+W103+X103+Y103+Z103+AA103+AB103+AC103</f>
        <v>40000000</v>
      </c>
      <c r="AE103" s="120" t="s">
        <v>249</v>
      </c>
      <c r="AF103" s="546" t="s">
        <v>250</v>
      </c>
      <c r="AG103" s="1"/>
    </row>
    <row r="104" spans="1:89" ht="75" x14ac:dyDescent="0.2">
      <c r="A104" s="103"/>
      <c r="B104" s="104"/>
      <c r="C104" s="104"/>
      <c r="D104" s="104"/>
      <c r="E104" s="461"/>
      <c r="F104" s="457"/>
      <c r="G104" s="193" t="s">
        <v>284</v>
      </c>
      <c r="H104" s="160">
        <v>4101011</v>
      </c>
      <c r="I104" s="193" t="s">
        <v>285</v>
      </c>
      <c r="J104" s="160">
        <v>410101100</v>
      </c>
      <c r="K104" s="192" t="s">
        <v>286</v>
      </c>
      <c r="L104" s="453" t="s">
        <v>57</v>
      </c>
      <c r="M104" s="470">
        <v>2</v>
      </c>
      <c r="N104" s="1523"/>
      <c r="O104" s="1519"/>
      <c r="P104" s="1503"/>
      <c r="Q104" s="118"/>
      <c r="R104" s="118"/>
      <c r="S104" s="118"/>
      <c r="T104" s="118"/>
      <c r="U104" s="118"/>
      <c r="V104" s="118"/>
      <c r="W104" s="118"/>
      <c r="X104" s="118"/>
      <c r="Y104" s="118"/>
      <c r="Z104" s="118"/>
      <c r="AA104" s="132">
        <v>15000000</v>
      </c>
      <c r="AB104" s="118"/>
      <c r="AC104" s="118"/>
      <c r="AD104" s="120">
        <f>+Q104+R104+S104+T104+U104+V104+W104+X104+Y104+Z104+AA104+AB104+AC104</f>
        <v>15000000</v>
      </c>
      <c r="AE104" s="120" t="s">
        <v>249</v>
      </c>
      <c r="AF104" s="546" t="s">
        <v>250</v>
      </c>
      <c r="AG104" s="1"/>
    </row>
    <row r="105" spans="1:89" ht="25.5" customHeight="1" x14ac:dyDescent="0.2">
      <c r="A105" s="103"/>
      <c r="B105" s="104"/>
      <c r="C105" s="104"/>
      <c r="D105" s="104"/>
      <c r="E105" s="74">
        <v>4103</v>
      </c>
      <c r="F105" s="471" t="s">
        <v>287</v>
      </c>
      <c r="G105" s="473"/>
      <c r="H105" s="107"/>
      <c r="I105" s="487"/>
      <c r="J105" s="74"/>
      <c r="K105" s="70"/>
      <c r="L105" s="183"/>
      <c r="M105" s="74"/>
      <c r="N105" s="109"/>
      <c r="O105" s="70"/>
      <c r="P105" s="70"/>
      <c r="Q105" s="184">
        <f>Q106</f>
        <v>0</v>
      </c>
      <c r="R105" s="184">
        <f t="shared" ref="R105:AD105" si="45">R106</f>
        <v>0</v>
      </c>
      <c r="S105" s="184">
        <f t="shared" si="45"/>
        <v>0</v>
      </c>
      <c r="T105" s="184">
        <f t="shared" si="45"/>
        <v>0</v>
      </c>
      <c r="U105" s="184">
        <f t="shared" si="45"/>
        <v>0</v>
      </c>
      <c r="V105" s="184">
        <f t="shared" si="45"/>
        <v>0</v>
      </c>
      <c r="W105" s="184">
        <f t="shared" si="45"/>
        <v>0</v>
      </c>
      <c r="X105" s="184">
        <f t="shared" si="45"/>
        <v>0</v>
      </c>
      <c r="Y105" s="184">
        <f t="shared" si="45"/>
        <v>0</v>
      </c>
      <c r="Z105" s="184">
        <f t="shared" si="45"/>
        <v>0</v>
      </c>
      <c r="AA105" s="184">
        <f t="shared" si="45"/>
        <v>18000000</v>
      </c>
      <c r="AB105" s="184">
        <f t="shared" si="45"/>
        <v>0</v>
      </c>
      <c r="AC105" s="184">
        <f t="shared" si="45"/>
        <v>0</v>
      </c>
      <c r="AD105" s="184">
        <f t="shared" si="45"/>
        <v>18000000</v>
      </c>
      <c r="AE105" s="184"/>
      <c r="AF105" s="544"/>
      <c r="AG105" s="1"/>
    </row>
    <row r="106" spans="1:89" ht="129.75" customHeight="1" x14ac:dyDescent="0.2">
      <c r="A106" s="103"/>
      <c r="B106" s="104"/>
      <c r="C106" s="104"/>
      <c r="D106" s="104"/>
      <c r="E106" s="461"/>
      <c r="F106" s="457"/>
      <c r="G106" s="193" t="s">
        <v>288</v>
      </c>
      <c r="H106" s="194" t="s">
        <v>289</v>
      </c>
      <c r="I106" s="193" t="s">
        <v>290</v>
      </c>
      <c r="J106" s="194" t="s">
        <v>291</v>
      </c>
      <c r="K106" s="192" t="s">
        <v>292</v>
      </c>
      <c r="L106" s="457" t="s">
        <v>57</v>
      </c>
      <c r="M106" s="470">
        <v>25</v>
      </c>
      <c r="N106" s="454" t="s">
        <v>293</v>
      </c>
      <c r="O106" s="140" t="s">
        <v>294</v>
      </c>
      <c r="P106" s="140" t="s">
        <v>295</v>
      </c>
      <c r="Q106" s="118"/>
      <c r="R106" s="118"/>
      <c r="S106" s="118"/>
      <c r="T106" s="118"/>
      <c r="U106" s="118"/>
      <c r="V106" s="118"/>
      <c r="W106" s="118"/>
      <c r="X106" s="118"/>
      <c r="Y106" s="118"/>
      <c r="Z106" s="118"/>
      <c r="AA106" s="132">
        <v>18000000</v>
      </c>
      <c r="AB106" s="118"/>
      <c r="AC106" s="118"/>
      <c r="AD106" s="120">
        <f>+Q106+R106+S106+T106+U106+V106+W106+X106+Y106+Z106+AA106+AB106+AC106</f>
        <v>18000000</v>
      </c>
      <c r="AE106" s="120" t="s">
        <v>249</v>
      </c>
      <c r="AF106" s="546" t="s">
        <v>250</v>
      </c>
      <c r="AG106" s="1"/>
    </row>
    <row r="107" spans="1:89" s="9" customFormat="1" ht="27.75" customHeight="1" x14ac:dyDescent="0.25">
      <c r="A107" s="95"/>
      <c r="B107" s="576"/>
      <c r="C107" s="593">
        <v>45</v>
      </c>
      <c r="D107" s="578" t="s">
        <v>1302</v>
      </c>
      <c r="E107" s="592"/>
      <c r="F107" s="579"/>
      <c r="G107" s="580"/>
      <c r="H107" s="581"/>
      <c r="I107" s="582"/>
      <c r="J107" s="583"/>
      <c r="K107" s="584"/>
      <c r="L107" s="585"/>
      <c r="M107" s="583"/>
      <c r="N107" s="587"/>
      <c r="O107" s="588"/>
      <c r="P107" s="588"/>
      <c r="Q107" s="589">
        <f>Q108</f>
        <v>0</v>
      </c>
      <c r="R107" s="589">
        <f t="shared" ref="R107:AD107" si="46">R108</f>
        <v>1724182726</v>
      </c>
      <c r="S107" s="589">
        <f t="shared" si="46"/>
        <v>0</v>
      </c>
      <c r="T107" s="589">
        <f t="shared" si="46"/>
        <v>0</v>
      </c>
      <c r="U107" s="589">
        <f t="shared" si="46"/>
        <v>0</v>
      </c>
      <c r="V107" s="589">
        <f t="shared" si="46"/>
        <v>0</v>
      </c>
      <c r="W107" s="589">
        <f t="shared" si="46"/>
        <v>0</v>
      </c>
      <c r="X107" s="589">
        <f t="shared" si="46"/>
        <v>0</v>
      </c>
      <c r="Y107" s="589">
        <f t="shared" si="46"/>
        <v>0</v>
      </c>
      <c r="Z107" s="589">
        <f t="shared" si="46"/>
        <v>0</v>
      </c>
      <c r="AA107" s="589">
        <f t="shared" si="46"/>
        <v>36000000</v>
      </c>
      <c r="AB107" s="589">
        <f t="shared" si="46"/>
        <v>0</v>
      </c>
      <c r="AC107" s="589">
        <f t="shared" si="46"/>
        <v>0</v>
      </c>
      <c r="AD107" s="589">
        <f t="shared" si="46"/>
        <v>1760182726</v>
      </c>
      <c r="AE107" s="589"/>
      <c r="AF107" s="590"/>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row>
    <row r="108" spans="1:89" ht="25.5" customHeight="1" x14ac:dyDescent="0.2">
      <c r="A108" s="103"/>
      <c r="B108" s="104"/>
      <c r="C108" s="104"/>
      <c r="D108" s="104"/>
      <c r="E108" s="74">
        <v>4501</v>
      </c>
      <c r="F108" s="1501" t="s">
        <v>296</v>
      </c>
      <c r="G108" s="1499"/>
      <c r="H108" s="1499"/>
      <c r="I108" s="1499"/>
      <c r="J108" s="1500"/>
      <c r="K108" s="70"/>
      <c r="L108" s="183"/>
      <c r="M108" s="74"/>
      <c r="N108" s="109"/>
      <c r="O108" s="478"/>
      <c r="P108" s="478"/>
      <c r="Q108" s="184">
        <f t="shared" ref="Q108:AD108" si="47">SUM(Q109:Q110)</f>
        <v>0</v>
      </c>
      <c r="R108" s="184">
        <f t="shared" si="47"/>
        <v>1724182726</v>
      </c>
      <c r="S108" s="184">
        <f t="shared" si="47"/>
        <v>0</v>
      </c>
      <c r="T108" s="184">
        <f t="shared" si="47"/>
        <v>0</v>
      </c>
      <c r="U108" s="184">
        <f t="shared" si="47"/>
        <v>0</v>
      </c>
      <c r="V108" s="184">
        <f t="shared" si="47"/>
        <v>0</v>
      </c>
      <c r="W108" s="184">
        <f t="shared" si="47"/>
        <v>0</v>
      </c>
      <c r="X108" s="184">
        <f t="shared" si="47"/>
        <v>0</v>
      </c>
      <c r="Y108" s="184">
        <f t="shared" si="47"/>
        <v>0</v>
      </c>
      <c r="Z108" s="184">
        <f t="shared" si="47"/>
        <v>0</v>
      </c>
      <c r="AA108" s="184">
        <f t="shared" si="47"/>
        <v>36000000</v>
      </c>
      <c r="AB108" s="184">
        <f t="shared" si="47"/>
        <v>0</v>
      </c>
      <c r="AC108" s="184">
        <f t="shared" si="47"/>
        <v>0</v>
      </c>
      <c r="AD108" s="184">
        <f t="shared" si="47"/>
        <v>1760182726</v>
      </c>
      <c r="AE108" s="184"/>
      <c r="AF108" s="544"/>
      <c r="AG108" s="1"/>
    </row>
    <row r="109" spans="1:89" ht="188.25" customHeight="1" x14ac:dyDescent="0.2">
      <c r="A109" s="103"/>
      <c r="B109" s="104"/>
      <c r="C109" s="104"/>
      <c r="D109" s="104"/>
      <c r="E109" s="111"/>
      <c r="F109" s="457"/>
      <c r="G109" s="193" t="s">
        <v>136</v>
      </c>
      <c r="H109" s="697">
        <v>4501029</v>
      </c>
      <c r="I109" s="193" t="s">
        <v>297</v>
      </c>
      <c r="J109" s="697">
        <v>450102900</v>
      </c>
      <c r="K109" s="192" t="s">
        <v>298</v>
      </c>
      <c r="L109" s="453" t="s">
        <v>45</v>
      </c>
      <c r="M109" s="470">
        <v>5</v>
      </c>
      <c r="N109" s="454" t="s">
        <v>299</v>
      </c>
      <c r="O109" s="140" t="s">
        <v>300</v>
      </c>
      <c r="P109" s="140" t="s">
        <v>301</v>
      </c>
      <c r="Q109" s="118"/>
      <c r="R109" s="189">
        <f>1648000000+76182726</f>
        <v>1724182726</v>
      </c>
      <c r="S109" s="118"/>
      <c r="T109" s="118"/>
      <c r="U109" s="118"/>
      <c r="V109" s="118"/>
      <c r="W109" s="118"/>
      <c r="X109" s="118"/>
      <c r="Y109" s="118"/>
      <c r="Z109" s="118"/>
      <c r="AA109" s="132"/>
      <c r="AB109" s="118"/>
      <c r="AC109" s="118"/>
      <c r="AD109" s="120">
        <f>+Q109+R109+S109+T109+U109+V109+W109+X109+Y109+Z109+AA109+AB109+AC109</f>
        <v>1724182726</v>
      </c>
      <c r="AE109" s="120" t="s">
        <v>249</v>
      </c>
      <c r="AF109" s="546" t="s">
        <v>250</v>
      </c>
      <c r="AG109" s="1"/>
    </row>
    <row r="110" spans="1:89" ht="188.25" customHeight="1" x14ac:dyDescent="0.2">
      <c r="A110" s="103"/>
      <c r="B110" s="458"/>
      <c r="C110" s="458"/>
      <c r="D110" s="458"/>
      <c r="E110" s="461"/>
      <c r="F110" s="457"/>
      <c r="G110" s="193" t="s">
        <v>136</v>
      </c>
      <c r="H110" s="461">
        <v>4501001</v>
      </c>
      <c r="I110" s="501" t="s">
        <v>102</v>
      </c>
      <c r="J110" s="461">
        <v>450100100</v>
      </c>
      <c r="K110" s="713" t="s">
        <v>41</v>
      </c>
      <c r="L110" s="453" t="s">
        <v>45</v>
      </c>
      <c r="M110" s="470">
        <v>12</v>
      </c>
      <c r="N110" s="454" t="s">
        <v>308</v>
      </c>
      <c r="O110" s="486" t="s">
        <v>309</v>
      </c>
      <c r="P110" s="486" t="s">
        <v>310</v>
      </c>
      <c r="Q110" s="192" t="s">
        <v>41</v>
      </c>
      <c r="R110" s="118"/>
      <c r="S110" s="118"/>
      <c r="T110" s="118"/>
      <c r="U110" s="118"/>
      <c r="V110" s="118"/>
      <c r="W110" s="118"/>
      <c r="X110" s="118"/>
      <c r="Y110" s="118"/>
      <c r="Z110" s="118"/>
      <c r="AA110" s="139">
        <v>36000000</v>
      </c>
      <c r="AB110" s="118"/>
      <c r="AC110" s="118"/>
      <c r="AD110" s="120">
        <f>SUM(Q110:AC110)</f>
        <v>36000000</v>
      </c>
      <c r="AE110" s="120" t="s">
        <v>249</v>
      </c>
      <c r="AF110" s="546" t="s">
        <v>250</v>
      </c>
      <c r="AG110" s="1" t="s">
        <v>41</v>
      </c>
    </row>
    <row r="111" spans="1:89" ht="24.75" customHeight="1" x14ac:dyDescent="0.2">
      <c r="A111" s="103"/>
      <c r="B111" s="99">
        <v>3</v>
      </c>
      <c r="C111" s="365" t="s">
        <v>175</v>
      </c>
      <c r="D111" s="96"/>
      <c r="E111" s="365"/>
      <c r="F111" s="365"/>
      <c r="G111" s="365"/>
      <c r="H111" s="97"/>
      <c r="I111" s="489"/>
      <c r="J111" s="99"/>
      <c r="K111" s="98"/>
      <c r="L111" s="182"/>
      <c r="M111" s="99"/>
      <c r="N111" s="101"/>
      <c r="O111" s="98"/>
      <c r="P111" s="98"/>
      <c r="Q111" s="102">
        <f>Q112+Q115</f>
        <v>0</v>
      </c>
      <c r="R111" s="102">
        <f t="shared" ref="R111:AC111" si="48">R112+R115</f>
        <v>0</v>
      </c>
      <c r="S111" s="102">
        <f t="shared" si="48"/>
        <v>0</v>
      </c>
      <c r="T111" s="102">
        <f t="shared" si="48"/>
        <v>0</v>
      </c>
      <c r="U111" s="102">
        <f t="shared" si="48"/>
        <v>0</v>
      </c>
      <c r="V111" s="102">
        <f t="shared" si="48"/>
        <v>0</v>
      </c>
      <c r="W111" s="102">
        <f t="shared" si="48"/>
        <v>0</v>
      </c>
      <c r="X111" s="102">
        <f t="shared" si="48"/>
        <v>0</v>
      </c>
      <c r="Y111" s="102">
        <f t="shared" si="48"/>
        <v>0</v>
      </c>
      <c r="Z111" s="102">
        <f t="shared" si="48"/>
        <v>0</v>
      </c>
      <c r="AA111" s="102">
        <f t="shared" si="48"/>
        <v>193000000</v>
      </c>
      <c r="AB111" s="102">
        <f t="shared" si="48"/>
        <v>0</v>
      </c>
      <c r="AC111" s="102">
        <f t="shared" si="48"/>
        <v>0</v>
      </c>
      <c r="AD111" s="102">
        <f>AD112+AD115</f>
        <v>193000000</v>
      </c>
      <c r="AE111" s="102"/>
      <c r="AF111" s="543"/>
      <c r="AG111" s="1"/>
    </row>
    <row r="112" spans="1:89" s="9" customFormat="1" ht="27.75" customHeight="1" x14ac:dyDescent="0.25">
      <c r="A112" s="95"/>
      <c r="B112" s="576"/>
      <c r="C112" s="593">
        <v>32</v>
      </c>
      <c r="D112" s="578" t="s">
        <v>1307</v>
      </c>
      <c r="E112" s="592"/>
      <c r="F112" s="579"/>
      <c r="G112" s="580"/>
      <c r="H112" s="581"/>
      <c r="I112" s="582"/>
      <c r="J112" s="583"/>
      <c r="K112" s="584"/>
      <c r="L112" s="585"/>
      <c r="M112" s="583"/>
      <c r="N112" s="587"/>
      <c r="O112" s="588"/>
      <c r="P112" s="588"/>
      <c r="Q112" s="589">
        <f>Q113</f>
        <v>0</v>
      </c>
      <c r="R112" s="589">
        <f t="shared" ref="R112:AD112" si="49">R113</f>
        <v>0</v>
      </c>
      <c r="S112" s="589">
        <f t="shared" si="49"/>
        <v>0</v>
      </c>
      <c r="T112" s="589">
        <f t="shared" si="49"/>
        <v>0</v>
      </c>
      <c r="U112" s="589">
        <f t="shared" si="49"/>
        <v>0</v>
      </c>
      <c r="V112" s="589">
        <f t="shared" si="49"/>
        <v>0</v>
      </c>
      <c r="W112" s="589">
        <f t="shared" si="49"/>
        <v>0</v>
      </c>
      <c r="X112" s="589">
        <f t="shared" si="49"/>
        <v>0</v>
      </c>
      <c r="Y112" s="589">
        <f t="shared" si="49"/>
        <v>0</v>
      </c>
      <c r="Z112" s="589">
        <f t="shared" si="49"/>
        <v>0</v>
      </c>
      <c r="AA112" s="589">
        <f t="shared" si="49"/>
        <v>45000000</v>
      </c>
      <c r="AB112" s="589">
        <f t="shared" si="49"/>
        <v>0</v>
      </c>
      <c r="AC112" s="589">
        <f t="shared" si="49"/>
        <v>0</v>
      </c>
      <c r="AD112" s="589">
        <f t="shared" si="49"/>
        <v>45000000</v>
      </c>
      <c r="AE112" s="589"/>
      <c r="AF112" s="590"/>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row>
    <row r="113" spans="1:89" ht="27.75" customHeight="1" x14ac:dyDescent="0.2">
      <c r="A113" s="103"/>
      <c r="B113" s="104"/>
      <c r="C113" s="104"/>
      <c r="D113" s="104"/>
      <c r="E113" s="74">
        <v>3205</v>
      </c>
      <c r="F113" s="471" t="s">
        <v>191</v>
      </c>
      <c r="G113" s="473"/>
      <c r="H113" s="107"/>
      <c r="I113" s="487"/>
      <c r="J113" s="74"/>
      <c r="K113" s="70"/>
      <c r="L113" s="183"/>
      <c r="M113" s="74"/>
      <c r="N113" s="109"/>
      <c r="O113" s="70"/>
      <c r="P113" s="70"/>
      <c r="Q113" s="184">
        <f t="shared" ref="Q113:AD113" si="50">SUM(Q114:Q114)</f>
        <v>0</v>
      </c>
      <c r="R113" s="184">
        <f t="shared" si="50"/>
        <v>0</v>
      </c>
      <c r="S113" s="184">
        <f t="shared" si="50"/>
        <v>0</v>
      </c>
      <c r="T113" s="184">
        <f t="shared" si="50"/>
        <v>0</v>
      </c>
      <c r="U113" s="184">
        <f t="shared" si="50"/>
        <v>0</v>
      </c>
      <c r="V113" s="184">
        <f t="shared" si="50"/>
        <v>0</v>
      </c>
      <c r="W113" s="184">
        <f t="shared" si="50"/>
        <v>0</v>
      </c>
      <c r="X113" s="184">
        <f t="shared" si="50"/>
        <v>0</v>
      </c>
      <c r="Y113" s="184">
        <f t="shared" si="50"/>
        <v>0</v>
      </c>
      <c r="Z113" s="184">
        <f t="shared" si="50"/>
        <v>0</v>
      </c>
      <c r="AA113" s="184">
        <f t="shared" si="50"/>
        <v>45000000</v>
      </c>
      <c r="AB113" s="184">
        <f t="shared" si="50"/>
        <v>0</v>
      </c>
      <c r="AC113" s="184">
        <f t="shared" si="50"/>
        <v>0</v>
      </c>
      <c r="AD113" s="184">
        <f t="shared" si="50"/>
        <v>45000000</v>
      </c>
      <c r="AE113" s="184"/>
      <c r="AF113" s="544"/>
      <c r="AG113" s="1"/>
    </row>
    <row r="114" spans="1:89" ht="155.25" customHeight="1" x14ac:dyDescent="0.2">
      <c r="A114" s="103"/>
      <c r="B114" s="104"/>
      <c r="C114" s="104"/>
      <c r="D114" s="104"/>
      <c r="E114" s="111"/>
      <c r="F114" s="457"/>
      <c r="G114" s="193" t="s">
        <v>311</v>
      </c>
      <c r="H114" s="461">
        <v>3205002</v>
      </c>
      <c r="I114" s="193" t="s">
        <v>312</v>
      </c>
      <c r="J114" s="461">
        <v>320500200</v>
      </c>
      <c r="K114" s="192" t="s">
        <v>313</v>
      </c>
      <c r="L114" s="466" t="s">
        <v>57</v>
      </c>
      <c r="M114" s="470">
        <v>3</v>
      </c>
      <c r="N114" s="454" t="s">
        <v>314</v>
      </c>
      <c r="O114" s="192" t="s">
        <v>315</v>
      </c>
      <c r="P114" s="192" t="s">
        <v>316</v>
      </c>
      <c r="Q114" s="118"/>
      <c r="R114" s="118"/>
      <c r="S114" s="118"/>
      <c r="T114" s="118"/>
      <c r="U114" s="118"/>
      <c r="V114" s="118"/>
      <c r="W114" s="118"/>
      <c r="X114" s="118"/>
      <c r="Y114" s="118"/>
      <c r="Z114" s="118"/>
      <c r="AA114" s="196">
        <v>45000000</v>
      </c>
      <c r="AB114" s="118"/>
      <c r="AC114" s="118"/>
      <c r="AD114" s="120">
        <f>+Q114+R114+S114+T114+U114+V114+W114+X114+Y114+Z114+AA114+AB114+AC114</f>
        <v>45000000</v>
      </c>
      <c r="AE114" s="120" t="s">
        <v>249</v>
      </c>
      <c r="AF114" s="546" t="s">
        <v>250</v>
      </c>
      <c r="AG114" s="1"/>
    </row>
    <row r="115" spans="1:89" s="9" customFormat="1" ht="27.75" customHeight="1" x14ac:dyDescent="0.25">
      <c r="A115" s="95"/>
      <c r="B115" s="576"/>
      <c r="C115" s="593">
        <v>45</v>
      </c>
      <c r="D115" s="578" t="s">
        <v>1302</v>
      </c>
      <c r="E115" s="592"/>
      <c r="F115" s="579"/>
      <c r="G115" s="580"/>
      <c r="H115" s="581"/>
      <c r="I115" s="582"/>
      <c r="J115" s="583"/>
      <c r="K115" s="584"/>
      <c r="L115" s="585"/>
      <c r="M115" s="583"/>
      <c r="N115" s="587"/>
      <c r="O115" s="588"/>
      <c r="P115" s="588"/>
      <c r="Q115" s="589">
        <f>Q116</f>
        <v>0</v>
      </c>
      <c r="R115" s="589">
        <f>R116</f>
        <v>0</v>
      </c>
      <c r="S115" s="589">
        <f t="shared" ref="S115:AD115" si="51">S116</f>
        <v>0</v>
      </c>
      <c r="T115" s="589">
        <f t="shared" si="51"/>
        <v>0</v>
      </c>
      <c r="U115" s="589">
        <f t="shared" si="51"/>
        <v>0</v>
      </c>
      <c r="V115" s="589">
        <f t="shared" si="51"/>
        <v>0</v>
      </c>
      <c r="W115" s="589">
        <f t="shared" si="51"/>
        <v>0</v>
      </c>
      <c r="X115" s="589">
        <f t="shared" si="51"/>
        <v>0</v>
      </c>
      <c r="Y115" s="589">
        <f t="shared" si="51"/>
        <v>0</v>
      </c>
      <c r="Z115" s="589">
        <f t="shared" si="51"/>
        <v>0</v>
      </c>
      <c r="AA115" s="589">
        <f t="shared" si="51"/>
        <v>148000000</v>
      </c>
      <c r="AB115" s="589">
        <f t="shared" si="51"/>
        <v>0</v>
      </c>
      <c r="AC115" s="589">
        <f t="shared" si="51"/>
        <v>0</v>
      </c>
      <c r="AD115" s="589">
        <f t="shared" si="51"/>
        <v>148000000</v>
      </c>
      <c r="AE115" s="589"/>
      <c r="AF115" s="590"/>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row>
    <row r="116" spans="1:89" ht="23.25" customHeight="1" x14ac:dyDescent="0.2">
      <c r="A116" s="103"/>
      <c r="B116" s="104"/>
      <c r="C116" s="104"/>
      <c r="D116" s="104"/>
      <c r="E116" s="74">
        <v>4503</v>
      </c>
      <c r="F116" s="471" t="s">
        <v>317</v>
      </c>
      <c r="G116" s="473"/>
      <c r="H116" s="107"/>
      <c r="I116" s="487"/>
      <c r="J116" s="74"/>
      <c r="K116" s="70"/>
      <c r="L116" s="183"/>
      <c r="M116" s="389"/>
      <c r="N116" s="109"/>
      <c r="O116" s="70"/>
      <c r="P116" s="70"/>
      <c r="Q116" s="184">
        <f>SUM(Q117:Q119)</f>
        <v>0</v>
      </c>
      <c r="R116" s="184">
        <f>SUM(R117:R119)</f>
        <v>0</v>
      </c>
      <c r="S116" s="184">
        <f t="shared" ref="S116:AD116" si="52">SUM(S117:S119)</f>
        <v>0</v>
      </c>
      <c r="T116" s="184">
        <f t="shared" si="52"/>
        <v>0</v>
      </c>
      <c r="U116" s="184">
        <f t="shared" si="52"/>
        <v>0</v>
      </c>
      <c r="V116" s="184">
        <f t="shared" si="52"/>
        <v>0</v>
      </c>
      <c r="W116" s="184">
        <f t="shared" si="52"/>
        <v>0</v>
      </c>
      <c r="X116" s="184">
        <f t="shared" si="52"/>
        <v>0</v>
      </c>
      <c r="Y116" s="184">
        <f t="shared" si="52"/>
        <v>0</v>
      </c>
      <c r="Z116" s="184">
        <f t="shared" si="52"/>
        <v>0</v>
      </c>
      <c r="AA116" s="184">
        <f t="shared" si="52"/>
        <v>148000000</v>
      </c>
      <c r="AB116" s="184">
        <f t="shared" si="52"/>
        <v>0</v>
      </c>
      <c r="AC116" s="184">
        <f t="shared" si="52"/>
        <v>0</v>
      </c>
      <c r="AD116" s="184">
        <f t="shared" si="52"/>
        <v>148000000</v>
      </c>
      <c r="AE116" s="184"/>
      <c r="AF116" s="544"/>
      <c r="AG116" s="1"/>
    </row>
    <row r="117" spans="1:89" ht="180" customHeight="1" x14ac:dyDescent="0.2">
      <c r="A117" s="103"/>
      <c r="B117" s="104"/>
      <c r="C117" s="104"/>
      <c r="D117" s="104"/>
      <c r="E117" s="111"/>
      <c r="F117" s="462"/>
      <c r="G117" s="193" t="s">
        <v>318</v>
      </c>
      <c r="H117" s="461">
        <v>4503002</v>
      </c>
      <c r="I117" s="193" t="s">
        <v>319</v>
      </c>
      <c r="J117" s="461">
        <v>450300200</v>
      </c>
      <c r="K117" s="192" t="s">
        <v>320</v>
      </c>
      <c r="L117" s="388" t="s">
        <v>57</v>
      </c>
      <c r="M117" s="470">
        <v>4000</v>
      </c>
      <c r="N117" s="1523" t="s">
        <v>321</v>
      </c>
      <c r="O117" s="1540" t="s">
        <v>322</v>
      </c>
      <c r="P117" s="1540" t="s">
        <v>323</v>
      </c>
      <c r="Q117" s="118"/>
      <c r="R117" s="118"/>
      <c r="S117" s="118"/>
      <c r="T117" s="118"/>
      <c r="U117" s="118"/>
      <c r="V117" s="118"/>
      <c r="W117" s="118"/>
      <c r="X117" s="118"/>
      <c r="Y117" s="118"/>
      <c r="Z117" s="118"/>
      <c r="AA117" s="132">
        <v>18000000</v>
      </c>
      <c r="AB117" s="118"/>
      <c r="AC117" s="118"/>
      <c r="AD117" s="120">
        <f>+Q117+R117+S117+T117+U117+V117+W117+X117+Y117+Z117+AA117+AB117+AC117</f>
        <v>18000000</v>
      </c>
      <c r="AE117" s="120" t="s">
        <v>249</v>
      </c>
      <c r="AF117" s="546" t="s">
        <v>250</v>
      </c>
      <c r="AG117" s="1"/>
    </row>
    <row r="118" spans="1:89" ht="114.75" customHeight="1" x14ac:dyDescent="0.2">
      <c r="A118" s="103"/>
      <c r="B118" s="104"/>
      <c r="C118" s="104"/>
      <c r="D118" s="104"/>
      <c r="E118" s="111"/>
      <c r="F118" s="462"/>
      <c r="G118" s="193" t="s">
        <v>324</v>
      </c>
      <c r="H118" s="461">
        <v>4503003</v>
      </c>
      <c r="I118" s="193" t="s">
        <v>102</v>
      </c>
      <c r="J118" s="461">
        <v>450300300</v>
      </c>
      <c r="K118" s="192" t="s">
        <v>113</v>
      </c>
      <c r="L118" s="457" t="s">
        <v>45</v>
      </c>
      <c r="M118" s="558">
        <v>12</v>
      </c>
      <c r="N118" s="1523"/>
      <c r="O118" s="1540"/>
      <c r="P118" s="1540"/>
      <c r="Q118" s="118"/>
      <c r="R118" s="118"/>
      <c r="S118" s="118"/>
      <c r="T118" s="118"/>
      <c r="U118" s="118"/>
      <c r="V118" s="118"/>
      <c r="W118" s="118"/>
      <c r="X118" s="118"/>
      <c r="Y118" s="118"/>
      <c r="Z118" s="118"/>
      <c r="AA118" s="132">
        <v>100000000</v>
      </c>
      <c r="AB118" s="118"/>
      <c r="AC118" s="118"/>
      <c r="AD118" s="120">
        <f>+Q118+R118+S118+T118+U118+V118+W118+X118+Y118+Z118+AA118+AB118+AC118</f>
        <v>100000000</v>
      </c>
      <c r="AE118" s="120" t="s">
        <v>249</v>
      </c>
      <c r="AF118" s="546" t="s">
        <v>250</v>
      </c>
      <c r="AG118" s="1"/>
    </row>
    <row r="119" spans="1:89" ht="113.25" customHeight="1" x14ac:dyDescent="0.2">
      <c r="A119" s="103"/>
      <c r="B119" s="104"/>
      <c r="C119" s="104"/>
      <c r="D119" s="104"/>
      <c r="E119" s="111"/>
      <c r="F119" s="462"/>
      <c r="G119" s="193" t="s">
        <v>324</v>
      </c>
      <c r="H119" s="115">
        <v>4503016</v>
      </c>
      <c r="I119" s="193" t="s">
        <v>325</v>
      </c>
      <c r="J119" s="115">
        <v>450301600</v>
      </c>
      <c r="K119" s="192" t="s">
        <v>326</v>
      </c>
      <c r="L119" s="457" t="s">
        <v>45</v>
      </c>
      <c r="M119" s="470">
        <v>1</v>
      </c>
      <c r="N119" s="1523"/>
      <c r="O119" s="1540"/>
      <c r="P119" s="1540"/>
      <c r="Q119" s="118"/>
      <c r="R119" s="118"/>
      <c r="S119" s="118"/>
      <c r="T119" s="118"/>
      <c r="U119" s="118"/>
      <c r="V119" s="118"/>
      <c r="W119" s="118"/>
      <c r="X119" s="118"/>
      <c r="Y119" s="118"/>
      <c r="Z119" s="118"/>
      <c r="AA119" s="132">
        <v>30000000</v>
      </c>
      <c r="AB119" s="118"/>
      <c r="AC119" s="118"/>
      <c r="AD119" s="120">
        <f>+Q119+R119+S119+T119+U119+V119+W119+X119+Y119+Z119+AA119+AB119+AC119</f>
        <v>30000000</v>
      </c>
      <c r="AE119" s="120" t="s">
        <v>249</v>
      </c>
      <c r="AF119" s="546" t="s">
        <v>250</v>
      </c>
      <c r="AG119" s="1"/>
    </row>
    <row r="120" spans="1:89" ht="28.5" customHeight="1" x14ac:dyDescent="0.2">
      <c r="A120" s="103"/>
      <c r="B120" s="99">
        <v>4</v>
      </c>
      <c r="C120" s="365" t="s">
        <v>39</v>
      </c>
      <c r="D120" s="365"/>
      <c r="E120" s="365"/>
      <c r="F120" s="365"/>
      <c r="G120" s="365"/>
      <c r="H120" s="97"/>
      <c r="I120" s="489"/>
      <c r="J120" s="99"/>
      <c r="K120" s="98"/>
      <c r="L120" s="182"/>
      <c r="M120" s="99"/>
      <c r="N120" s="101"/>
      <c r="O120" s="98"/>
      <c r="P120" s="98"/>
      <c r="Q120" s="102">
        <f>Q121</f>
        <v>0</v>
      </c>
      <c r="R120" s="102">
        <f t="shared" ref="R120:AD121" si="53">R121</f>
        <v>0</v>
      </c>
      <c r="S120" s="102">
        <f t="shared" si="53"/>
        <v>0</v>
      </c>
      <c r="T120" s="102">
        <f t="shared" si="53"/>
        <v>0</v>
      </c>
      <c r="U120" s="102">
        <f t="shared" si="53"/>
        <v>0</v>
      </c>
      <c r="V120" s="102">
        <f t="shared" si="53"/>
        <v>0</v>
      </c>
      <c r="W120" s="102">
        <f t="shared" si="53"/>
        <v>0</v>
      </c>
      <c r="X120" s="102">
        <f t="shared" si="53"/>
        <v>0</v>
      </c>
      <c r="Y120" s="102">
        <f t="shared" si="53"/>
        <v>0</v>
      </c>
      <c r="Z120" s="102">
        <f t="shared" si="53"/>
        <v>0</v>
      </c>
      <c r="AA120" s="102">
        <f t="shared" si="53"/>
        <v>313000000</v>
      </c>
      <c r="AB120" s="102">
        <f t="shared" si="53"/>
        <v>0</v>
      </c>
      <c r="AC120" s="102">
        <f t="shared" si="53"/>
        <v>0</v>
      </c>
      <c r="AD120" s="102">
        <f>AD121</f>
        <v>313000000</v>
      </c>
      <c r="AE120" s="102"/>
      <c r="AF120" s="543"/>
      <c r="AG120" s="1"/>
    </row>
    <row r="121" spans="1:89" s="9" customFormat="1" ht="27.75" customHeight="1" x14ac:dyDescent="0.25">
      <c r="A121" s="95"/>
      <c r="B121" s="576"/>
      <c r="C121" s="593">
        <v>45</v>
      </c>
      <c r="D121" s="578" t="s">
        <v>1302</v>
      </c>
      <c r="E121" s="592"/>
      <c r="F121" s="579"/>
      <c r="G121" s="580"/>
      <c r="H121" s="581"/>
      <c r="I121" s="582"/>
      <c r="J121" s="583"/>
      <c r="K121" s="584"/>
      <c r="L121" s="585"/>
      <c r="M121" s="583"/>
      <c r="N121" s="587"/>
      <c r="O121" s="588"/>
      <c r="P121" s="588"/>
      <c r="Q121" s="589">
        <f>Q122</f>
        <v>0</v>
      </c>
      <c r="R121" s="589">
        <f t="shared" si="53"/>
        <v>0</v>
      </c>
      <c r="S121" s="589">
        <f t="shared" si="53"/>
        <v>0</v>
      </c>
      <c r="T121" s="589">
        <f t="shared" si="53"/>
        <v>0</v>
      </c>
      <c r="U121" s="589">
        <f t="shared" si="53"/>
        <v>0</v>
      </c>
      <c r="V121" s="589">
        <f t="shared" si="53"/>
        <v>0</v>
      </c>
      <c r="W121" s="589">
        <f t="shared" si="53"/>
        <v>0</v>
      </c>
      <c r="X121" s="589">
        <f t="shared" si="53"/>
        <v>0</v>
      </c>
      <c r="Y121" s="589">
        <f t="shared" si="53"/>
        <v>0</v>
      </c>
      <c r="Z121" s="589">
        <f t="shared" si="53"/>
        <v>0</v>
      </c>
      <c r="AA121" s="589">
        <f t="shared" si="53"/>
        <v>313000000</v>
      </c>
      <c r="AB121" s="589">
        <f t="shared" si="53"/>
        <v>0</v>
      </c>
      <c r="AC121" s="589">
        <f t="shared" si="53"/>
        <v>0</v>
      </c>
      <c r="AD121" s="589">
        <f t="shared" si="53"/>
        <v>313000000</v>
      </c>
      <c r="AE121" s="589"/>
      <c r="AF121" s="590"/>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row>
    <row r="122" spans="1:89" ht="25.5" customHeight="1" x14ac:dyDescent="0.2">
      <c r="A122" s="103"/>
      <c r="B122" s="458"/>
      <c r="C122" s="458"/>
      <c r="D122" s="458"/>
      <c r="E122" s="74">
        <v>4502</v>
      </c>
      <c r="F122" s="732" t="s">
        <v>61</v>
      </c>
      <c r="G122" s="473"/>
      <c r="H122" s="107"/>
      <c r="I122" s="487"/>
      <c r="J122" s="74"/>
      <c r="K122" s="70"/>
      <c r="L122" s="183"/>
      <c r="M122" s="74"/>
      <c r="N122" s="109"/>
      <c r="O122" s="70"/>
      <c r="P122" s="70"/>
      <c r="Q122" s="110">
        <f>SUM(Q124:Q127)</f>
        <v>0</v>
      </c>
      <c r="R122" s="110">
        <f t="shared" ref="R122:Z122" si="54">SUM(R124:R127)</f>
        <v>0</v>
      </c>
      <c r="S122" s="110">
        <f t="shared" si="54"/>
        <v>0</v>
      </c>
      <c r="T122" s="110">
        <f t="shared" si="54"/>
        <v>0</v>
      </c>
      <c r="U122" s="110">
        <f t="shared" si="54"/>
        <v>0</v>
      </c>
      <c r="V122" s="110">
        <f t="shared" si="54"/>
        <v>0</v>
      </c>
      <c r="W122" s="110">
        <f t="shared" si="54"/>
        <v>0</v>
      </c>
      <c r="X122" s="110">
        <f t="shared" si="54"/>
        <v>0</v>
      </c>
      <c r="Y122" s="110">
        <f t="shared" si="54"/>
        <v>0</v>
      </c>
      <c r="Z122" s="110">
        <f t="shared" si="54"/>
        <v>0</v>
      </c>
      <c r="AA122" s="110">
        <f>SUM(AA123:AA127)</f>
        <v>313000000</v>
      </c>
      <c r="AB122" s="110">
        <f t="shared" ref="AB122:AF122" si="55">SUM(AB123:AB127)</f>
        <v>0</v>
      </c>
      <c r="AC122" s="110">
        <f t="shared" si="55"/>
        <v>0</v>
      </c>
      <c r="AD122" s="110">
        <f t="shared" si="55"/>
        <v>313000000</v>
      </c>
      <c r="AE122" s="110">
        <f t="shared" si="55"/>
        <v>0</v>
      </c>
      <c r="AF122" s="110">
        <f t="shared" si="55"/>
        <v>0</v>
      </c>
      <c r="AG122" s="1"/>
    </row>
    <row r="123" spans="1:89" s="4" customFormat="1" ht="131.25" customHeight="1" x14ac:dyDescent="0.2">
      <c r="A123" s="203"/>
      <c r="B123" s="258"/>
      <c r="C123" s="258"/>
      <c r="D123" s="258"/>
      <c r="E123" s="135"/>
      <c r="F123" s="178"/>
      <c r="G123" s="1469" t="s">
        <v>302</v>
      </c>
      <c r="H123" s="135">
        <v>4502024</v>
      </c>
      <c r="I123" s="1469" t="s">
        <v>303</v>
      </c>
      <c r="J123" s="75">
        <v>450202400</v>
      </c>
      <c r="K123" s="228" t="s">
        <v>304</v>
      </c>
      <c r="L123" s="178" t="s">
        <v>45</v>
      </c>
      <c r="M123" s="566">
        <v>10</v>
      </c>
      <c r="N123" s="178" t="s">
        <v>305</v>
      </c>
      <c r="O123" s="272" t="s">
        <v>306</v>
      </c>
      <c r="P123" s="272" t="s">
        <v>307</v>
      </c>
      <c r="Q123" s="212"/>
      <c r="R123" s="212"/>
      <c r="S123" s="212"/>
      <c r="T123" s="212"/>
      <c r="U123" s="212"/>
      <c r="V123" s="212"/>
      <c r="W123" s="212"/>
      <c r="X123" s="212"/>
      <c r="Y123" s="212"/>
      <c r="Z123" s="212"/>
      <c r="AA123" s="197">
        <v>50000000</v>
      </c>
      <c r="AB123" s="212"/>
      <c r="AC123" s="212"/>
      <c r="AD123" s="213">
        <f>+Q123+R123+S123+T123+U123+V123+W123+X123+Y123+Z123+AA123+AB123+AC123</f>
        <v>50000000</v>
      </c>
      <c r="AE123" s="213" t="s">
        <v>249</v>
      </c>
      <c r="AF123" s="1267" t="s">
        <v>250</v>
      </c>
      <c r="AG123" s="4" t="s">
        <v>41</v>
      </c>
    </row>
    <row r="124" spans="1:89" ht="100.5" customHeight="1" x14ac:dyDescent="0.2">
      <c r="A124" s="103"/>
      <c r="B124" s="458"/>
      <c r="C124" s="458"/>
      <c r="D124" s="458"/>
      <c r="E124" s="461"/>
      <c r="F124" s="457"/>
      <c r="G124" s="193" t="s">
        <v>62</v>
      </c>
      <c r="H124" s="151">
        <v>4502001</v>
      </c>
      <c r="I124" s="140" t="s">
        <v>71</v>
      </c>
      <c r="J124" s="461">
        <v>450200100</v>
      </c>
      <c r="K124" s="199" t="s">
        <v>327</v>
      </c>
      <c r="L124" s="453" t="s">
        <v>45</v>
      </c>
      <c r="M124" s="470">
        <v>3</v>
      </c>
      <c r="N124" s="1523" t="s">
        <v>328</v>
      </c>
      <c r="O124" s="1535" t="s">
        <v>329</v>
      </c>
      <c r="P124" s="1541" t="s">
        <v>330</v>
      </c>
      <c r="Q124" s="118"/>
      <c r="R124" s="118"/>
      <c r="S124" s="118"/>
      <c r="T124" s="118"/>
      <c r="U124" s="118"/>
      <c r="V124" s="118"/>
      <c r="W124" s="118"/>
      <c r="X124" s="118"/>
      <c r="Y124" s="118"/>
      <c r="Z124" s="118"/>
      <c r="AA124" s="197">
        <v>130000000</v>
      </c>
      <c r="AB124" s="118"/>
      <c r="AC124" s="118"/>
      <c r="AD124" s="120">
        <f>+Q124+R124+S124+T124+U124+V124+W124+X124+Y124+Z124+AA124+AB124+AC124</f>
        <v>130000000</v>
      </c>
      <c r="AE124" s="120" t="s">
        <v>249</v>
      </c>
      <c r="AF124" s="546" t="s">
        <v>250</v>
      </c>
      <c r="AG124" s="1"/>
    </row>
    <row r="125" spans="1:89" ht="87" customHeight="1" x14ac:dyDescent="0.2">
      <c r="A125" s="103"/>
      <c r="B125" s="458"/>
      <c r="C125" s="458"/>
      <c r="D125" s="458"/>
      <c r="E125" s="461"/>
      <c r="F125" s="457"/>
      <c r="G125" s="193" t="s">
        <v>62</v>
      </c>
      <c r="H125" s="198">
        <v>4502035</v>
      </c>
      <c r="I125" s="502" t="s">
        <v>331</v>
      </c>
      <c r="J125" s="198">
        <v>450203502</v>
      </c>
      <c r="K125" s="280" t="s">
        <v>332</v>
      </c>
      <c r="L125" s="453" t="s">
        <v>45</v>
      </c>
      <c r="M125" s="559">
        <v>1</v>
      </c>
      <c r="N125" s="1523"/>
      <c r="O125" s="1535"/>
      <c r="P125" s="1542"/>
      <c r="Q125" s="118"/>
      <c r="R125" s="118"/>
      <c r="S125" s="118"/>
      <c r="T125" s="118"/>
      <c r="U125" s="118"/>
      <c r="V125" s="118"/>
      <c r="W125" s="118"/>
      <c r="X125" s="118"/>
      <c r="Y125" s="118"/>
      <c r="Z125" s="118"/>
      <c r="AA125" s="132">
        <v>73000000</v>
      </c>
      <c r="AB125" s="118"/>
      <c r="AC125" s="118"/>
      <c r="AD125" s="120">
        <f>+Q125+R125+S125+T125+U125+V125+W125+X125+Y125+Z125+AA125+AB125+AC125</f>
        <v>73000000</v>
      </c>
      <c r="AE125" s="120" t="s">
        <v>249</v>
      </c>
      <c r="AF125" s="546" t="s">
        <v>250</v>
      </c>
      <c r="AG125" s="1"/>
    </row>
    <row r="126" spans="1:89" ht="126" customHeight="1" x14ac:dyDescent="0.2">
      <c r="A126" s="103"/>
      <c r="B126" s="458"/>
      <c r="C126" s="458"/>
      <c r="D126" s="458"/>
      <c r="E126" s="461"/>
      <c r="F126" s="457"/>
      <c r="G126" s="193" t="s">
        <v>62</v>
      </c>
      <c r="H126" s="115">
        <v>4502001</v>
      </c>
      <c r="I126" s="140" t="s">
        <v>333</v>
      </c>
      <c r="J126" s="115">
        <v>450200111</v>
      </c>
      <c r="K126" s="199" t="s">
        <v>334</v>
      </c>
      <c r="L126" s="453" t="s">
        <v>45</v>
      </c>
      <c r="M126" s="470">
        <v>12</v>
      </c>
      <c r="N126" s="1523"/>
      <c r="O126" s="1535"/>
      <c r="P126" s="1542"/>
      <c r="Q126" s="118"/>
      <c r="R126" s="118"/>
      <c r="S126" s="118"/>
      <c r="T126" s="118"/>
      <c r="U126" s="118"/>
      <c r="V126" s="118"/>
      <c r="W126" s="118"/>
      <c r="X126" s="118"/>
      <c r="Y126" s="118"/>
      <c r="Z126" s="118"/>
      <c r="AA126" s="132">
        <v>35000000</v>
      </c>
      <c r="AB126" s="118"/>
      <c r="AC126" s="118"/>
      <c r="AD126" s="120">
        <f>+Q126+R126+S126+T126+U126+V126+W126+X126+Y126+Z126+AA126+AB126+AC126</f>
        <v>35000000</v>
      </c>
      <c r="AE126" s="120" t="s">
        <v>249</v>
      </c>
      <c r="AF126" s="546" t="s">
        <v>250</v>
      </c>
      <c r="AG126" s="1"/>
    </row>
    <row r="127" spans="1:89" ht="80.25" customHeight="1" x14ac:dyDescent="0.2">
      <c r="A127" s="103"/>
      <c r="B127" s="458"/>
      <c r="C127" s="458"/>
      <c r="D127" s="458"/>
      <c r="E127" s="461"/>
      <c r="F127" s="457"/>
      <c r="G127" s="193" t="s">
        <v>62</v>
      </c>
      <c r="H127" s="198">
        <v>4502035</v>
      </c>
      <c r="I127" s="502" t="s">
        <v>335</v>
      </c>
      <c r="J127" s="198">
        <v>450203501</v>
      </c>
      <c r="K127" s="280" t="s">
        <v>336</v>
      </c>
      <c r="L127" s="453" t="s">
        <v>57</v>
      </c>
      <c r="M127" s="470">
        <v>0.4</v>
      </c>
      <c r="N127" s="1523"/>
      <c r="O127" s="1535"/>
      <c r="P127" s="1543"/>
      <c r="Q127" s="118"/>
      <c r="R127" s="118"/>
      <c r="S127" s="118"/>
      <c r="T127" s="118"/>
      <c r="U127" s="118"/>
      <c r="V127" s="118"/>
      <c r="W127" s="118"/>
      <c r="X127" s="118"/>
      <c r="Y127" s="118"/>
      <c r="Z127" s="118"/>
      <c r="AA127" s="132">
        <v>25000000</v>
      </c>
      <c r="AB127" s="118"/>
      <c r="AC127" s="118"/>
      <c r="AD127" s="120">
        <f>+Q127+R127+S127+T127+U127+V127+W127+X127+Y127+Z127+AA127+AB127+AC127</f>
        <v>25000000</v>
      </c>
      <c r="AE127" s="120" t="s">
        <v>249</v>
      </c>
      <c r="AF127" s="546" t="s">
        <v>250</v>
      </c>
      <c r="AG127" s="1"/>
    </row>
    <row r="128" spans="1:89" s="442" customFormat="1" ht="27" customHeight="1" x14ac:dyDescent="0.2">
      <c r="A128" s="597"/>
      <c r="B128" s="598"/>
      <c r="C128" s="598"/>
      <c r="D128" s="598"/>
      <c r="E128" s="599"/>
      <c r="F128" s="600"/>
      <c r="G128" s="601"/>
      <c r="H128" s="599"/>
      <c r="I128" s="601"/>
      <c r="J128" s="602"/>
      <c r="K128" s="603"/>
      <c r="L128" s="600"/>
      <c r="M128" s="602"/>
      <c r="N128" s="600"/>
      <c r="O128" s="603"/>
      <c r="P128" s="603"/>
      <c r="Q128" s="597"/>
      <c r="R128" s="597"/>
      <c r="S128" s="597"/>
      <c r="T128" s="597"/>
      <c r="U128" s="597"/>
      <c r="V128" s="597"/>
      <c r="W128" s="597"/>
      <c r="X128" s="597"/>
      <c r="Y128" s="597"/>
      <c r="Z128" s="597"/>
      <c r="AA128" s="604"/>
      <c r="AB128" s="597"/>
      <c r="AC128" s="597"/>
      <c r="AD128" s="597"/>
      <c r="AE128" s="597"/>
      <c r="AF128" s="600"/>
      <c r="AH128" s="437"/>
      <c r="AI128" s="437"/>
      <c r="AJ128" s="437"/>
      <c r="AK128" s="437"/>
      <c r="AL128" s="437"/>
      <c r="AM128" s="437"/>
      <c r="AN128" s="437"/>
      <c r="AO128" s="437"/>
      <c r="AP128" s="437"/>
      <c r="AQ128" s="437"/>
      <c r="AR128" s="437"/>
      <c r="AS128" s="437"/>
      <c r="AT128" s="437"/>
      <c r="AU128" s="437"/>
      <c r="AV128" s="437"/>
      <c r="AW128" s="437"/>
      <c r="AX128" s="437"/>
      <c r="AY128" s="437"/>
      <c r="AZ128" s="437"/>
      <c r="BA128" s="437"/>
      <c r="BB128" s="437"/>
      <c r="BC128" s="437"/>
      <c r="BD128" s="437"/>
      <c r="BE128" s="437"/>
      <c r="BF128" s="437"/>
      <c r="BG128" s="437"/>
      <c r="BH128" s="437"/>
      <c r="BI128" s="437"/>
      <c r="BJ128" s="437"/>
      <c r="BK128" s="437"/>
      <c r="BL128" s="437"/>
      <c r="BM128" s="437"/>
      <c r="BN128" s="437"/>
      <c r="BO128" s="437"/>
      <c r="BP128" s="437"/>
      <c r="BQ128" s="437"/>
      <c r="BR128" s="437"/>
      <c r="BS128" s="437"/>
      <c r="BT128" s="437"/>
      <c r="BU128" s="437"/>
      <c r="BV128" s="437"/>
      <c r="BW128" s="437"/>
      <c r="BX128" s="437"/>
      <c r="BY128" s="437"/>
      <c r="BZ128" s="437"/>
      <c r="CA128" s="437"/>
      <c r="CB128" s="437"/>
      <c r="CC128" s="437"/>
      <c r="CD128" s="437"/>
      <c r="CE128" s="437"/>
      <c r="CF128" s="437"/>
      <c r="CG128" s="437"/>
      <c r="CH128" s="437"/>
      <c r="CI128" s="437"/>
      <c r="CJ128" s="437"/>
      <c r="CK128" s="437"/>
    </row>
    <row r="129" spans="1:89" ht="41.25" customHeight="1" x14ac:dyDescent="0.2">
      <c r="A129" s="86" t="s">
        <v>337</v>
      </c>
      <c r="B129" s="86"/>
      <c r="C129" s="86"/>
      <c r="D129" s="86"/>
      <c r="E129" s="87"/>
      <c r="F129" s="88"/>
      <c r="G129" s="89"/>
      <c r="H129" s="90"/>
      <c r="I129" s="89"/>
      <c r="J129" s="92"/>
      <c r="K129" s="91"/>
      <c r="L129" s="93"/>
      <c r="M129" s="92"/>
      <c r="N129" s="88"/>
      <c r="O129" s="91"/>
      <c r="P129" s="91"/>
      <c r="Q129" s="144">
        <f>Q130</f>
        <v>1471859959</v>
      </c>
      <c r="R129" s="144">
        <f t="shared" ref="R129:AD130" si="56">R130</f>
        <v>0</v>
      </c>
      <c r="S129" s="144">
        <f t="shared" si="56"/>
        <v>0</v>
      </c>
      <c r="T129" s="144">
        <f t="shared" si="56"/>
        <v>0</v>
      </c>
      <c r="U129" s="144">
        <f t="shared" si="56"/>
        <v>0</v>
      </c>
      <c r="V129" s="144">
        <f t="shared" si="56"/>
        <v>0</v>
      </c>
      <c r="W129" s="144">
        <f t="shared" si="56"/>
        <v>0</v>
      </c>
      <c r="X129" s="144">
        <f t="shared" si="56"/>
        <v>0</v>
      </c>
      <c r="Y129" s="144">
        <f t="shared" si="56"/>
        <v>0</v>
      </c>
      <c r="Z129" s="144">
        <f t="shared" si="56"/>
        <v>0</v>
      </c>
      <c r="AA129" s="144">
        <f t="shared" si="56"/>
        <v>795000000</v>
      </c>
      <c r="AB129" s="144">
        <f t="shared" si="56"/>
        <v>263038142</v>
      </c>
      <c r="AC129" s="144">
        <f t="shared" si="56"/>
        <v>0</v>
      </c>
      <c r="AD129" s="144">
        <f t="shared" si="56"/>
        <v>2529898101</v>
      </c>
      <c r="AE129" s="144"/>
      <c r="AF129" s="94"/>
      <c r="AG129" s="1">
        <v>2529898101</v>
      </c>
    </row>
    <row r="130" spans="1:89" ht="27" customHeight="1" x14ac:dyDescent="0.2">
      <c r="A130" s="103"/>
      <c r="B130" s="99">
        <v>1</v>
      </c>
      <c r="C130" s="365" t="s">
        <v>134</v>
      </c>
      <c r="D130" s="96"/>
      <c r="E130" s="365"/>
      <c r="F130" s="365"/>
      <c r="G130" s="365"/>
      <c r="H130" s="97"/>
      <c r="I130" s="489"/>
      <c r="J130" s="99"/>
      <c r="K130" s="98"/>
      <c r="L130" s="100"/>
      <c r="M130" s="99"/>
      <c r="N130" s="101"/>
      <c r="O130" s="98"/>
      <c r="P130" s="98"/>
      <c r="Q130" s="102">
        <f>Q131</f>
        <v>1471859959</v>
      </c>
      <c r="R130" s="102">
        <f t="shared" si="56"/>
        <v>0</v>
      </c>
      <c r="S130" s="102">
        <f t="shared" si="56"/>
        <v>0</v>
      </c>
      <c r="T130" s="102">
        <f t="shared" si="56"/>
        <v>0</v>
      </c>
      <c r="U130" s="102">
        <f t="shared" si="56"/>
        <v>0</v>
      </c>
      <c r="V130" s="102">
        <f t="shared" si="56"/>
        <v>0</v>
      </c>
      <c r="W130" s="102">
        <f t="shared" si="56"/>
        <v>0</v>
      </c>
      <c r="X130" s="102">
        <f t="shared" si="56"/>
        <v>0</v>
      </c>
      <c r="Y130" s="102">
        <f t="shared" si="56"/>
        <v>0</v>
      </c>
      <c r="Z130" s="102">
        <f t="shared" si="56"/>
        <v>0</v>
      </c>
      <c r="AA130" s="102">
        <f t="shared" si="56"/>
        <v>795000000</v>
      </c>
      <c r="AB130" s="102">
        <f t="shared" si="56"/>
        <v>263038142</v>
      </c>
      <c r="AC130" s="102">
        <f t="shared" si="56"/>
        <v>0</v>
      </c>
      <c r="AD130" s="102">
        <f>AD131</f>
        <v>2529898101</v>
      </c>
      <c r="AE130" s="102"/>
      <c r="AF130" s="543"/>
      <c r="AG130" s="1"/>
    </row>
    <row r="131" spans="1:89" s="9" customFormat="1" ht="27.75" customHeight="1" x14ac:dyDescent="0.25">
      <c r="A131" s="95"/>
      <c r="B131" s="576"/>
      <c r="C131" s="593">
        <v>33</v>
      </c>
      <c r="D131" s="577" t="s">
        <v>1305</v>
      </c>
      <c r="E131" s="592"/>
      <c r="F131" s="579"/>
      <c r="G131" s="580"/>
      <c r="H131" s="581"/>
      <c r="I131" s="582"/>
      <c r="J131" s="583"/>
      <c r="K131" s="584"/>
      <c r="L131" s="585"/>
      <c r="M131" s="583"/>
      <c r="N131" s="587"/>
      <c r="O131" s="588"/>
      <c r="P131" s="588"/>
      <c r="Q131" s="589">
        <f>Q132+Q140</f>
        <v>1471859959</v>
      </c>
      <c r="R131" s="589">
        <f t="shared" ref="R131:AD131" si="57">R132+R140</f>
        <v>0</v>
      </c>
      <c r="S131" s="589">
        <f t="shared" si="57"/>
        <v>0</v>
      </c>
      <c r="T131" s="589">
        <f t="shared" si="57"/>
        <v>0</v>
      </c>
      <c r="U131" s="589">
        <f t="shared" si="57"/>
        <v>0</v>
      </c>
      <c r="V131" s="589">
        <f t="shared" si="57"/>
        <v>0</v>
      </c>
      <c r="W131" s="589">
        <f t="shared" si="57"/>
        <v>0</v>
      </c>
      <c r="X131" s="589">
        <f t="shared" si="57"/>
        <v>0</v>
      </c>
      <c r="Y131" s="589">
        <f t="shared" si="57"/>
        <v>0</v>
      </c>
      <c r="Z131" s="589">
        <f t="shared" si="57"/>
        <v>0</v>
      </c>
      <c r="AA131" s="589">
        <f t="shared" si="57"/>
        <v>795000000</v>
      </c>
      <c r="AB131" s="589">
        <f t="shared" si="57"/>
        <v>263038142</v>
      </c>
      <c r="AC131" s="589">
        <f t="shared" si="57"/>
        <v>0</v>
      </c>
      <c r="AD131" s="589">
        <f t="shared" si="57"/>
        <v>2529898101</v>
      </c>
      <c r="AE131" s="589"/>
      <c r="AF131" s="590"/>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row>
    <row r="132" spans="1:89" ht="29.25" customHeight="1" x14ac:dyDescent="0.2">
      <c r="A132" s="103"/>
      <c r="B132" s="104"/>
      <c r="C132" s="104"/>
      <c r="D132" s="104"/>
      <c r="E132" s="74">
        <v>3301</v>
      </c>
      <c r="F132" s="471" t="s">
        <v>159</v>
      </c>
      <c r="G132" s="473"/>
      <c r="H132" s="107"/>
      <c r="I132" s="487"/>
      <c r="J132" s="74"/>
      <c r="K132" s="70"/>
      <c r="L132" s="108"/>
      <c r="M132" s="74"/>
      <c r="N132" s="109"/>
      <c r="O132" s="70"/>
      <c r="P132" s="70"/>
      <c r="Q132" s="110">
        <f>SUM(Q133:Q139)</f>
        <v>1471859959</v>
      </c>
      <c r="R132" s="110">
        <f t="shared" ref="R132:AD132" si="58">SUM(R133:R139)</f>
        <v>0</v>
      </c>
      <c r="S132" s="110">
        <f t="shared" si="58"/>
        <v>0</v>
      </c>
      <c r="T132" s="110">
        <f t="shared" si="58"/>
        <v>0</v>
      </c>
      <c r="U132" s="110">
        <f t="shared" si="58"/>
        <v>0</v>
      </c>
      <c r="V132" s="110">
        <f t="shared" si="58"/>
        <v>0</v>
      </c>
      <c r="W132" s="110">
        <f t="shared" si="58"/>
        <v>0</v>
      </c>
      <c r="X132" s="110">
        <f t="shared" si="58"/>
        <v>0</v>
      </c>
      <c r="Y132" s="110">
        <f t="shared" si="58"/>
        <v>0</v>
      </c>
      <c r="Z132" s="110">
        <f t="shared" si="58"/>
        <v>0</v>
      </c>
      <c r="AA132" s="110">
        <f t="shared" si="58"/>
        <v>662000000</v>
      </c>
      <c r="AB132" s="110">
        <f t="shared" si="58"/>
        <v>0</v>
      </c>
      <c r="AC132" s="110">
        <f t="shared" si="58"/>
        <v>0</v>
      </c>
      <c r="AD132" s="110">
        <f t="shared" si="58"/>
        <v>2133859959</v>
      </c>
      <c r="AE132" s="110">
        <f>SUM(AE133:AE139)</f>
        <v>0</v>
      </c>
      <c r="AF132" s="544"/>
      <c r="AG132" s="1"/>
    </row>
    <row r="133" spans="1:89" ht="144" customHeight="1" x14ac:dyDescent="0.2">
      <c r="A133" s="103"/>
      <c r="B133" s="104"/>
      <c r="C133" s="104"/>
      <c r="D133" s="104"/>
      <c r="E133" s="111"/>
      <c r="F133" s="159"/>
      <c r="G133" s="272" t="s">
        <v>338</v>
      </c>
      <c r="H133" s="461">
        <v>3301087</v>
      </c>
      <c r="I133" s="193" t="s">
        <v>339</v>
      </c>
      <c r="J133" s="461">
        <v>330108701</v>
      </c>
      <c r="K133" s="192" t="s">
        <v>320</v>
      </c>
      <c r="L133" s="457" t="s">
        <v>57</v>
      </c>
      <c r="M133" s="470">
        <v>5700</v>
      </c>
      <c r="N133" s="1522" t="s">
        <v>340</v>
      </c>
      <c r="O133" s="1520" t="s">
        <v>341</v>
      </c>
      <c r="P133" s="1531" t="s">
        <v>342</v>
      </c>
      <c r="Q133" s="641"/>
      <c r="R133" s="118"/>
      <c r="S133" s="118"/>
      <c r="T133" s="118"/>
      <c r="U133" s="118"/>
      <c r="V133" s="118"/>
      <c r="W133" s="118"/>
      <c r="X133" s="118"/>
      <c r="Y133" s="118"/>
      <c r="Z133" s="118"/>
      <c r="AA133" s="638">
        <v>370000000</v>
      </c>
      <c r="AB133" s="118"/>
      <c r="AC133" s="118"/>
      <c r="AD133" s="120">
        <f>SUM(Q133:AC133)</f>
        <v>370000000</v>
      </c>
      <c r="AE133" s="120" t="s">
        <v>343</v>
      </c>
      <c r="AF133" s="546" t="s">
        <v>344</v>
      </c>
      <c r="AG133" s="1"/>
    </row>
    <row r="134" spans="1:89" ht="135" customHeight="1" x14ac:dyDescent="0.2">
      <c r="A134" s="103"/>
      <c r="B134" s="104"/>
      <c r="C134" s="104"/>
      <c r="D134" s="104"/>
      <c r="E134" s="111"/>
      <c r="F134" s="200"/>
      <c r="G134" s="272" t="s">
        <v>160</v>
      </c>
      <c r="H134" s="461">
        <v>3301073</v>
      </c>
      <c r="I134" s="193" t="s">
        <v>345</v>
      </c>
      <c r="J134" s="461">
        <v>330107301</v>
      </c>
      <c r="K134" s="192" t="s">
        <v>346</v>
      </c>
      <c r="L134" s="457" t="s">
        <v>57</v>
      </c>
      <c r="M134" s="470">
        <v>500</v>
      </c>
      <c r="N134" s="1522"/>
      <c r="O134" s="1520"/>
      <c r="P134" s="1531"/>
      <c r="Q134" s="642">
        <f>919912475.13+183982494.61</f>
        <v>1103894969.74</v>
      </c>
      <c r="R134" s="118"/>
      <c r="S134" s="118"/>
      <c r="T134" s="118"/>
      <c r="U134" s="118"/>
      <c r="V134" s="118"/>
      <c r="W134" s="118"/>
      <c r="X134" s="118"/>
      <c r="Y134" s="118"/>
      <c r="Z134" s="118"/>
      <c r="AA134" s="639">
        <v>180000000</v>
      </c>
      <c r="AB134" s="118"/>
      <c r="AC134" s="118"/>
      <c r="AD134" s="120">
        <f t="shared" ref="AD134:AD139" si="59">+Q134+R134+S134+T134+U134+V134+W134+X134+Y134+Z134+AA134+AB134+AC134</f>
        <v>1283894969.74</v>
      </c>
      <c r="AE134" s="120" t="s">
        <v>343</v>
      </c>
      <c r="AF134" s="546" t="s">
        <v>344</v>
      </c>
      <c r="AG134" s="1"/>
    </row>
    <row r="135" spans="1:89" ht="151.5" customHeight="1" x14ac:dyDescent="0.2">
      <c r="A135" s="103"/>
      <c r="B135" s="104"/>
      <c r="C135" s="104"/>
      <c r="D135" s="104"/>
      <c r="E135" s="111"/>
      <c r="F135" s="200"/>
      <c r="G135" s="272" t="s">
        <v>347</v>
      </c>
      <c r="H135" s="114">
        <v>3301070</v>
      </c>
      <c r="I135" s="193" t="s">
        <v>348</v>
      </c>
      <c r="J135" s="114">
        <v>330107000</v>
      </c>
      <c r="K135" s="192" t="s">
        <v>349</v>
      </c>
      <c r="L135" s="466" t="s">
        <v>57</v>
      </c>
      <c r="M135" s="470">
        <v>0.3</v>
      </c>
      <c r="N135" s="1522"/>
      <c r="O135" s="1520"/>
      <c r="P135" s="1531"/>
      <c r="Q135" s="643"/>
      <c r="R135" s="118"/>
      <c r="S135" s="118"/>
      <c r="T135" s="118"/>
      <c r="U135" s="118"/>
      <c r="V135" s="118"/>
      <c r="W135" s="118"/>
      <c r="X135" s="118"/>
      <c r="Y135" s="118"/>
      <c r="Z135" s="118"/>
      <c r="AA135" s="638">
        <v>36000000</v>
      </c>
      <c r="AB135" s="118"/>
      <c r="AC135" s="118"/>
      <c r="AD135" s="120">
        <f>+Q135+R135+S135+T135+U135+V135+W135+X135+Y135+Z135+AA135+AB135+AC135</f>
        <v>36000000</v>
      </c>
      <c r="AE135" s="120" t="s">
        <v>343</v>
      </c>
      <c r="AF135" s="546" t="s">
        <v>344</v>
      </c>
      <c r="AG135" s="1"/>
    </row>
    <row r="136" spans="1:89" ht="139.5" customHeight="1" x14ac:dyDescent="0.2">
      <c r="A136" s="103"/>
      <c r="B136" s="104"/>
      <c r="C136" s="104"/>
      <c r="D136" s="104"/>
      <c r="E136" s="111"/>
      <c r="F136" s="159"/>
      <c r="G136" s="272" t="s">
        <v>338</v>
      </c>
      <c r="H136" s="461">
        <v>3301052</v>
      </c>
      <c r="I136" s="503" t="s">
        <v>350</v>
      </c>
      <c r="J136" s="201">
        <v>330105203</v>
      </c>
      <c r="K136" s="192" t="s">
        <v>351</v>
      </c>
      <c r="L136" s="466" t="s">
        <v>45</v>
      </c>
      <c r="M136" s="470">
        <v>135</v>
      </c>
      <c r="N136" s="1522"/>
      <c r="O136" s="1520"/>
      <c r="P136" s="1531"/>
      <c r="Q136" s="643"/>
      <c r="R136" s="118"/>
      <c r="S136" s="118"/>
      <c r="T136" s="118"/>
      <c r="U136" s="118"/>
      <c r="V136" s="118"/>
      <c r="W136" s="118"/>
      <c r="X136" s="118"/>
      <c r="Y136" s="118"/>
      <c r="Z136" s="118"/>
      <c r="AA136" s="638">
        <v>18000000</v>
      </c>
      <c r="AB136" s="118"/>
      <c r="AC136" s="118"/>
      <c r="AD136" s="120">
        <f>+Q136+R136+S136+T136+U136+V136+W136+X136+Y136+Z136+AA136+AB136+AC136</f>
        <v>18000000</v>
      </c>
      <c r="AE136" s="120" t="s">
        <v>343</v>
      </c>
      <c r="AF136" s="546" t="s">
        <v>344</v>
      </c>
      <c r="AG136" s="1"/>
    </row>
    <row r="137" spans="1:89" ht="103.5" customHeight="1" x14ac:dyDescent="0.2">
      <c r="A137" s="103"/>
      <c r="B137" s="104"/>
      <c r="C137" s="104"/>
      <c r="D137" s="104"/>
      <c r="E137" s="111"/>
      <c r="F137" s="192"/>
      <c r="G137" s="272" t="s">
        <v>352</v>
      </c>
      <c r="H137" s="461">
        <v>3301085</v>
      </c>
      <c r="I137" s="193" t="s">
        <v>353</v>
      </c>
      <c r="J137" s="461" t="s">
        <v>354</v>
      </c>
      <c r="K137" s="192" t="s">
        <v>355</v>
      </c>
      <c r="L137" s="457" t="s">
        <v>57</v>
      </c>
      <c r="M137" s="470">
        <v>40000</v>
      </c>
      <c r="N137" s="1524" t="s">
        <v>356</v>
      </c>
      <c r="O137" s="1519" t="s">
        <v>357</v>
      </c>
      <c r="P137" s="1540" t="s">
        <v>358</v>
      </c>
      <c r="Q137" s="644">
        <v>80000000</v>
      </c>
      <c r="R137" s="118"/>
      <c r="S137" s="118"/>
      <c r="T137" s="118"/>
      <c r="U137" s="118"/>
      <c r="V137" s="118"/>
      <c r="W137" s="118"/>
      <c r="X137" s="118"/>
      <c r="Y137" s="118"/>
      <c r="Z137" s="118"/>
      <c r="AA137" s="639">
        <v>20000000</v>
      </c>
      <c r="AB137" s="118"/>
      <c r="AC137" s="118"/>
      <c r="AD137" s="120">
        <f t="shared" si="59"/>
        <v>100000000</v>
      </c>
      <c r="AE137" s="120" t="s">
        <v>343</v>
      </c>
      <c r="AF137" s="546" t="s">
        <v>344</v>
      </c>
      <c r="AG137" s="1"/>
    </row>
    <row r="138" spans="1:89" ht="100.5" customHeight="1" x14ac:dyDescent="0.2">
      <c r="A138" s="103"/>
      <c r="B138" s="104"/>
      <c r="C138" s="104"/>
      <c r="D138" s="104"/>
      <c r="E138" s="111"/>
      <c r="F138" s="192"/>
      <c r="G138" s="272" t="s">
        <v>352</v>
      </c>
      <c r="H138" s="461">
        <v>3301100</v>
      </c>
      <c r="I138" s="193" t="s">
        <v>359</v>
      </c>
      <c r="J138" s="202" t="s">
        <v>360</v>
      </c>
      <c r="K138" s="220" t="s">
        <v>361</v>
      </c>
      <c r="L138" s="457" t="s">
        <v>57</v>
      </c>
      <c r="M138" s="470">
        <v>10</v>
      </c>
      <c r="N138" s="1524"/>
      <c r="O138" s="1519"/>
      <c r="P138" s="1540"/>
      <c r="Q138" s="645">
        <v>103982494.63</v>
      </c>
      <c r="R138" s="118"/>
      <c r="S138" s="118"/>
      <c r="T138" s="118"/>
      <c r="U138" s="118"/>
      <c r="V138" s="118"/>
      <c r="W138" s="118"/>
      <c r="X138" s="118"/>
      <c r="Y138" s="118"/>
      <c r="Z138" s="118"/>
      <c r="AA138" s="640">
        <v>18000000</v>
      </c>
      <c r="AB138" s="118"/>
      <c r="AC138" s="118"/>
      <c r="AD138" s="120">
        <f t="shared" si="59"/>
        <v>121982494.63</v>
      </c>
      <c r="AE138" s="120" t="s">
        <v>343</v>
      </c>
      <c r="AF138" s="546" t="s">
        <v>344</v>
      </c>
      <c r="AG138" s="1"/>
    </row>
    <row r="139" spans="1:89" ht="148.5" customHeight="1" x14ac:dyDescent="0.2">
      <c r="A139" s="103"/>
      <c r="B139" s="104"/>
      <c r="C139" s="104"/>
      <c r="D139" s="104"/>
      <c r="E139" s="111"/>
      <c r="F139" s="159"/>
      <c r="G139" s="272" t="s">
        <v>160</v>
      </c>
      <c r="H139" s="461">
        <v>3301095</v>
      </c>
      <c r="I139" s="193" t="s">
        <v>362</v>
      </c>
      <c r="J139" s="461" t="s">
        <v>363</v>
      </c>
      <c r="K139" s="192" t="s">
        <v>364</v>
      </c>
      <c r="L139" s="466" t="s">
        <v>45</v>
      </c>
      <c r="M139" s="470">
        <v>150</v>
      </c>
      <c r="N139" s="454" t="s">
        <v>365</v>
      </c>
      <c r="O139" s="480" t="s">
        <v>366</v>
      </c>
      <c r="P139" s="480" t="s">
        <v>367</v>
      </c>
      <c r="Q139" s="646">
        <v>183982494.63</v>
      </c>
      <c r="R139" s="118"/>
      <c r="S139" s="118"/>
      <c r="T139" s="118"/>
      <c r="U139" s="118"/>
      <c r="V139" s="118"/>
      <c r="W139" s="118"/>
      <c r="X139" s="118"/>
      <c r="Y139" s="118"/>
      <c r="Z139" s="118"/>
      <c r="AA139" s="638">
        <v>20000000</v>
      </c>
      <c r="AB139" s="118"/>
      <c r="AC139" s="118"/>
      <c r="AD139" s="120">
        <f t="shared" si="59"/>
        <v>203982494.63</v>
      </c>
      <c r="AE139" s="120" t="s">
        <v>343</v>
      </c>
      <c r="AF139" s="546" t="s">
        <v>344</v>
      </c>
      <c r="AG139" s="1"/>
    </row>
    <row r="140" spans="1:89" ht="25.5" customHeight="1" x14ac:dyDescent="0.2">
      <c r="A140" s="103"/>
      <c r="B140" s="104"/>
      <c r="C140" s="104"/>
      <c r="D140" s="104"/>
      <c r="E140" s="74">
        <v>3302</v>
      </c>
      <c r="F140" s="471" t="s">
        <v>368</v>
      </c>
      <c r="G140" s="473"/>
      <c r="H140" s="107"/>
      <c r="I140" s="487"/>
      <c r="J140" s="74"/>
      <c r="K140" s="70"/>
      <c r="L140" s="108"/>
      <c r="M140" s="74"/>
      <c r="N140" s="109"/>
      <c r="O140" s="70"/>
      <c r="P140" s="70"/>
      <c r="Q140" s="110">
        <f t="shared" ref="Q140:AC140" si="60">SUM(Q141:Q142)</f>
        <v>0</v>
      </c>
      <c r="R140" s="110">
        <f t="shared" si="60"/>
        <v>0</v>
      </c>
      <c r="S140" s="110">
        <f t="shared" si="60"/>
        <v>0</v>
      </c>
      <c r="T140" s="110">
        <f t="shared" si="60"/>
        <v>0</v>
      </c>
      <c r="U140" s="110">
        <f t="shared" si="60"/>
        <v>0</v>
      </c>
      <c r="V140" s="110">
        <f t="shared" si="60"/>
        <v>0</v>
      </c>
      <c r="W140" s="110">
        <f t="shared" si="60"/>
        <v>0</v>
      </c>
      <c r="X140" s="110">
        <f t="shared" si="60"/>
        <v>0</v>
      </c>
      <c r="Y140" s="110">
        <f t="shared" si="60"/>
        <v>0</v>
      </c>
      <c r="Z140" s="110">
        <f t="shared" si="60"/>
        <v>0</v>
      </c>
      <c r="AA140" s="110">
        <f>SUM(AA141:AA142)</f>
        <v>133000000</v>
      </c>
      <c r="AB140" s="110">
        <f>SUM(AB141:AB142)</f>
        <v>263038142</v>
      </c>
      <c r="AC140" s="110">
        <f t="shared" si="60"/>
        <v>0</v>
      </c>
      <c r="AD140" s="110">
        <f>SUM(AD141:AD142)</f>
        <v>396038142</v>
      </c>
      <c r="AE140" s="110"/>
      <c r="AF140" s="544"/>
      <c r="AG140" s="1"/>
    </row>
    <row r="141" spans="1:89" ht="123" customHeight="1" x14ac:dyDescent="0.2">
      <c r="A141" s="103"/>
      <c r="B141" s="104"/>
      <c r="C141" s="104"/>
      <c r="D141" s="104"/>
      <c r="E141" s="111"/>
      <c r="F141" s="159"/>
      <c r="G141" s="140" t="s">
        <v>369</v>
      </c>
      <c r="H141" s="170">
        <v>3302042</v>
      </c>
      <c r="I141" s="193" t="s">
        <v>370</v>
      </c>
      <c r="J141" s="461" t="s">
        <v>371</v>
      </c>
      <c r="K141" s="192" t="s">
        <v>372</v>
      </c>
      <c r="L141" s="457" t="s">
        <v>57</v>
      </c>
      <c r="M141" s="470">
        <v>12</v>
      </c>
      <c r="N141" s="1523" t="s">
        <v>373</v>
      </c>
      <c r="O141" s="1544" t="s">
        <v>374</v>
      </c>
      <c r="P141" s="1539" t="s">
        <v>375</v>
      </c>
      <c r="Q141" s="118"/>
      <c r="R141" s="118"/>
      <c r="S141" s="118"/>
      <c r="T141" s="118"/>
      <c r="U141" s="118"/>
      <c r="V141" s="118"/>
      <c r="W141" s="118"/>
      <c r="X141" s="118"/>
      <c r="Y141" s="118"/>
      <c r="Z141" s="118"/>
      <c r="AA141" s="132">
        <v>66500000</v>
      </c>
      <c r="AB141" s="640"/>
      <c r="AC141" s="187"/>
      <c r="AD141" s="120">
        <f>+Q141+R141+S141+T141+U141+V141+W141+X141+Y141+Z141+AA141+AB141+AC141</f>
        <v>66500000</v>
      </c>
      <c r="AE141" s="120" t="s">
        <v>343</v>
      </c>
      <c r="AF141" s="546" t="s">
        <v>344</v>
      </c>
      <c r="AG141" s="1"/>
    </row>
    <row r="142" spans="1:89" ht="130.5" customHeight="1" x14ac:dyDescent="0.2">
      <c r="A142" s="103"/>
      <c r="B142" s="104"/>
      <c r="C142" s="104"/>
      <c r="D142" s="104"/>
      <c r="E142" s="111"/>
      <c r="F142" s="159"/>
      <c r="G142" s="140" t="s">
        <v>369</v>
      </c>
      <c r="H142" s="170">
        <v>3302070</v>
      </c>
      <c r="I142" s="193" t="s">
        <v>376</v>
      </c>
      <c r="J142" s="202" t="s">
        <v>377</v>
      </c>
      <c r="K142" s="220" t="s">
        <v>361</v>
      </c>
      <c r="L142" s="457" t="s">
        <v>45</v>
      </c>
      <c r="M142" s="470">
        <v>4</v>
      </c>
      <c r="N142" s="1523"/>
      <c r="O142" s="1544"/>
      <c r="P142" s="1539"/>
      <c r="Q142" s="103"/>
      <c r="R142" s="118"/>
      <c r="S142" s="118"/>
      <c r="T142" s="118"/>
      <c r="U142" s="118"/>
      <c r="V142" s="118"/>
      <c r="W142" s="118"/>
      <c r="X142" s="118"/>
      <c r="Y142" s="118"/>
      <c r="Z142" s="118"/>
      <c r="AA142" s="132">
        <v>66500000</v>
      </c>
      <c r="AB142" s="647">
        <v>263038142</v>
      </c>
      <c r="AC142" s="187"/>
      <c r="AD142" s="120">
        <f>+Q142+R142+S142+T142+U142+V142+W142+X142+Y142+Z142+AA142+AB142+AC142</f>
        <v>329538142</v>
      </c>
      <c r="AE142" s="120" t="s">
        <v>343</v>
      </c>
      <c r="AF142" s="546" t="s">
        <v>344</v>
      </c>
      <c r="AG142" s="1"/>
    </row>
    <row r="143" spans="1:89" s="442" customFormat="1" ht="22.5" customHeight="1" x14ac:dyDescent="0.2">
      <c r="A143" s="597"/>
      <c r="B143" s="598"/>
      <c r="C143" s="598"/>
      <c r="D143" s="598"/>
      <c r="E143" s="599"/>
      <c r="F143" s="600"/>
      <c r="G143" s="601"/>
      <c r="H143" s="599"/>
      <c r="I143" s="601"/>
      <c r="J143" s="602"/>
      <c r="K143" s="603"/>
      <c r="L143" s="600"/>
      <c r="M143" s="602"/>
      <c r="N143" s="600"/>
      <c r="O143" s="603"/>
      <c r="P143" s="603"/>
      <c r="Q143" s="597"/>
      <c r="R143" s="597"/>
      <c r="S143" s="597"/>
      <c r="T143" s="597"/>
      <c r="U143" s="597"/>
      <c r="V143" s="597"/>
      <c r="W143" s="648"/>
      <c r="X143" s="648"/>
      <c r="Y143" s="597"/>
      <c r="Z143" s="597"/>
      <c r="AA143" s="649"/>
      <c r="AB143" s="597"/>
      <c r="AC143" s="597"/>
      <c r="AD143" s="597"/>
      <c r="AE143" s="597"/>
      <c r="AF143" s="600"/>
      <c r="AH143" s="437"/>
      <c r="AI143" s="437"/>
      <c r="AJ143" s="437"/>
      <c r="AK143" s="437"/>
      <c r="AL143" s="437"/>
      <c r="AM143" s="437"/>
      <c r="AN143" s="437"/>
      <c r="AO143" s="437"/>
      <c r="AP143" s="437"/>
      <c r="AQ143" s="437"/>
      <c r="AR143" s="437"/>
      <c r="AS143" s="437"/>
      <c r="AT143" s="437"/>
      <c r="AU143" s="437"/>
      <c r="AV143" s="437"/>
      <c r="AW143" s="437"/>
      <c r="AX143" s="437"/>
      <c r="AY143" s="437"/>
      <c r="AZ143" s="437"/>
      <c r="BA143" s="437"/>
      <c r="BB143" s="437"/>
      <c r="BC143" s="437"/>
      <c r="BD143" s="437"/>
      <c r="BE143" s="437"/>
      <c r="BF143" s="437"/>
      <c r="BG143" s="437"/>
      <c r="BH143" s="437"/>
      <c r="BI143" s="437"/>
      <c r="BJ143" s="437"/>
      <c r="BK143" s="437"/>
      <c r="BL143" s="437"/>
      <c r="BM143" s="437"/>
      <c r="BN143" s="437"/>
      <c r="BO143" s="437"/>
      <c r="BP143" s="437"/>
      <c r="BQ143" s="437"/>
      <c r="BR143" s="437"/>
      <c r="BS143" s="437"/>
      <c r="BT143" s="437"/>
      <c r="BU143" s="437"/>
      <c r="BV143" s="437"/>
      <c r="BW143" s="437"/>
      <c r="BX143" s="437"/>
      <c r="BY143" s="437"/>
      <c r="BZ143" s="437"/>
      <c r="CA143" s="437"/>
      <c r="CB143" s="437"/>
      <c r="CC143" s="437"/>
      <c r="CD143" s="437"/>
      <c r="CE143" s="437"/>
      <c r="CF143" s="437"/>
      <c r="CG143" s="437"/>
      <c r="CH143" s="437"/>
      <c r="CI143" s="437"/>
      <c r="CJ143" s="437"/>
      <c r="CK143" s="437"/>
    </row>
    <row r="144" spans="1:89" ht="36.75" customHeight="1" x14ac:dyDescent="0.2">
      <c r="A144" s="86" t="s">
        <v>378</v>
      </c>
      <c r="B144" s="86"/>
      <c r="C144" s="86"/>
      <c r="D144" s="86"/>
      <c r="E144" s="87"/>
      <c r="F144" s="88"/>
      <c r="G144" s="89"/>
      <c r="H144" s="90"/>
      <c r="I144" s="89"/>
      <c r="J144" s="92"/>
      <c r="K144" s="91"/>
      <c r="L144" s="93"/>
      <c r="M144" s="92"/>
      <c r="N144" s="88"/>
      <c r="O144" s="91"/>
      <c r="P144" s="91"/>
      <c r="Q144" s="144">
        <f>Q145</f>
        <v>0</v>
      </c>
      <c r="R144" s="144">
        <f t="shared" ref="R144:AC144" si="61">R145</f>
        <v>0</v>
      </c>
      <c r="S144" s="144">
        <f t="shared" si="61"/>
        <v>0</v>
      </c>
      <c r="T144" s="144">
        <f t="shared" si="61"/>
        <v>0</v>
      </c>
      <c r="U144" s="144">
        <f t="shared" si="61"/>
        <v>0</v>
      </c>
      <c r="V144" s="144">
        <f t="shared" si="61"/>
        <v>0</v>
      </c>
      <c r="W144" s="144">
        <f t="shared" si="61"/>
        <v>0</v>
      </c>
      <c r="X144" s="144">
        <f t="shared" si="61"/>
        <v>0</v>
      </c>
      <c r="Y144" s="144">
        <f t="shared" si="61"/>
        <v>0</v>
      </c>
      <c r="Z144" s="144">
        <f t="shared" si="61"/>
        <v>0</v>
      </c>
      <c r="AA144" s="144">
        <f t="shared" si="61"/>
        <v>762500000</v>
      </c>
      <c r="AB144" s="144">
        <f t="shared" si="61"/>
        <v>664872304</v>
      </c>
      <c r="AC144" s="144">
        <f t="shared" si="61"/>
        <v>0</v>
      </c>
      <c r="AD144" s="144">
        <f>AD145</f>
        <v>1427372304</v>
      </c>
      <c r="AE144" s="144"/>
      <c r="AF144" s="94"/>
      <c r="AG144" s="1">
        <v>1427372304</v>
      </c>
    </row>
    <row r="145" spans="1:89" ht="25.5" customHeight="1" x14ac:dyDescent="0.2">
      <c r="A145" s="103"/>
      <c r="B145" s="395">
        <v>2</v>
      </c>
      <c r="C145" s="365" t="s">
        <v>379</v>
      </c>
      <c r="D145" s="569"/>
      <c r="E145" s="365"/>
      <c r="F145" s="365"/>
      <c r="G145" s="365"/>
      <c r="H145" s="97"/>
      <c r="I145" s="489"/>
      <c r="J145" s="99"/>
      <c r="K145" s="98"/>
      <c r="L145" s="100"/>
      <c r="M145" s="99"/>
      <c r="N145" s="101"/>
      <c r="O145" s="98"/>
      <c r="P145" s="98"/>
      <c r="Q145" s="102">
        <f t="shared" ref="Q145:AD145" si="62">Q146+Q156</f>
        <v>0</v>
      </c>
      <c r="R145" s="102">
        <f t="shared" si="62"/>
        <v>0</v>
      </c>
      <c r="S145" s="102">
        <f t="shared" si="62"/>
        <v>0</v>
      </c>
      <c r="T145" s="102">
        <f t="shared" si="62"/>
        <v>0</v>
      </c>
      <c r="U145" s="102">
        <f t="shared" si="62"/>
        <v>0</v>
      </c>
      <c r="V145" s="102">
        <f t="shared" si="62"/>
        <v>0</v>
      </c>
      <c r="W145" s="102">
        <f t="shared" si="62"/>
        <v>0</v>
      </c>
      <c r="X145" s="102">
        <f t="shared" si="62"/>
        <v>0</v>
      </c>
      <c r="Y145" s="102">
        <f t="shared" si="62"/>
        <v>0</v>
      </c>
      <c r="Z145" s="102">
        <f t="shared" si="62"/>
        <v>0</v>
      </c>
      <c r="AA145" s="102">
        <f t="shared" si="62"/>
        <v>762500000</v>
      </c>
      <c r="AB145" s="102">
        <f t="shared" si="62"/>
        <v>664872304</v>
      </c>
      <c r="AC145" s="102">
        <f t="shared" si="62"/>
        <v>0</v>
      </c>
      <c r="AD145" s="102">
        <f t="shared" si="62"/>
        <v>1427372304</v>
      </c>
      <c r="AE145" s="102"/>
      <c r="AF145" s="543"/>
      <c r="AG145" s="1"/>
    </row>
    <row r="146" spans="1:89" s="9" customFormat="1" ht="27.75" customHeight="1" x14ac:dyDescent="0.25">
      <c r="A146" s="95"/>
      <c r="B146" s="576"/>
      <c r="C146" s="593">
        <v>35</v>
      </c>
      <c r="D146" s="578" t="s">
        <v>1309</v>
      </c>
      <c r="E146" s="592"/>
      <c r="F146" s="579"/>
      <c r="G146" s="580"/>
      <c r="H146" s="581"/>
      <c r="I146" s="582"/>
      <c r="J146" s="583"/>
      <c r="K146" s="584"/>
      <c r="L146" s="585"/>
      <c r="M146" s="583"/>
      <c r="N146" s="587"/>
      <c r="O146" s="588"/>
      <c r="P146" s="588"/>
      <c r="Q146" s="589">
        <f>Q147</f>
        <v>0</v>
      </c>
      <c r="R146" s="589">
        <f t="shared" ref="R146:AC146" si="63">R147</f>
        <v>0</v>
      </c>
      <c r="S146" s="589">
        <f t="shared" si="63"/>
        <v>0</v>
      </c>
      <c r="T146" s="589">
        <f t="shared" si="63"/>
        <v>0</v>
      </c>
      <c r="U146" s="589">
        <f t="shared" si="63"/>
        <v>0</v>
      </c>
      <c r="V146" s="589">
        <f t="shared" si="63"/>
        <v>0</v>
      </c>
      <c r="W146" s="589">
        <f t="shared" si="63"/>
        <v>0</v>
      </c>
      <c r="X146" s="589">
        <f t="shared" si="63"/>
        <v>0</v>
      </c>
      <c r="Y146" s="589">
        <f t="shared" si="63"/>
        <v>0</v>
      </c>
      <c r="Z146" s="589">
        <f t="shared" si="63"/>
        <v>0</v>
      </c>
      <c r="AA146" s="589">
        <f t="shared" si="63"/>
        <v>525000000</v>
      </c>
      <c r="AB146" s="589">
        <f t="shared" si="63"/>
        <v>664872304</v>
      </c>
      <c r="AC146" s="589">
        <f t="shared" si="63"/>
        <v>0</v>
      </c>
      <c r="AD146" s="589">
        <f>AD147</f>
        <v>1189872304</v>
      </c>
      <c r="AE146" s="589"/>
      <c r="AF146" s="590"/>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row>
    <row r="147" spans="1:89" ht="23.25" customHeight="1" x14ac:dyDescent="0.2">
      <c r="A147" s="103"/>
      <c r="B147" s="111"/>
      <c r="C147" s="111"/>
      <c r="D147" s="111"/>
      <c r="E147" s="105">
        <v>3502</v>
      </c>
      <c r="F147" s="471" t="s">
        <v>380</v>
      </c>
      <c r="G147" s="473"/>
      <c r="H147" s="107"/>
      <c r="I147" s="487"/>
      <c r="J147" s="74"/>
      <c r="K147" s="70"/>
      <c r="L147" s="108"/>
      <c r="M147" s="74"/>
      <c r="N147" s="109"/>
      <c r="O147" s="70"/>
      <c r="P147" s="70"/>
      <c r="Q147" s="110">
        <f t="shared" ref="Q147:AE147" si="64">SUM(Q148:Q155)</f>
        <v>0</v>
      </c>
      <c r="R147" s="110">
        <f t="shared" si="64"/>
        <v>0</v>
      </c>
      <c r="S147" s="110">
        <f t="shared" si="64"/>
        <v>0</v>
      </c>
      <c r="T147" s="110">
        <f t="shared" si="64"/>
        <v>0</v>
      </c>
      <c r="U147" s="110">
        <f t="shared" si="64"/>
        <v>0</v>
      </c>
      <c r="V147" s="110">
        <f t="shared" si="64"/>
        <v>0</v>
      </c>
      <c r="W147" s="110">
        <f t="shared" si="64"/>
        <v>0</v>
      </c>
      <c r="X147" s="110">
        <f t="shared" si="64"/>
        <v>0</v>
      </c>
      <c r="Y147" s="110">
        <f t="shared" si="64"/>
        <v>0</v>
      </c>
      <c r="Z147" s="110">
        <f t="shared" si="64"/>
        <v>0</v>
      </c>
      <c r="AA147" s="110">
        <f t="shared" si="64"/>
        <v>525000000</v>
      </c>
      <c r="AB147" s="110">
        <f t="shared" si="64"/>
        <v>664872304</v>
      </c>
      <c r="AC147" s="110">
        <f t="shared" si="64"/>
        <v>0</v>
      </c>
      <c r="AD147" s="110">
        <f t="shared" si="64"/>
        <v>1189872304</v>
      </c>
      <c r="AE147" s="110">
        <f t="shared" si="64"/>
        <v>0</v>
      </c>
      <c r="AF147" s="544"/>
      <c r="AG147" s="1"/>
    </row>
    <row r="148" spans="1:89" ht="72.75" customHeight="1" x14ac:dyDescent="0.2">
      <c r="A148" s="103"/>
      <c r="B148" s="111"/>
      <c r="C148" s="111"/>
      <c r="D148" s="111"/>
      <c r="E148" s="111"/>
      <c r="F148" s="204"/>
      <c r="G148" s="205" t="s">
        <v>381</v>
      </c>
      <c r="H148" s="142">
        <v>3502006</v>
      </c>
      <c r="I148" s="205" t="s">
        <v>382</v>
      </c>
      <c r="J148" s="135" t="s">
        <v>383</v>
      </c>
      <c r="K148" s="173" t="s">
        <v>384</v>
      </c>
      <c r="L148" s="453" t="s">
        <v>57</v>
      </c>
      <c r="M148" s="470">
        <v>1</v>
      </c>
      <c r="N148" s="1523" t="s">
        <v>385</v>
      </c>
      <c r="O148" s="1527" t="s">
        <v>386</v>
      </c>
      <c r="P148" s="1527" t="s">
        <v>387</v>
      </c>
      <c r="Q148" s="206"/>
      <c r="R148" s="206"/>
      <c r="S148" s="206"/>
      <c r="T148" s="206"/>
      <c r="U148" s="206"/>
      <c r="V148" s="206"/>
      <c r="W148" s="206"/>
      <c r="X148" s="206"/>
      <c r="Y148" s="206"/>
      <c r="Z148" s="206"/>
      <c r="AA148" s="207">
        <v>27000000</v>
      </c>
      <c r="AB148" s="206"/>
      <c r="AC148" s="118"/>
      <c r="AD148" s="120">
        <f>+Q148+R148+S148+T148+U148+V148+W148+X148+Y148+Z148+AA148+AB148+AC148</f>
        <v>27000000</v>
      </c>
      <c r="AE148" s="120" t="s">
        <v>388</v>
      </c>
      <c r="AF148" s="546" t="s">
        <v>389</v>
      </c>
      <c r="AG148" s="1"/>
    </row>
    <row r="149" spans="1:89" ht="87" customHeight="1" x14ac:dyDescent="0.2">
      <c r="A149" s="103"/>
      <c r="B149" s="111"/>
      <c r="C149" s="111"/>
      <c r="D149" s="111"/>
      <c r="E149" s="111"/>
      <c r="F149" s="462"/>
      <c r="G149" s="193" t="s">
        <v>381</v>
      </c>
      <c r="H149" s="142">
        <v>3502007</v>
      </c>
      <c r="I149" s="193" t="s">
        <v>390</v>
      </c>
      <c r="J149" s="461" t="s">
        <v>391</v>
      </c>
      <c r="K149" s="192" t="s">
        <v>392</v>
      </c>
      <c r="L149" s="453" t="s">
        <v>45</v>
      </c>
      <c r="M149" s="470">
        <v>7</v>
      </c>
      <c r="N149" s="1523"/>
      <c r="O149" s="1527"/>
      <c r="P149" s="1527"/>
      <c r="Q149" s="118"/>
      <c r="R149" s="118"/>
      <c r="S149" s="118"/>
      <c r="T149" s="118"/>
      <c r="U149" s="118"/>
      <c r="V149" s="118"/>
      <c r="W149" s="118"/>
      <c r="X149" s="118"/>
      <c r="Y149" s="118"/>
      <c r="Z149" s="118"/>
      <c r="AA149" s="132">
        <v>50000000</v>
      </c>
      <c r="AB149" s="118"/>
      <c r="AC149" s="118"/>
      <c r="AD149" s="120">
        <f>+Q149+R149+S149+T149+U149+V149+W149+X149+Y149+Z149+AA149+AB149+AC149</f>
        <v>50000000</v>
      </c>
      <c r="AE149" s="120" t="s">
        <v>388</v>
      </c>
      <c r="AF149" s="546" t="s">
        <v>389</v>
      </c>
      <c r="AG149" s="1"/>
    </row>
    <row r="150" spans="1:89" ht="60" customHeight="1" x14ac:dyDescent="0.2">
      <c r="A150" s="103"/>
      <c r="B150" s="111"/>
      <c r="C150" s="111"/>
      <c r="D150" s="111"/>
      <c r="E150" s="111"/>
      <c r="F150" s="457"/>
      <c r="G150" s="205" t="s">
        <v>381</v>
      </c>
      <c r="H150" s="160">
        <v>3502022</v>
      </c>
      <c r="I150" s="193" t="s">
        <v>393</v>
      </c>
      <c r="J150" s="72" t="s">
        <v>394</v>
      </c>
      <c r="K150" s="220" t="s">
        <v>395</v>
      </c>
      <c r="L150" s="466" t="s">
        <v>45</v>
      </c>
      <c r="M150" s="470">
        <v>14</v>
      </c>
      <c r="N150" s="1523" t="s">
        <v>396</v>
      </c>
      <c r="O150" s="1520" t="s">
        <v>397</v>
      </c>
      <c r="P150" s="1520" t="s">
        <v>398</v>
      </c>
      <c r="Q150" s="206"/>
      <c r="R150" s="206"/>
      <c r="S150" s="206"/>
      <c r="T150" s="206"/>
      <c r="U150" s="206"/>
      <c r="V150" s="206"/>
      <c r="W150" s="206"/>
      <c r="X150" s="206"/>
      <c r="Y150" s="206"/>
      <c r="Z150" s="206"/>
      <c r="AA150" s="207">
        <v>90000000</v>
      </c>
      <c r="AB150" s="206"/>
      <c r="AC150" s="118"/>
      <c r="AD150" s="120">
        <f t="shared" ref="AD150:AD155" si="65">+Q150+R150+S150+T150+U150+V150+W150+X150+Y150+Z150+AA150+AB150+AC150</f>
        <v>90000000</v>
      </c>
      <c r="AE150" s="120" t="s">
        <v>388</v>
      </c>
      <c r="AF150" s="546" t="s">
        <v>389</v>
      </c>
      <c r="AG150" s="1"/>
    </row>
    <row r="151" spans="1:89" ht="84.75" customHeight="1" x14ac:dyDescent="0.2">
      <c r="A151" s="103"/>
      <c r="B151" s="111"/>
      <c r="C151" s="111"/>
      <c r="D151" s="111"/>
      <c r="E151" s="111"/>
      <c r="F151" s="457"/>
      <c r="G151" s="205" t="s">
        <v>381</v>
      </c>
      <c r="H151" s="160">
        <v>3502047</v>
      </c>
      <c r="I151" s="193" t="s">
        <v>63</v>
      </c>
      <c r="J151" s="72" t="s">
        <v>399</v>
      </c>
      <c r="K151" s="220" t="s">
        <v>216</v>
      </c>
      <c r="L151" s="457" t="s">
        <v>45</v>
      </c>
      <c r="M151" s="470">
        <v>2</v>
      </c>
      <c r="N151" s="1523"/>
      <c r="O151" s="1520"/>
      <c r="P151" s="1520"/>
      <c r="Q151" s="118"/>
      <c r="R151" s="118"/>
      <c r="S151" s="118"/>
      <c r="T151" s="118"/>
      <c r="U151" s="118"/>
      <c r="V151" s="118"/>
      <c r="W151" s="118"/>
      <c r="X151" s="118"/>
      <c r="Y151" s="118"/>
      <c r="Z151" s="118"/>
      <c r="AA151" s="197">
        <f>130000000+30000000</f>
        <v>160000000</v>
      </c>
      <c r="AB151" s="118"/>
      <c r="AC151" s="118"/>
      <c r="AD151" s="120">
        <f t="shared" si="65"/>
        <v>160000000</v>
      </c>
      <c r="AE151" s="120" t="s">
        <v>388</v>
      </c>
      <c r="AF151" s="546" t="s">
        <v>389</v>
      </c>
      <c r="AG151" s="1"/>
    </row>
    <row r="152" spans="1:89" ht="69.75" customHeight="1" x14ac:dyDescent="0.2">
      <c r="A152" s="103"/>
      <c r="B152" s="111"/>
      <c r="C152" s="111"/>
      <c r="D152" s="111"/>
      <c r="E152" s="111"/>
      <c r="F152" s="457"/>
      <c r="G152" s="205" t="s">
        <v>400</v>
      </c>
      <c r="H152" s="208">
        <v>3502039</v>
      </c>
      <c r="I152" s="193" t="s">
        <v>401</v>
      </c>
      <c r="J152" s="461" t="s">
        <v>402</v>
      </c>
      <c r="K152" s="192" t="s">
        <v>108</v>
      </c>
      <c r="L152" s="457" t="s">
        <v>45</v>
      </c>
      <c r="M152" s="470">
        <v>12</v>
      </c>
      <c r="N152" s="1523" t="s">
        <v>403</v>
      </c>
      <c r="O152" s="1520" t="s">
        <v>404</v>
      </c>
      <c r="P152" s="1531" t="s">
        <v>405</v>
      </c>
      <c r="Q152" s="118"/>
      <c r="R152" s="118"/>
      <c r="S152" s="118"/>
      <c r="T152" s="118"/>
      <c r="U152" s="118"/>
      <c r="V152" s="118"/>
      <c r="W152" s="118"/>
      <c r="X152" s="118"/>
      <c r="Y152" s="118"/>
      <c r="Z152" s="118"/>
      <c r="AA152" s="132">
        <v>80000000</v>
      </c>
      <c r="AB152" s="118"/>
      <c r="AC152" s="118"/>
      <c r="AD152" s="120">
        <f t="shared" si="65"/>
        <v>80000000</v>
      </c>
      <c r="AE152" s="120" t="s">
        <v>388</v>
      </c>
      <c r="AF152" s="546" t="s">
        <v>389</v>
      </c>
    </row>
    <row r="153" spans="1:89" ht="76.5" customHeight="1" x14ac:dyDescent="0.2">
      <c r="A153" s="103"/>
      <c r="B153" s="111"/>
      <c r="C153" s="111"/>
      <c r="D153" s="111"/>
      <c r="E153" s="111"/>
      <c r="F153" s="457"/>
      <c r="G153" s="205" t="s">
        <v>381</v>
      </c>
      <c r="H153" s="160">
        <v>3502047</v>
      </c>
      <c r="I153" s="193" t="s">
        <v>63</v>
      </c>
      <c r="J153" s="461" t="s">
        <v>399</v>
      </c>
      <c r="K153" s="192" t="s">
        <v>216</v>
      </c>
      <c r="L153" s="457" t="s">
        <v>45</v>
      </c>
      <c r="M153" s="135">
        <v>2</v>
      </c>
      <c r="N153" s="1523"/>
      <c r="O153" s="1520"/>
      <c r="P153" s="1531"/>
      <c r="Q153" s="118"/>
      <c r="R153" s="118"/>
      <c r="S153" s="118"/>
      <c r="T153" s="118"/>
      <c r="U153" s="118"/>
      <c r="V153" s="118"/>
      <c r="W153" s="118"/>
      <c r="X153" s="118"/>
      <c r="Y153" s="118"/>
      <c r="Z153" s="118"/>
      <c r="AA153" s="197">
        <v>18000000</v>
      </c>
      <c r="AB153" s="118"/>
      <c r="AC153" s="118"/>
      <c r="AD153" s="120">
        <f>+Q153+R153+S153+T153+U153+V153+W153+X153+Y153+Z153+AA153+AB153+AC153</f>
        <v>18000000</v>
      </c>
      <c r="AE153" s="120" t="s">
        <v>388</v>
      </c>
      <c r="AF153" s="546" t="s">
        <v>389</v>
      </c>
    </row>
    <row r="154" spans="1:89" s="4" customFormat="1" ht="85.5" customHeight="1" x14ac:dyDescent="0.2">
      <c r="A154" s="203"/>
      <c r="B154" s="209"/>
      <c r="C154" s="209"/>
      <c r="D154" s="209"/>
      <c r="E154" s="209"/>
      <c r="F154" s="178"/>
      <c r="G154" s="205" t="s">
        <v>400</v>
      </c>
      <c r="H154" s="210">
        <v>3502039</v>
      </c>
      <c r="I154" s="205" t="s">
        <v>401</v>
      </c>
      <c r="J154" s="211" t="s">
        <v>406</v>
      </c>
      <c r="K154" s="228" t="s">
        <v>407</v>
      </c>
      <c r="L154" s="178" t="s">
        <v>57</v>
      </c>
      <c r="M154" s="470">
        <v>1</v>
      </c>
      <c r="N154" s="1523"/>
      <c r="O154" s="1520"/>
      <c r="P154" s="1531"/>
      <c r="Q154" s="212"/>
      <c r="R154" s="212"/>
      <c r="S154" s="212"/>
      <c r="T154" s="212"/>
      <c r="U154" s="212"/>
      <c r="V154" s="212"/>
      <c r="W154" s="212"/>
      <c r="X154" s="212"/>
      <c r="Y154" s="212"/>
      <c r="Z154" s="212"/>
      <c r="AA154" s="197">
        <v>100000000</v>
      </c>
      <c r="AB154" s="212"/>
      <c r="AC154" s="212"/>
      <c r="AD154" s="213">
        <f t="shared" si="65"/>
        <v>100000000</v>
      </c>
      <c r="AE154" s="120" t="s">
        <v>388</v>
      </c>
      <c r="AF154" s="546" t="s">
        <v>389</v>
      </c>
    </row>
    <row r="155" spans="1:89" s="22" customFormat="1" ht="55.5" customHeight="1" x14ac:dyDescent="0.25">
      <c r="A155" s="214"/>
      <c r="B155" s="111"/>
      <c r="C155" s="111"/>
      <c r="D155" s="111"/>
      <c r="E155" s="111"/>
      <c r="F155" s="457"/>
      <c r="G155" s="140" t="s">
        <v>400</v>
      </c>
      <c r="H155" s="160">
        <v>3502046</v>
      </c>
      <c r="I155" s="193" t="s">
        <v>408</v>
      </c>
      <c r="J155" s="461" t="s">
        <v>409</v>
      </c>
      <c r="K155" s="192" t="s">
        <v>410</v>
      </c>
      <c r="L155" s="457" t="s">
        <v>57</v>
      </c>
      <c r="M155" s="470">
        <v>1</v>
      </c>
      <c r="N155" s="1172" t="s">
        <v>411</v>
      </c>
      <c r="O155" s="1497" t="s">
        <v>412</v>
      </c>
      <c r="P155" s="1173" t="s">
        <v>413</v>
      </c>
      <c r="Q155" s="118"/>
      <c r="R155" s="118"/>
      <c r="S155" s="118"/>
      <c r="T155" s="118"/>
      <c r="U155" s="118"/>
      <c r="V155" s="118"/>
      <c r="W155" s="118"/>
      <c r="X155" s="118"/>
      <c r="Y155" s="118"/>
      <c r="Z155" s="118"/>
      <c r="AA155" s="132"/>
      <c r="AB155" s="215">
        <f>664872304</f>
        <v>664872304</v>
      </c>
      <c r="AC155" s="186"/>
      <c r="AD155" s="120">
        <f t="shared" si="65"/>
        <v>664872304</v>
      </c>
      <c r="AE155" s="120" t="s">
        <v>388</v>
      </c>
      <c r="AF155" s="546" t="s">
        <v>389</v>
      </c>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c r="BK155" s="21"/>
      <c r="BL155" s="21"/>
      <c r="BM155" s="21"/>
      <c r="BN155" s="21"/>
      <c r="BO155" s="21"/>
      <c r="BP155" s="21"/>
      <c r="BQ155" s="21"/>
      <c r="BR155" s="21"/>
      <c r="BS155" s="21"/>
      <c r="BT155" s="21"/>
      <c r="BU155" s="21"/>
      <c r="BV155" s="21"/>
      <c r="BW155" s="21"/>
      <c r="BX155" s="21"/>
      <c r="BY155" s="21"/>
      <c r="BZ155" s="21"/>
      <c r="CA155" s="21"/>
      <c r="CB155" s="21"/>
      <c r="CC155" s="21"/>
      <c r="CD155" s="21"/>
      <c r="CE155" s="21"/>
      <c r="CF155" s="21"/>
      <c r="CG155" s="21"/>
      <c r="CH155" s="21"/>
      <c r="CI155" s="21"/>
      <c r="CJ155" s="21"/>
      <c r="CK155" s="21"/>
    </row>
    <row r="156" spans="1:89" s="9" customFormat="1" ht="27.75" customHeight="1" x14ac:dyDescent="0.25">
      <c r="A156" s="95"/>
      <c r="B156" s="576"/>
      <c r="C156" s="595">
        <v>36</v>
      </c>
      <c r="D156" s="577" t="s">
        <v>1310</v>
      </c>
      <c r="E156" s="592"/>
      <c r="F156" s="579"/>
      <c r="G156" s="580"/>
      <c r="H156" s="581"/>
      <c r="I156" s="582"/>
      <c r="J156" s="583"/>
      <c r="K156" s="584"/>
      <c r="L156" s="585"/>
      <c r="M156" s="583"/>
      <c r="N156" s="587"/>
      <c r="O156" s="588"/>
      <c r="P156" s="588"/>
      <c r="Q156" s="589">
        <f>Q157</f>
        <v>0</v>
      </c>
      <c r="R156" s="589">
        <f t="shared" ref="R156:AD156" si="66">R157</f>
        <v>0</v>
      </c>
      <c r="S156" s="589">
        <f t="shared" si="66"/>
        <v>0</v>
      </c>
      <c r="T156" s="589">
        <f t="shared" si="66"/>
        <v>0</v>
      </c>
      <c r="U156" s="589">
        <f t="shared" si="66"/>
        <v>0</v>
      </c>
      <c r="V156" s="589">
        <f t="shared" si="66"/>
        <v>0</v>
      </c>
      <c r="W156" s="589">
        <f t="shared" si="66"/>
        <v>0</v>
      </c>
      <c r="X156" s="589">
        <f t="shared" si="66"/>
        <v>0</v>
      </c>
      <c r="Y156" s="589">
        <f t="shared" si="66"/>
        <v>0</v>
      </c>
      <c r="Z156" s="589">
        <f t="shared" si="66"/>
        <v>0</v>
      </c>
      <c r="AA156" s="589">
        <f t="shared" si="66"/>
        <v>237500000</v>
      </c>
      <c r="AB156" s="589">
        <f t="shared" si="66"/>
        <v>0</v>
      </c>
      <c r="AC156" s="589">
        <f t="shared" si="66"/>
        <v>0</v>
      </c>
      <c r="AD156" s="589">
        <f t="shared" si="66"/>
        <v>237500000</v>
      </c>
      <c r="AE156" s="589"/>
      <c r="AF156" s="590"/>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row>
    <row r="157" spans="1:89" ht="22.5" customHeight="1" x14ac:dyDescent="0.2">
      <c r="A157" s="103"/>
      <c r="B157" s="111"/>
      <c r="C157" s="111"/>
      <c r="D157" s="111"/>
      <c r="E157" s="105">
        <v>3602</v>
      </c>
      <c r="F157" s="471" t="s">
        <v>414</v>
      </c>
      <c r="G157" s="473"/>
      <c r="H157" s="107"/>
      <c r="I157" s="487"/>
      <c r="J157" s="74"/>
      <c r="K157" s="70"/>
      <c r="L157" s="108"/>
      <c r="M157" s="74"/>
      <c r="N157" s="109"/>
      <c r="O157" s="487"/>
      <c r="P157" s="487"/>
      <c r="Q157" s="110">
        <f>SUM(Q158:Q161)</f>
        <v>0</v>
      </c>
      <c r="R157" s="110">
        <f t="shared" ref="R157:AD157" si="67">SUM(R158:R161)</f>
        <v>0</v>
      </c>
      <c r="S157" s="110">
        <f t="shared" si="67"/>
        <v>0</v>
      </c>
      <c r="T157" s="110">
        <f t="shared" si="67"/>
        <v>0</v>
      </c>
      <c r="U157" s="110">
        <f t="shared" si="67"/>
        <v>0</v>
      </c>
      <c r="V157" s="110">
        <f t="shared" si="67"/>
        <v>0</v>
      </c>
      <c r="W157" s="110">
        <f t="shared" si="67"/>
        <v>0</v>
      </c>
      <c r="X157" s="110">
        <f t="shared" si="67"/>
        <v>0</v>
      </c>
      <c r="Y157" s="110">
        <f t="shared" si="67"/>
        <v>0</v>
      </c>
      <c r="Z157" s="110">
        <f t="shared" si="67"/>
        <v>0</v>
      </c>
      <c r="AA157" s="110">
        <f t="shared" si="67"/>
        <v>237500000</v>
      </c>
      <c r="AB157" s="110">
        <f t="shared" si="67"/>
        <v>0</v>
      </c>
      <c r="AC157" s="110">
        <f t="shared" si="67"/>
        <v>0</v>
      </c>
      <c r="AD157" s="110">
        <f t="shared" si="67"/>
        <v>237500000</v>
      </c>
      <c r="AE157" s="110"/>
      <c r="AF157" s="544"/>
    </row>
    <row r="158" spans="1:89" ht="51" customHeight="1" x14ac:dyDescent="0.2">
      <c r="A158" s="103"/>
      <c r="B158" s="111"/>
      <c r="C158" s="111"/>
      <c r="D158" s="111"/>
      <c r="E158" s="111"/>
      <c r="F158" s="457"/>
      <c r="G158" s="205" t="s">
        <v>381</v>
      </c>
      <c r="H158" s="461">
        <v>3602018</v>
      </c>
      <c r="I158" s="193" t="s">
        <v>415</v>
      </c>
      <c r="J158" s="72" t="s">
        <v>416</v>
      </c>
      <c r="K158" s="220" t="s">
        <v>417</v>
      </c>
      <c r="L158" s="566" t="s">
        <v>57</v>
      </c>
      <c r="M158" s="566">
        <v>3</v>
      </c>
      <c r="N158" s="1523" t="s">
        <v>418</v>
      </c>
      <c r="O158" s="1530" t="s">
        <v>419</v>
      </c>
      <c r="P158" s="1530" t="s">
        <v>420</v>
      </c>
      <c r="Q158" s="206"/>
      <c r="R158" s="206"/>
      <c r="S158" s="206"/>
      <c r="T158" s="206"/>
      <c r="U158" s="206"/>
      <c r="V158" s="206"/>
      <c r="W158" s="206"/>
      <c r="X158" s="206"/>
      <c r="Y158" s="206"/>
      <c r="Z158" s="206"/>
      <c r="AA158" s="207">
        <v>120000000</v>
      </c>
      <c r="AB158" s="206"/>
      <c r="AC158" s="118"/>
      <c r="AD158" s="120">
        <f>+Q158+R158+S158+T158+U158+V158+W158+X158+Y158+Z158+AA158+AB158+AC158</f>
        <v>120000000</v>
      </c>
      <c r="AE158" s="120" t="s">
        <v>388</v>
      </c>
      <c r="AF158" s="546" t="s">
        <v>389</v>
      </c>
    </row>
    <row r="159" spans="1:89" ht="54" customHeight="1" x14ac:dyDescent="0.2">
      <c r="A159" s="103"/>
      <c r="B159" s="111"/>
      <c r="C159" s="111"/>
      <c r="D159" s="111"/>
      <c r="E159" s="111"/>
      <c r="F159" s="457"/>
      <c r="G159" s="205" t="s">
        <v>381</v>
      </c>
      <c r="H159" s="142">
        <v>3602032</v>
      </c>
      <c r="I159" s="193" t="s">
        <v>421</v>
      </c>
      <c r="J159" s="72" t="s">
        <v>422</v>
      </c>
      <c r="K159" s="220" t="s">
        <v>423</v>
      </c>
      <c r="L159" s="566" t="s">
        <v>45</v>
      </c>
      <c r="M159" s="566">
        <v>14</v>
      </c>
      <c r="N159" s="1523"/>
      <c r="O159" s="1530"/>
      <c r="P159" s="1530"/>
      <c r="Q159" s="206"/>
      <c r="R159" s="206"/>
      <c r="S159" s="206"/>
      <c r="T159" s="206"/>
      <c r="U159" s="206"/>
      <c r="V159" s="206"/>
      <c r="W159" s="206"/>
      <c r="X159" s="206"/>
      <c r="Y159" s="206"/>
      <c r="Z159" s="206"/>
      <c r="AA159" s="207">
        <v>60000000</v>
      </c>
      <c r="AB159" s="206"/>
      <c r="AC159" s="118"/>
      <c r="AD159" s="120">
        <f>+Q159+R159+S159+T159+U159+V159+W159+X159+Y159+Z159+AA159+AB159+AC159</f>
        <v>60000000</v>
      </c>
      <c r="AE159" s="120" t="s">
        <v>388</v>
      </c>
      <c r="AF159" s="546" t="s">
        <v>389</v>
      </c>
    </row>
    <row r="160" spans="1:89" ht="51" customHeight="1" x14ac:dyDescent="0.2">
      <c r="A160" s="103"/>
      <c r="B160" s="111"/>
      <c r="C160" s="111"/>
      <c r="D160" s="111"/>
      <c r="E160" s="111"/>
      <c r="F160" s="457"/>
      <c r="G160" s="205" t="s">
        <v>381</v>
      </c>
      <c r="H160" s="142">
        <v>3602029</v>
      </c>
      <c r="I160" s="193" t="s">
        <v>424</v>
      </c>
      <c r="J160" s="72" t="s">
        <v>425</v>
      </c>
      <c r="K160" s="220" t="s">
        <v>426</v>
      </c>
      <c r="L160" s="566" t="s">
        <v>57</v>
      </c>
      <c r="M160" s="566">
        <v>12</v>
      </c>
      <c r="N160" s="1523"/>
      <c r="O160" s="1530"/>
      <c r="P160" s="1530"/>
      <c r="Q160" s="206"/>
      <c r="R160" s="206"/>
      <c r="S160" s="206"/>
      <c r="T160" s="206"/>
      <c r="U160" s="206"/>
      <c r="V160" s="206"/>
      <c r="W160" s="206"/>
      <c r="X160" s="206"/>
      <c r="Y160" s="206"/>
      <c r="Z160" s="206"/>
      <c r="AA160" s="207">
        <v>22500000</v>
      </c>
      <c r="AB160" s="206"/>
      <c r="AC160" s="118"/>
      <c r="AD160" s="120">
        <f>+Q160+R160+S160+T160+U160+V160+W160+X160+Y160+Z160+AA160+AB160+AC160</f>
        <v>22500000</v>
      </c>
      <c r="AE160" s="120" t="s">
        <v>388</v>
      </c>
      <c r="AF160" s="546" t="s">
        <v>389</v>
      </c>
    </row>
    <row r="161" spans="1:89" ht="44.25" customHeight="1" x14ac:dyDescent="0.2">
      <c r="A161" s="103"/>
      <c r="B161" s="111"/>
      <c r="C161" s="111"/>
      <c r="D161" s="111"/>
      <c r="E161" s="111"/>
      <c r="F161" s="457"/>
      <c r="G161" s="205" t="s">
        <v>381</v>
      </c>
      <c r="H161" s="142">
        <v>3602030</v>
      </c>
      <c r="I161" s="193" t="s">
        <v>427</v>
      </c>
      <c r="J161" s="72" t="s">
        <v>428</v>
      </c>
      <c r="K161" s="220" t="s">
        <v>429</v>
      </c>
      <c r="L161" s="567" t="s">
        <v>57</v>
      </c>
      <c r="M161" s="566">
        <v>3</v>
      </c>
      <c r="N161" s="1523"/>
      <c r="O161" s="1530"/>
      <c r="P161" s="1530"/>
      <c r="Q161" s="206"/>
      <c r="R161" s="206"/>
      <c r="S161" s="206"/>
      <c r="T161" s="206"/>
      <c r="U161" s="206"/>
      <c r="V161" s="206"/>
      <c r="W161" s="206"/>
      <c r="X161" s="206"/>
      <c r="Y161" s="206"/>
      <c r="Z161" s="206"/>
      <c r="AA161" s="207">
        <v>35000000</v>
      </c>
      <c r="AB161" s="206"/>
      <c r="AC161" s="118"/>
      <c r="AD161" s="120">
        <f>+Q161+R161+S161+T161+U161+V161+W161+X161+Y161+Z161+AA161+AB161+AC161</f>
        <v>35000000</v>
      </c>
      <c r="AE161" s="120" t="s">
        <v>388</v>
      </c>
      <c r="AF161" s="546" t="s">
        <v>389</v>
      </c>
    </row>
    <row r="162" spans="1:89" s="442" customFormat="1" ht="21" customHeight="1" x14ac:dyDescent="0.2">
      <c r="A162" s="597"/>
      <c r="B162" s="598"/>
      <c r="C162" s="598"/>
      <c r="D162" s="598"/>
      <c r="E162" s="599"/>
      <c r="F162" s="600"/>
      <c r="G162" s="601"/>
      <c r="H162" s="599"/>
      <c r="I162" s="601"/>
      <c r="J162" s="602"/>
      <c r="K162" s="603"/>
      <c r="L162" s="600"/>
      <c r="M162" s="602"/>
      <c r="N162" s="600"/>
      <c r="O162" s="603"/>
      <c r="P162" s="603"/>
      <c r="Q162" s="597"/>
      <c r="R162" s="597"/>
      <c r="S162" s="597"/>
      <c r="T162" s="597"/>
      <c r="U162" s="597"/>
      <c r="V162" s="597"/>
      <c r="W162" s="648"/>
      <c r="X162" s="648"/>
      <c r="Y162" s="597"/>
      <c r="Z162" s="597"/>
      <c r="AA162" s="649"/>
      <c r="AB162" s="597"/>
      <c r="AC162" s="597"/>
      <c r="AD162" s="648"/>
      <c r="AE162" s="648"/>
      <c r="AF162" s="650"/>
      <c r="AG162" s="437"/>
      <c r="AH162" s="437"/>
      <c r="AI162" s="437"/>
      <c r="AJ162" s="437"/>
      <c r="AK162" s="437"/>
      <c r="AL162" s="437"/>
      <c r="AM162" s="437"/>
      <c r="AN162" s="437"/>
      <c r="AO162" s="437"/>
      <c r="AP162" s="437"/>
      <c r="AQ162" s="437"/>
      <c r="AR162" s="437"/>
      <c r="AS162" s="437"/>
      <c r="AT162" s="437"/>
      <c r="AU162" s="437"/>
      <c r="AV162" s="437"/>
      <c r="AW162" s="437"/>
      <c r="AX162" s="437"/>
      <c r="AY162" s="437"/>
      <c r="AZ162" s="437"/>
      <c r="BA162" s="437"/>
      <c r="BB162" s="437"/>
      <c r="BC162" s="437"/>
      <c r="BD162" s="437"/>
      <c r="BE162" s="437"/>
      <c r="BF162" s="437"/>
      <c r="BG162" s="437"/>
      <c r="BH162" s="437"/>
      <c r="BI162" s="437"/>
      <c r="BJ162" s="437"/>
      <c r="BK162" s="437"/>
      <c r="BL162" s="437"/>
      <c r="BM162" s="437"/>
      <c r="BN162" s="437"/>
      <c r="BO162" s="437"/>
      <c r="BP162" s="437"/>
      <c r="BQ162" s="437"/>
      <c r="BR162" s="437"/>
      <c r="BS162" s="437"/>
      <c r="BT162" s="437"/>
      <c r="BU162" s="437"/>
      <c r="BV162" s="437"/>
      <c r="BW162" s="437"/>
      <c r="BX162" s="437"/>
      <c r="BY162" s="437"/>
      <c r="BZ162" s="437"/>
      <c r="CA162" s="437"/>
      <c r="CB162" s="437"/>
      <c r="CC162" s="437"/>
      <c r="CD162" s="437"/>
      <c r="CE162" s="437"/>
      <c r="CF162" s="437"/>
      <c r="CG162" s="437"/>
      <c r="CH162" s="437"/>
      <c r="CI162" s="437"/>
      <c r="CJ162" s="437"/>
      <c r="CK162" s="437"/>
    </row>
    <row r="163" spans="1:89" ht="29.25" customHeight="1" x14ac:dyDescent="0.2">
      <c r="A163" s="86" t="s">
        <v>430</v>
      </c>
      <c r="B163" s="86"/>
      <c r="C163" s="86"/>
      <c r="D163" s="86"/>
      <c r="E163" s="87"/>
      <c r="F163" s="88"/>
      <c r="G163" s="89"/>
      <c r="H163" s="90"/>
      <c r="I163" s="89"/>
      <c r="J163" s="92"/>
      <c r="K163" s="91"/>
      <c r="L163" s="93"/>
      <c r="M163" s="92"/>
      <c r="N163" s="88"/>
      <c r="O163" s="91"/>
      <c r="P163" s="91"/>
      <c r="Q163" s="144">
        <f t="shared" ref="Q163:AF163" si="68">Q164+Q198</f>
        <v>0</v>
      </c>
      <c r="R163" s="144">
        <f t="shared" si="68"/>
        <v>0</v>
      </c>
      <c r="S163" s="144">
        <f t="shared" si="68"/>
        <v>0</v>
      </c>
      <c r="T163" s="144">
        <f t="shared" si="68"/>
        <v>0</v>
      </c>
      <c r="U163" s="144">
        <f t="shared" si="68"/>
        <v>0</v>
      </c>
      <c r="V163" s="144">
        <f t="shared" si="68"/>
        <v>0</v>
      </c>
      <c r="W163" s="144">
        <f t="shared" si="68"/>
        <v>0</v>
      </c>
      <c r="X163" s="144">
        <f t="shared" si="68"/>
        <v>0</v>
      </c>
      <c r="Y163" s="144">
        <f t="shared" si="68"/>
        <v>0</v>
      </c>
      <c r="Z163" s="144">
        <f t="shared" si="68"/>
        <v>0</v>
      </c>
      <c r="AA163" s="144">
        <f t="shared" si="68"/>
        <v>2573248186</v>
      </c>
      <c r="AB163" s="144">
        <f t="shared" si="68"/>
        <v>0</v>
      </c>
      <c r="AC163" s="144">
        <f t="shared" si="68"/>
        <v>0</v>
      </c>
      <c r="AD163" s="144">
        <f t="shared" si="68"/>
        <v>2573248186</v>
      </c>
      <c r="AE163" s="144">
        <f t="shared" si="68"/>
        <v>0</v>
      </c>
      <c r="AF163" s="144">
        <f t="shared" si="68"/>
        <v>0</v>
      </c>
      <c r="AG163" s="4">
        <v>2573248186</v>
      </c>
    </row>
    <row r="164" spans="1:89" ht="26.25" customHeight="1" x14ac:dyDescent="0.2">
      <c r="A164" s="103"/>
      <c r="B164" s="99">
        <v>2</v>
      </c>
      <c r="C164" s="594" t="s">
        <v>379</v>
      </c>
      <c r="D164" s="96"/>
      <c r="E164" s="591"/>
      <c r="F164" s="365"/>
      <c r="G164" s="365"/>
      <c r="H164" s="97"/>
      <c r="I164" s="489"/>
      <c r="J164" s="99"/>
      <c r="K164" s="98"/>
      <c r="L164" s="100"/>
      <c r="M164" s="99"/>
      <c r="N164" s="101"/>
      <c r="O164" s="98"/>
      <c r="P164" s="98"/>
      <c r="Q164" s="102">
        <f>Q165+Q194</f>
        <v>0</v>
      </c>
      <c r="R164" s="102">
        <f t="shared" ref="R164:AC164" si="69">R165+R194</f>
        <v>0</v>
      </c>
      <c r="S164" s="102">
        <f t="shared" si="69"/>
        <v>0</v>
      </c>
      <c r="T164" s="102">
        <f t="shared" si="69"/>
        <v>0</v>
      </c>
      <c r="U164" s="102">
        <f t="shared" si="69"/>
        <v>0</v>
      </c>
      <c r="V164" s="102">
        <f t="shared" si="69"/>
        <v>0</v>
      </c>
      <c r="W164" s="102">
        <f t="shared" si="69"/>
        <v>0</v>
      </c>
      <c r="X164" s="102">
        <f t="shared" si="69"/>
        <v>0</v>
      </c>
      <c r="Y164" s="102">
        <f t="shared" si="69"/>
        <v>0</v>
      </c>
      <c r="Z164" s="102">
        <f t="shared" si="69"/>
        <v>0</v>
      </c>
      <c r="AA164" s="102">
        <f t="shared" si="69"/>
        <v>1226000000</v>
      </c>
      <c r="AB164" s="102">
        <f t="shared" si="69"/>
        <v>0</v>
      </c>
      <c r="AC164" s="102">
        <f t="shared" si="69"/>
        <v>0</v>
      </c>
      <c r="AD164" s="102">
        <f>AD165+AD194</f>
        <v>1226000000</v>
      </c>
      <c r="AE164" s="102"/>
      <c r="AF164" s="102">
        <f>+AF166+AF178+AF180+AF183+AF185+AF187+AF190+AF195</f>
        <v>0</v>
      </c>
      <c r="AG164" s="23"/>
    </row>
    <row r="165" spans="1:89" s="9" customFormat="1" ht="27.75" customHeight="1" x14ac:dyDescent="0.25">
      <c r="A165" s="95"/>
      <c r="B165" s="576"/>
      <c r="C165" s="593">
        <v>17</v>
      </c>
      <c r="D165" s="578" t="s">
        <v>1311</v>
      </c>
      <c r="E165" s="592"/>
      <c r="F165" s="579"/>
      <c r="G165" s="580"/>
      <c r="H165" s="581"/>
      <c r="I165" s="582"/>
      <c r="J165" s="583"/>
      <c r="K165" s="584"/>
      <c r="L165" s="585"/>
      <c r="M165" s="583"/>
      <c r="N165" s="587"/>
      <c r="O165" s="588"/>
      <c r="P165" s="588"/>
      <c r="Q165" s="589">
        <f>Q166+Q178+Q180+Q183+Q185+Q187+Q190</f>
        <v>0</v>
      </c>
      <c r="R165" s="589">
        <f t="shared" ref="R165:AD165" si="70">R166+R178+R180+R183+R185+R187+R190</f>
        <v>0</v>
      </c>
      <c r="S165" s="589">
        <f t="shared" si="70"/>
        <v>0</v>
      </c>
      <c r="T165" s="589">
        <f t="shared" si="70"/>
        <v>0</v>
      </c>
      <c r="U165" s="589">
        <f t="shared" si="70"/>
        <v>0</v>
      </c>
      <c r="V165" s="589">
        <f t="shared" si="70"/>
        <v>0</v>
      </c>
      <c r="W165" s="589">
        <f t="shared" si="70"/>
        <v>0</v>
      </c>
      <c r="X165" s="589">
        <f t="shared" si="70"/>
        <v>0</v>
      </c>
      <c r="Y165" s="589">
        <f t="shared" si="70"/>
        <v>0</v>
      </c>
      <c r="Z165" s="589">
        <f t="shared" si="70"/>
        <v>0</v>
      </c>
      <c r="AA165" s="589">
        <f t="shared" si="70"/>
        <v>1190000000</v>
      </c>
      <c r="AB165" s="589">
        <f t="shared" si="70"/>
        <v>0</v>
      </c>
      <c r="AC165" s="589">
        <f t="shared" si="70"/>
        <v>0</v>
      </c>
      <c r="AD165" s="589">
        <f t="shared" si="70"/>
        <v>1190000000</v>
      </c>
      <c r="AE165" s="589"/>
      <c r="AF165" s="589">
        <f>AF166+AF178+AF180+AF183+AF185+AF187+AF190</f>
        <v>0</v>
      </c>
      <c r="AG165" s="8">
        <f>AG163-AD163</f>
        <v>0</v>
      </c>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row>
    <row r="166" spans="1:89" ht="26.25" customHeight="1" x14ac:dyDescent="0.2">
      <c r="A166" s="103"/>
      <c r="B166" s="104"/>
      <c r="C166" s="104"/>
      <c r="D166" s="104"/>
      <c r="E166" s="74">
        <v>1702</v>
      </c>
      <c r="F166" s="471" t="s">
        <v>431</v>
      </c>
      <c r="G166" s="473"/>
      <c r="H166" s="107"/>
      <c r="I166" s="487"/>
      <c r="J166" s="74"/>
      <c r="K166" s="70"/>
      <c r="L166" s="108"/>
      <c r="M166" s="74"/>
      <c r="N166" s="109"/>
      <c r="O166" s="70"/>
      <c r="P166" s="70"/>
      <c r="Q166" s="110">
        <f>SUM(Q167:Q177)</f>
        <v>0</v>
      </c>
      <c r="R166" s="110">
        <f t="shared" ref="R166:AD166" si="71">SUM(R167:R177)</f>
        <v>0</v>
      </c>
      <c r="S166" s="110">
        <f t="shared" si="71"/>
        <v>0</v>
      </c>
      <c r="T166" s="110">
        <f t="shared" si="71"/>
        <v>0</v>
      </c>
      <c r="U166" s="110">
        <f t="shared" si="71"/>
        <v>0</v>
      </c>
      <c r="V166" s="110">
        <f t="shared" si="71"/>
        <v>0</v>
      </c>
      <c r="W166" s="110">
        <f t="shared" si="71"/>
        <v>0</v>
      </c>
      <c r="X166" s="110">
        <f t="shared" si="71"/>
        <v>0</v>
      </c>
      <c r="Y166" s="110">
        <f t="shared" si="71"/>
        <v>0</v>
      </c>
      <c r="Z166" s="110">
        <f t="shared" si="71"/>
        <v>0</v>
      </c>
      <c r="AA166" s="110">
        <f t="shared" si="71"/>
        <v>834000000</v>
      </c>
      <c r="AB166" s="110">
        <f t="shared" si="71"/>
        <v>0</v>
      </c>
      <c r="AC166" s="110">
        <f t="shared" si="71"/>
        <v>0</v>
      </c>
      <c r="AD166" s="110">
        <f t="shared" si="71"/>
        <v>834000000</v>
      </c>
      <c r="AE166" s="110">
        <f>SUM(AE167:AE177)</f>
        <v>0</v>
      </c>
      <c r="AF166" s="110">
        <f>SUM(AF167:AF177)</f>
        <v>0</v>
      </c>
      <c r="AG166" s="23"/>
    </row>
    <row r="167" spans="1:89" ht="88.5" customHeight="1" x14ac:dyDescent="0.2">
      <c r="A167" s="103"/>
      <c r="B167" s="104"/>
      <c r="C167" s="104"/>
      <c r="D167" s="104"/>
      <c r="E167" s="111"/>
      <c r="F167" s="457"/>
      <c r="G167" s="193" t="s">
        <v>432</v>
      </c>
      <c r="H167" s="160">
        <v>1702011</v>
      </c>
      <c r="I167" s="193" t="s">
        <v>433</v>
      </c>
      <c r="J167" s="461" t="s">
        <v>434</v>
      </c>
      <c r="K167" s="192" t="s">
        <v>435</v>
      </c>
      <c r="L167" s="457" t="s">
        <v>45</v>
      </c>
      <c r="M167" s="470">
        <v>30</v>
      </c>
      <c r="N167" s="1523" t="s">
        <v>436</v>
      </c>
      <c r="O167" s="1503" t="s">
        <v>437</v>
      </c>
      <c r="P167" s="1503" t="s">
        <v>438</v>
      </c>
      <c r="Q167" s="118"/>
      <c r="R167" s="118"/>
      <c r="S167" s="118"/>
      <c r="T167" s="118"/>
      <c r="U167" s="118"/>
      <c r="V167" s="118"/>
      <c r="W167" s="118"/>
      <c r="X167" s="118"/>
      <c r="Y167" s="118"/>
      <c r="Z167" s="118"/>
      <c r="AA167" s="217">
        <v>226000000</v>
      </c>
      <c r="AB167" s="218"/>
      <c r="AC167" s="218"/>
      <c r="AD167" s="218">
        <f t="shared" ref="AD167:AD177" si="72">SUM(Q167:AC167)</f>
        <v>226000000</v>
      </c>
      <c r="AE167" s="527" t="s">
        <v>439</v>
      </c>
      <c r="AF167" s="218" t="s">
        <v>440</v>
      </c>
      <c r="AG167" s="25"/>
    </row>
    <row r="168" spans="1:89" ht="64.5" customHeight="1" x14ac:dyDescent="0.2">
      <c r="A168" s="103"/>
      <c r="B168" s="104"/>
      <c r="C168" s="104"/>
      <c r="D168" s="104"/>
      <c r="E168" s="111"/>
      <c r="F168" s="172"/>
      <c r="G168" s="193" t="s">
        <v>432</v>
      </c>
      <c r="H168" s="160">
        <v>1702007</v>
      </c>
      <c r="I168" s="193" t="s">
        <v>441</v>
      </c>
      <c r="J168" s="72" t="s">
        <v>442</v>
      </c>
      <c r="K168" s="220" t="s">
        <v>443</v>
      </c>
      <c r="L168" s="204" t="s">
        <v>57</v>
      </c>
      <c r="M168" s="470">
        <v>4</v>
      </c>
      <c r="N168" s="1523"/>
      <c r="O168" s="1503"/>
      <c r="P168" s="1503"/>
      <c r="Q168" s="156"/>
      <c r="R168" s="156"/>
      <c r="S168" s="156"/>
      <c r="T168" s="156"/>
      <c r="U168" s="156"/>
      <c r="V168" s="156"/>
      <c r="W168" s="156"/>
      <c r="X168" s="156"/>
      <c r="Y168" s="156"/>
      <c r="Z168" s="156"/>
      <c r="AA168" s="217">
        <v>123000000</v>
      </c>
      <c r="AB168" s="218"/>
      <c r="AC168" s="218"/>
      <c r="AD168" s="218">
        <f t="shared" si="72"/>
        <v>123000000</v>
      </c>
      <c r="AE168" s="527" t="s">
        <v>439</v>
      </c>
      <c r="AF168" s="218" t="s">
        <v>440</v>
      </c>
      <c r="AG168" s="27"/>
    </row>
    <row r="169" spans="1:89" ht="78" customHeight="1" x14ac:dyDescent="0.2">
      <c r="A169" s="103"/>
      <c r="B169" s="104"/>
      <c r="C169" s="104"/>
      <c r="D169" s="104"/>
      <c r="E169" s="111"/>
      <c r="F169" s="457"/>
      <c r="G169" s="193" t="s">
        <v>432</v>
      </c>
      <c r="H169" s="160">
        <v>1702009</v>
      </c>
      <c r="I169" s="193" t="s">
        <v>444</v>
      </c>
      <c r="J169" s="72" t="s">
        <v>445</v>
      </c>
      <c r="K169" s="220" t="s">
        <v>446</v>
      </c>
      <c r="L169" s="462" t="s">
        <v>57</v>
      </c>
      <c r="M169" s="560">
        <v>100</v>
      </c>
      <c r="N169" s="1523"/>
      <c r="O169" s="1503"/>
      <c r="P169" s="1503"/>
      <c r="Q169" s="156"/>
      <c r="R169" s="156"/>
      <c r="S169" s="156"/>
      <c r="T169" s="156"/>
      <c r="U169" s="156"/>
      <c r="V169" s="156"/>
      <c r="W169" s="156"/>
      <c r="X169" s="156"/>
      <c r="Y169" s="156"/>
      <c r="Z169" s="156"/>
      <c r="AA169" s="217">
        <v>90000000</v>
      </c>
      <c r="AB169" s="218"/>
      <c r="AC169" s="218"/>
      <c r="AD169" s="218">
        <f t="shared" si="72"/>
        <v>90000000</v>
      </c>
      <c r="AE169" s="527" t="s">
        <v>439</v>
      </c>
      <c r="AF169" s="218" t="s">
        <v>440</v>
      </c>
      <c r="AG169" s="27"/>
    </row>
    <row r="170" spans="1:89" ht="102" customHeight="1" x14ac:dyDescent="0.2">
      <c r="A170" s="103"/>
      <c r="B170" s="104"/>
      <c r="C170" s="104"/>
      <c r="D170" s="104"/>
      <c r="E170" s="111"/>
      <c r="F170" s="457"/>
      <c r="G170" s="193" t="s">
        <v>432</v>
      </c>
      <c r="H170" s="219">
        <v>1702017</v>
      </c>
      <c r="I170" s="193" t="s">
        <v>447</v>
      </c>
      <c r="J170" s="72" t="s">
        <v>448</v>
      </c>
      <c r="K170" s="220" t="s">
        <v>449</v>
      </c>
      <c r="L170" s="391" t="s">
        <v>57</v>
      </c>
      <c r="M170" s="561">
        <v>750</v>
      </c>
      <c r="N170" s="1524" t="s">
        <v>450</v>
      </c>
      <c r="O170" s="1534" t="s">
        <v>451</v>
      </c>
      <c r="P170" s="1534" t="s">
        <v>452</v>
      </c>
      <c r="Q170" s="156"/>
      <c r="R170" s="156"/>
      <c r="S170" s="156"/>
      <c r="T170" s="156"/>
      <c r="U170" s="156"/>
      <c r="V170" s="156"/>
      <c r="W170" s="156"/>
      <c r="X170" s="156"/>
      <c r="Y170" s="156"/>
      <c r="Z170" s="156"/>
      <c r="AA170" s="221">
        <v>130000000</v>
      </c>
      <c r="AB170" s="218"/>
      <c r="AC170" s="218"/>
      <c r="AD170" s="218">
        <f t="shared" si="72"/>
        <v>130000000</v>
      </c>
      <c r="AE170" s="527" t="s">
        <v>439</v>
      </c>
      <c r="AF170" s="218" t="s">
        <v>440</v>
      </c>
      <c r="AG170" s="27"/>
    </row>
    <row r="171" spans="1:89" ht="96" customHeight="1" x14ac:dyDescent="0.2">
      <c r="A171" s="103"/>
      <c r="B171" s="104"/>
      <c r="C171" s="104"/>
      <c r="D171" s="104"/>
      <c r="E171" s="111"/>
      <c r="F171" s="457"/>
      <c r="G171" s="193" t="s">
        <v>432</v>
      </c>
      <c r="H171" s="160">
        <v>1702014</v>
      </c>
      <c r="I171" s="193" t="s">
        <v>453</v>
      </c>
      <c r="J171" s="72" t="s">
        <v>454</v>
      </c>
      <c r="K171" s="220" t="s">
        <v>455</v>
      </c>
      <c r="L171" s="466" t="s">
        <v>57</v>
      </c>
      <c r="M171" s="558">
        <v>25</v>
      </c>
      <c r="N171" s="1524"/>
      <c r="O171" s="1534"/>
      <c r="P171" s="1534"/>
      <c r="Q171" s="156"/>
      <c r="R171" s="156"/>
      <c r="S171" s="156"/>
      <c r="T171" s="156"/>
      <c r="U171" s="156"/>
      <c r="V171" s="156"/>
      <c r="W171" s="156"/>
      <c r="X171" s="156"/>
      <c r="Y171" s="156"/>
      <c r="Z171" s="156"/>
      <c r="AA171" s="217">
        <v>45000000</v>
      </c>
      <c r="AB171" s="218"/>
      <c r="AC171" s="218"/>
      <c r="AD171" s="218">
        <f t="shared" si="72"/>
        <v>45000000</v>
      </c>
      <c r="AE171" s="527" t="s">
        <v>439</v>
      </c>
      <c r="AF171" s="218" t="s">
        <v>440</v>
      </c>
      <c r="AG171" s="27"/>
    </row>
    <row r="172" spans="1:89" ht="85.5" customHeight="1" x14ac:dyDescent="0.2">
      <c r="A172" s="103"/>
      <c r="B172" s="104"/>
      <c r="C172" s="104"/>
      <c r="D172" s="104"/>
      <c r="E172" s="111"/>
      <c r="F172" s="457"/>
      <c r="G172" s="193" t="s">
        <v>432</v>
      </c>
      <c r="H172" s="160">
        <v>1702021</v>
      </c>
      <c r="I172" s="193" t="s">
        <v>456</v>
      </c>
      <c r="J172" s="72" t="s">
        <v>457</v>
      </c>
      <c r="K172" s="220" t="s">
        <v>458</v>
      </c>
      <c r="L172" s="466" t="s">
        <v>57</v>
      </c>
      <c r="M172" s="470">
        <v>150</v>
      </c>
      <c r="N172" s="1524"/>
      <c r="O172" s="1534"/>
      <c r="P172" s="1534"/>
      <c r="Q172" s="156"/>
      <c r="R172" s="156"/>
      <c r="S172" s="156"/>
      <c r="T172" s="156"/>
      <c r="U172" s="156"/>
      <c r="V172" s="156"/>
      <c r="W172" s="156"/>
      <c r="X172" s="156"/>
      <c r="Y172" s="156"/>
      <c r="Z172" s="156"/>
      <c r="AA172" s="217">
        <v>20000000</v>
      </c>
      <c r="AB172" s="218"/>
      <c r="AC172" s="218"/>
      <c r="AD172" s="218">
        <f t="shared" si="72"/>
        <v>20000000</v>
      </c>
      <c r="AE172" s="527" t="s">
        <v>439</v>
      </c>
      <c r="AF172" s="218" t="s">
        <v>440</v>
      </c>
      <c r="AG172" s="27"/>
    </row>
    <row r="173" spans="1:89" ht="65.25" customHeight="1" x14ac:dyDescent="0.2">
      <c r="A173" s="103"/>
      <c r="B173" s="104"/>
      <c r="C173" s="104"/>
      <c r="D173" s="104"/>
      <c r="E173" s="111"/>
      <c r="F173" s="457"/>
      <c r="G173" s="193" t="s">
        <v>432</v>
      </c>
      <c r="H173" s="160">
        <v>1702038</v>
      </c>
      <c r="I173" s="193" t="s">
        <v>459</v>
      </c>
      <c r="J173" s="461" t="s">
        <v>460</v>
      </c>
      <c r="K173" s="192" t="s">
        <v>461</v>
      </c>
      <c r="L173" s="466" t="s">
        <v>45</v>
      </c>
      <c r="M173" s="470">
        <v>30</v>
      </c>
      <c r="N173" s="1523" t="s">
        <v>462</v>
      </c>
      <c r="O173" s="1519" t="s">
        <v>463</v>
      </c>
      <c r="P173" s="1532" t="s">
        <v>464</v>
      </c>
      <c r="Q173" s="156"/>
      <c r="R173" s="156"/>
      <c r="S173" s="156"/>
      <c r="T173" s="156"/>
      <c r="U173" s="156"/>
      <c r="V173" s="156"/>
      <c r="W173" s="156"/>
      <c r="X173" s="156"/>
      <c r="Y173" s="156"/>
      <c r="Z173" s="156"/>
      <c r="AA173" s="217">
        <v>65000000</v>
      </c>
      <c r="AB173" s="218"/>
      <c r="AC173" s="218"/>
      <c r="AD173" s="218">
        <f t="shared" si="72"/>
        <v>65000000</v>
      </c>
      <c r="AE173" s="527" t="s">
        <v>439</v>
      </c>
      <c r="AF173" s="218" t="s">
        <v>440</v>
      </c>
      <c r="AG173" s="27"/>
    </row>
    <row r="174" spans="1:89" ht="129.75" customHeight="1" x14ac:dyDescent="0.2">
      <c r="A174" s="103"/>
      <c r="B174" s="104"/>
      <c r="C174" s="104"/>
      <c r="D174" s="104"/>
      <c r="E174" s="111"/>
      <c r="F174" s="457"/>
      <c r="G174" s="193" t="s">
        <v>432</v>
      </c>
      <c r="H174" s="160">
        <v>1702038</v>
      </c>
      <c r="I174" s="193" t="s">
        <v>459</v>
      </c>
      <c r="J174" s="461" t="s">
        <v>465</v>
      </c>
      <c r="K174" s="192" t="s">
        <v>466</v>
      </c>
      <c r="L174" s="466" t="s">
        <v>57</v>
      </c>
      <c r="M174" s="470">
        <v>80</v>
      </c>
      <c r="N174" s="1523"/>
      <c r="O174" s="1519"/>
      <c r="P174" s="1533"/>
      <c r="Q174" s="156"/>
      <c r="R174" s="156"/>
      <c r="S174" s="156"/>
      <c r="T174" s="156"/>
      <c r="U174" s="156"/>
      <c r="V174" s="156"/>
      <c r="W174" s="156"/>
      <c r="X174" s="156"/>
      <c r="Y174" s="156"/>
      <c r="Z174" s="156"/>
      <c r="AA174" s="217">
        <v>18000000</v>
      </c>
      <c r="AB174" s="218"/>
      <c r="AC174" s="218"/>
      <c r="AD174" s="218">
        <f t="shared" si="72"/>
        <v>18000000</v>
      </c>
      <c r="AE174" s="527" t="s">
        <v>439</v>
      </c>
      <c r="AF174" s="218" t="s">
        <v>440</v>
      </c>
      <c r="AG174" s="27"/>
    </row>
    <row r="175" spans="1:89" ht="74.25" customHeight="1" x14ac:dyDescent="0.2">
      <c r="A175" s="103"/>
      <c r="B175" s="104"/>
      <c r="C175" s="104"/>
      <c r="D175" s="104"/>
      <c r="E175" s="111"/>
      <c r="F175" s="457"/>
      <c r="G175" s="193" t="s">
        <v>432</v>
      </c>
      <c r="H175" s="160">
        <v>1702023</v>
      </c>
      <c r="I175" s="193" t="s">
        <v>63</v>
      </c>
      <c r="J175" s="461" t="s">
        <v>467</v>
      </c>
      <c r="K175" s="192" t="s">
        <v>468</v>
      </c>
      <c r="L175" s="462" t="s">
        <v>45</v>
      </c>
      <c r="M175" s="470">
        <v>1</v>
      </c>
      <c r="N175" s="1524" t="s">
        <v>469</v>
      </c>
      <c r="O175" s="1520" t="s">
        <v>470</v>
      </c>
      <c r="P175" s="1531" t="s">
        <v>471</v>
      </c>
      <c r="Q175" s="156"/>
      <c r="R175" s="156"/>
      <c r="S175" s="156"/>
      <c r="T175" s="156"/>
      <c r="U175" s="156"/>
      <c r="V175" s="156"/>
      <c r="W175" s="156"/>
      <c r="X175" s="156"/>
      <c r="Y175" s="156"/>
      <c r="Z175" s="156"/>
      <c r="AA175" s="217">
        <v>45000000</v>
      </c>
      <c r="AB175" s="218"/>
      <c r="AC175" s="218"/>
      <c r="AD175" s="218">
        <f t="shared" si="72"/>
        <v>45000000</v>
      </c>
      <c r="AE175" s="527" t="s">
        <v>439</v>
      </c>
      <c r="AF175" s="218" t="s">
        <v>440</v>
      </c>
      <c r="AG175" s="27"/>
    </row>
    <row r="176" spans="1:89" ht="108" customHeight="1" x14ac:dyDescent="0.2">
      <c r="A176" s="103"/>
      <c r="B176" s="104"/>
      <c r="C176" s="104"/>
      <c r="D176" s="104"/>
      <c r="E176" s="111"/>
      <c r="F176" s="457"/>
      <c r="G176" s="193" t="s">
        <v>432</v>
      </c>
      <c r="H176" s="160">
        <v>1702024</v>
      </c>
      <c r="I176" s="193" t="s">
        <v>472</v>
      </c>
      <c r="J176" s="72" t="s">
        <v>473</v>
      </c>
      <c r="K176" s="220" t="s">
        <v>474</v>
      </c>
      <c r="L176" s="462" t="s">
        <v>45</v>
      </c>
      <c r="M176" s="470">
        <v>12</v>
      </c>
      <c r="N176" s="1524"/>
      <c r="O176" s="1520"/>
      <c r="P176" s="1531"/>
      <c r="Q176" s="156"/>
      <c r="R176" s="156"/>
      <c r="S176" s="156"/>
      <c r="T176" s="156"/>
      <c r="U176" s="156"/>
      <c r="V176" s="156"/>
      <c r="W176" s="156"/>
      <c r="X176" s="156"/>
      <c r="Y176" s="156"/>
      <c r="Z176" s="156"/>
      <c r="AA176" s="217">
        <v>45000000</v>
      </c>
      <c r="AB176" s="218"/>
      <c r="AC176" s="218"/>
      <c r="AD176" s="218">
        <f t="shared" si="72"/>
        <v>45000000</v>
      </c>
      <c r="AE176" s="527" t="s">
        <v>439</v>
      </c>
      <c r="AF176" s="218" t="s">
        <v>440</v>
      </c>
      <c r="AG176" s="27"/>
    </row>
    <row r="177" spans="1:33" ht="171.75" customHeight="1" x14ac:dyDescent="0.2">
      <c r="A177" s="103"/>
      <c r="B177" s="104"/>
      <c r="C177" s="104"/>
      <c r="D177" s="104"/>
      <c r="E177" s="111"/>
      <c r="F177" s="457"/>
      <c r="G177" s="193" t="s">
        <v>432</v>
      </c>
      <c r="H177" s="160">
        <v>1702025</v>
      </c>
      <c r="I177" s="193" t="s">
        <v>475</v>
      </c>
      <c r="J177" s="72" t="s">
        <v>476</v>
      </c>
      <c r="K177" s="220" t="s">
        <v>477</v>
      </c>
      <c r="L177" s="462" t="s">
        <v>57</v>
      </c>
      <c r="M177" s="470">
        <v>25</v>
      </c>
      <c r="N177" s="454" t="s">
        <v>478</v>
      </c>
      <c r="O177" s="192" t="s">
        <v>479</v>
      </c>
      <c r="P177" s="193" t="s">
        <v>480</v>
      </c>
      <c r="Q177" s="156"/>
      <c r="R177" s="156"/>
      <c r="S177" s="156"/>
      <c r="T177" s="156"/>
      <c r="U177" s="156"/>
      <c r="V177" s="156"/>
      <c r="W177" s="156"/>
      <c r="X177" s="156"/>
      <c r="Y177" s="156"/>
      <c r="Z177" s="156"/>
      <c r="AA177" s="217">
        <v>27000000</v>
      </c>
      <c r="AB177" s="218"/>
      <c r="AC177" s="218"/>
      <c r="AD177" s="218">
        <f t="shared" si="72"/>
        <v>27000000</v>
      </c>
      <c r="AE177" s="527" t="s">
        <v>439</v>
      </c>
      <c r="AF177" s="218" t="s">
        <v>440</v>
      </c>
      <c r="AG177" s="27"/>
    </row>
    <row r="178" spans="1:33" ht="23.25" customHeight="1" x14ac:dyDescent="0.2">
      <c r="A178" s="103"/>
      <c r="B178" s="104"/>
      <c r="C178" s="104"/>
      <c r="D178" s="104"/>
      <c r="E178" s="74">
        <v>1703</v>
      </c>
      <c r="F178" s="1498" t="s">
        <v>481</v>
      </c>
      <c r="G178" s="1499"/>
      <c r="H178" s="107"/>
      <c r="I178" s="487"/>
      <c r="J178" s="74"/>
      <c r="K178" s="70"/>
      <c r="L178" s="108"/>
      <c r="M178" s="74"/>
      <c r="N178" s="109"/>
      <c r="O178" s="70"/>
      <c r="P178" s="70"/>
      <c r="Q178" s="110">
        <f>SUM(Q179)</f>
        <v>0</v>
      </c>
      <c r="R178" s="110">
        <f t="shared" ref="R178:AD178" si="73">SUM(R179)</f>
        <v>0</v>
      </c>
      <c r="S178" s="110">
        <f t="shared" si="73"/>
        <v>0</v>
      </c>
      <c r="T178" s="110">
        <f t="shared" si="73"/>
        <v>0</v>
      </c>
      <c r="U178" s="110">
        <f t="shared" si="73"/>
        <v>0</v>
      </c>
      <c r="V178" s="110">
        <f t="shared" si="73"/>
        <v>0</v>
      </c>
      <c r="W178" s="110">
        <f t="shared" si="73"/>
        <v>0</v>
      </c>
      <c r="X178" s="110">
        <f t="shared" si="73"/>
        <v>0</v>
      </c>
      <c r="Y178" s="110">
        <f t="shared" si="73"/>
        <v>0</v>
      </c>
      <c r="Z178" s="110">
        <f t="shared" si="73"/>
        <v>0</v>
      </c>
      <c r="AA178" s="110">
        <f t="shared" si="73"/>
        <v>75000000</v>
      </c>
      <c r="AB178" s="110">
        <f t="shared" si="73"/>
        <v>0</v>
      </c>
      <c r="AC178" s="110">
        <f t="shared" si="73"/>
        <v>0</v>
      </c>
      <c r="AD178" s="110">
        <f t="shared" si="73"/>
        <v>75000000</v>
      </c>
      <c r="AE178" s="110" t="s">
        <v>41</v>
      </c>
      <c r="AF178" s="544"/>
      <c r="AG178" s="23"/>
    </row>
    <row r="179" spans="1:33" ht="187.5" customHeight="1" x14ac:dyDescent="0.2">
      <c r="A179" s="103"/>
      <c r="B179" s="104"/>
      <c r="C179" s="104"/>
      <c r="D179" s="104"/>
      <c r="E179" s="111"/>
      <c r="F179" s="457"/>
      <c r="G179" s="193" t="s">
        <v>432</v>
      </c>
      <c r="H179" s="160">
        <v>1703013</v>
      </c>
      <c r="I179" s="193" t="s">
        <v>482</v>
      </c>
      <c r="J179" s="72" t="s">
        <v>483</v>
      </c>
      <c r="K179" s="220" t="s">
        <v>484</v>
      </c>
      <c r="L179" s="462" t="s">
        <v>57</v>
      </c>
      <c r="M179" s="470">
        <v>100</v>
      </c>
      <c r="N179" s="454" t="s">
        <v>485</v>
      </c>
      <c r="O179" s="199" t="s">
        <v>486</v>
      </c>
      <c r="P179" s="140" t="s">
        <v>487</v>
      </c>
      <c r="Q179" s="156"/>
      <c r="R179" s="156"/>
      <c r="S179" s="156"/>
      <c r="T179" s="156"/>
      <c r="U179" s="156"/>
      <c r="V179" s="156"/>
      <c r="W179" s="156"/>
      <c r="X179" s="156"/>
      <c r="Y179" s="156"/>
      <c r="Z179" s="156"/>
      <c r="AA179" s="217">
        <v>75000000</v>
      </c>
      <c r="AB179" s="218"/>
      <c r="AC179" s="218"/>
      <c r="AD179" s="218">
        <f>SUM(Q179:AC179)</f>
        <v>75000000</v>
      </c>
      <c r="AE179" s="527" t="s">
        <v>439</v>
      </c>
      <c r="AF179" s="218" t="s">
        <v>440</v>
      </c>
      <c r="AG179" s="27"/>
    </row>
    <row r="180" spans="1:33" ht="23.25" customHeight="1" x14ac:dyDescent="0.2">
      <c r="A180" s="103"/>
      <c r="B180" s="104"/>
      <c r="C180" s="104"/>
      <c r="D180" s="104"/>
      <c r="E180" s="74">
        <v>1704</v>
      </c>
      <c r="F180" s="1498" t="s">
        <v>488</v>
      </c>
      <c r="G180" s="1499"/>
      <c r="H180" s="146"/>
      <c r="I180" s="487"/>
      <c r="J180" s="146"/>
      <c r="K180" s="145"/>
      <c r="L180" s="145"/>
      <c r="M180" s="145"/>
      <c r="N180" s="222"/>
      <c r="O180" s="325"/>
      <c r="P180" s="325"/>
      <c r="Q180" s="223">
        <f>SUM(Q181:Q182)</f>
        <v>0</v>
      </c>
      <c r="R180" s="223">
        <f t="shared" ref="R180:AD180" si="74">SUM(R181:R182)</f>
        <v>0</v>
      </c>
      <c r="S180" s="223">
        <f t="shared" si="74"/>
        <v>0</v>
      </c>
      <c r="T180" s="223">
        <f t="shared" si="74"/>
        <v>0</v>
      </c>
      <c r="U180" s="223">
        <f t="shared" si="74"/>
        <v>0</v>
      </c>
      <c r="V180" s="223">
        <f t="shared" si="74"/>
        <v>0</v>
      </c>
      <c r="W180" s="223">
        <f t="shared" si="74"/>
        <v>0</v>
      </c>
      <c r="X180" s="223">
        <f t="shared" si="74"/>
        <v>0</v>
      </c>
      <c r="Y180" s="223">
        <f t="shared" si="74"/>
        <v>0</v>
      </c>
      <c r="Z180" s="223">
        <f t="shared" si="74"/>
        <v>0</v>
      </c>
      <c r="AA180" s="224">
        <f>SUM(AA181:AA182)</f>
        <v>70000000</v>
      </c>
      <c r="AB180" s="224">
        <f t="shared" si="74"/>
        <v>0</v>
      </c>
      <c r="AC180" s="224">
        <f t="shared" si="74"/>
        <v>0</v>
      </c>
      <c r="AD180" s="224">
        <f t="shared" si="74"/>
        <v>70000000</v>
      </c>
      <c r="AE180" s="224"/>
      <c r="AF180" s="547"/>
      <c r="AG180" s="28"/>
    </row>
    <row r="181" spans="1:33" ht="80.25" customHeight="1" x14ac:dyDescent="0.2">
      <c r="A181" s="103"/>
      <c r="B181" s="141"/>
      <c r="C181" s="141"/>
      <c r="D181" s="141"/>
      <c r="E181" s="142"/>
      <c r="F181" s="143"/>
      <c r="G181" s="193" t="s">
        <v>432</v>
      </c>
      <c r="H181" s="160">
        <v>1704002</v>
      </c>
      <c r="I181" s="193" t="s">
        <v>85</v>
      </c>
      <c r="J181" s="461" t="s">
        <v>489</v>
      </c>
      <c r="K181" s="192" t="s">
        <v>490</v>
      </c>
      <c r="L181" s="466" t="s">
        <v>45</v>
      </c>
      <c r="M181" s="470">
        <v>1</v>
      </c>
      <c r="N181" s="1524" t="s">
        <v>491</v>
      </c>
      <c r="O181" s="1519" t="s">
        <v>492</v>
      </c>
      <c r="P181" s="1503" t="s">
        <v>493</v>
      </c>
      <c r="Q181" s="103"/>
      <c r="R181" s="103"/>
      <c r="S181" s="103"/>
      <c r="T181" s="103"/>
      <c r="U181" s="103"/>
      <c r="V181" s="103"/>
      <c r="W181" s="103"/>
      <c r="X181" s="103"/>
      <c r="Y181" s="103"/>
      <c r="Z181" s="103"/>
      <c r="AA181" s="218">
        <v>42000000</v>
      </c>
      <c r="AB181" s="218"/>
      <c r="AC181" s="218"/>
      <c r="AD181" s="218">
        <f>SUM(Q181:AC181)</f>
        <v>42000000</v>
      </c>
      <c r="AE181" s="527" t="s">
        <v>439</v>
      </c>
      <c r="AF181" s="218" t="s">
        <v>440</v>
      </c>
      <c r="AG181" s="1"/>
    </row>
    <row r="182" spans="1:33" ht="105" customHeight="1" x14ac:dyDescent="0.2">
      <c r="A182" s="103"/>
      <c r="B182" s="141"/>
      <c r="C182" s="141"/>
      <c r="D182" s="141"/>
      <c r="E182" s="142"/>
      <c r="F182" s="143"/>
      <c r="G182" s="193" t="s">
        <v>432</v>
      </c>
      <c r="H182" s="160">
        <v>1704017</v>
      </c>
      <c r="I182" s="193" t="s">
        <v>494</v>
      </c>
      <c r="J182" s="461" t="s">
        <v>495</v>
      </c>
      <c r="K182" s="192" t="s">
        <v>496</v>
      </c>
      <c r="L182" s="466" t="s">
        <v>57</v>
      </c>
      <c r="M182" s="470">
        <v>150</v>
      </c>
      <c r="N182" s="1524"/>
      <c r="O182" s="1519"/>
      <c r="P182" s="1503"/>
      <c r="Q182" s="103"/>
      <c r="R182" s="103"/>
      <c r="S182" s="103"/>
      <c r="T182" s="103"/>
      <c r="U182" s="103"/>
      <c r="V182" s="103"/>
      <c r="W182" s="103"/>
      <c r="X182" s="103"/>
      <c r="Y182" s="103"/>
      <c r="Z182" s="103"/>
      <c r="AA182" s="218">
        <v>28000000</v>
      </c>
      <c r="AB182" s="218"/>
      <c r="AC182" s="218"/>
      <c r="AD182" s="218">
        <f>SUM(Q182:AC182)</f>
        <v>28000000</v>
      </c>
      <c r="AE182" s="527" t="s">
        <v>439</v>
      </c>
      <c r="AF182" s="218" t="s">
        <v>440</v>
      </c>
      <c r="AG182" s="1"/>
    </row>
    <row r="183" spans="1:33" ht="21.75" customHeight="1" x14ac:dyDescent="0.2">
      <c r="A183" s="103"/>
      <c r="B183" s="104"/>
      <c r="C183" s="104"/>
      <c r="D183" s="104"/>
      <c r="E183" s="74">
        <v>1706</v>
      </c>
      <c r="F183" s="471" t="s">
        <v>497</v>
      </c>
      <c r="G183" s="473"/>
      <c r="H183" s="107"/>
      <c r="I183" s="487"/>
      <c r="J183" s="74"/>
      <c r="K183" s="70"/>
      <c r="L183" s="108"/>
      <c r="M183" s="74"/>
      <c r="N183" s="109"/>
      <c r="O183" s="70"/>
      <c r="P183" s="70"/>
      <c r="Q183" s="110">
        <f>SUM(Q184)</f>
        <v>0</v>
      </c>
      <c r="R183" s="110">
        <f t="shared" ref="R183:AD183" si="75">SUM(R184)</f>
        <v>0</v>
      </c>
      <c r="S183" s="110">
        <f t="shared" si="75"/>
        <v>0</v>
      </c>
      <c r="T183" s="110">
        <f t="shared" si="75"/>
        <v>0</v>
      </c>
      <c r="U183" s="110">
        <f t="shared" si="75"/>
        <v>0</v>
      </c>
      <c r="V183" s="110">
        <f t="shared" si="75"/>
        <v>0</v>
      </c>
      <c r="W183" s="110">
        <f t="shared" si="75"/>
        <v>0</v>
      </c>
      <c r="X183" s="110">
        <f t="shared" si="75"/>
        <v>0</v>
      </c>
      <c r="Y183" s="110">
        <f t="shared" si="75"/>
        <v>0</v>
      </c>
      <c r="Z183" s="110">
        <f t="shared" si="75"/>
        <v>0</v>
      </c>
      <c r="AA183" s="110">
        <f t="shared" si="75"/>
        <v>20000000</v>
      </c>
      <c r="AB183" s="110">
        <f t="shared" si="75"/>
        <v>0</v>
      </c>
      <c r="AC183" s="110">
        <f t="shared" si="75"/>
        <v>0</v>
      </c>
      <c r="AD183" s="110">
        <f t="shared" si="75"/>
        <v>20000000</v>
      </c>
      <c r="AE183" s="110"/>
      <c r="AF183" s="544"/>
      <c r="AG183" s="23"/>
    </row>
    <row r="184" spans="1:33" ht="148.5" customHeight="1" x14ac:dyDescent="0.2">
      <c r="A184" s="103"/>
      <c r="B184" s="104"/>
      <c r="C184" s="104"/>
      <c r="D184" s="104"/>
      <c r="E184" s="111"/>
      <c r="F184" s="462"/>
      <c r="G184" s="193" t="s">
        <v>432</v>
      </c>
      <c r="H184" s="160">
        <v>1706004</v>
      </c>
      <c r="I184" s="193" t="s">
        <v>498</v>
      </c>
      <c r="J184" s="461" t="s">
        <v>499</v>
      </c>
      <c r="K184" s="192" t="s">
        <v>500</v>
      </c>
      <c r="L184" s="466" t="s">
        <v>45</v>
      </c>
      <c r="M184" s="470">
        <v>10</v>
      </c>
      <c r="N184" s="454" t="s">
        <v>501</v>
      </c>
      <c r="O184" s="192" t="s">
        <v>502</v>
      </c>
      <c r="P184" s="192" t="s">
        <v>503</v>
      </c>
      <c r="Q184" s="118"/>
      <c r="R184" s="118"/>
      <c r="S184" s="118"/>
      <c r="T184" s="118"/>
      <c r="U184" s="118"/>
      <c r="V184" s="118"/>
      <c r="W184" s="118"/>
      <c r="X184" s="118"/>
      <c r="Y184" s="118"/>
      <c r="Z184" s="118"/>
      <c r="AA184" s="218">
        <v>20000000</v>
      </c>
      <c r="AB184" s="218"/>
      <c r="AC184" s="218"/>
      <c r="AD184" s="218">
        <f>SUM(Q184:AC184)</f>
        <v>20000000</v>
      </c>
      <c r="AE184" s="527" t="s">
        <v>439</v>
      </c>
      <c r="AF184" s="218" t="s">
        <v>440</v>
      </c>
      <c r="AG184" s="25"/>
    </row>
    <row r="185" spans="1:33" ht="25.5" customHeight="1" x14ac:dyDescent="0.2">
      <c r="A185" s="103"/>
      <c r="B185" s="104"/>
      <c r="C185" s="104"/>
      <c r="D185" s="104"/>
      <c r="E185" s="74">
        <v>1707</v>
      </c>
      <c r="F185" s="471" t="s">
        <v>504</v>
      </c>
      <c r="G185" s="473"/>
      <c r="H185" s="107"/>
      <c r="I185" s="487"/>
      <c r="J185" s="74"/>
      <c r="K185" s="70"/>
      <c r="L185" s="108"/>
      <c r="M185" s="74"/>
      <c r="N185" s="109"/>
      <c r="O185" s="70"/>
      <c r="P185" s="70"/>
      <c r="Q185" s="110">
        <f>SUM(Q186)</f>
        <v>0</v>
      </c>
      <c r="R185" s="110">
        <f t="shared" ref="R185:AD185" si="76">SUM(R186)</f>
        <v>0</v>
      </c>
      <c r="S185" s="110">
        <f t="shared" si="76"/>
        <v>0</v>
      </c>
      <c r="T185" s="110">
        <f t="shared" si="76"/>
        <v>0</v>
      </c>
      <c r="U185" s="110">
        <f t="shared" si="76"/>
        <v>0</v>
      </c>
      <c r="V185" s="110">
        <f t="shared" si="76"/>
        <v>0</v>
      </c>
      <c r="W185" s="110">
        <f t="shared" si="76"/>
        <v>0</v>
      </c>
      <c r="X185" s="110">
        <f t="shared" si="76"/>
        <v>0</v>
      </c>
      <c r="Y185" s="110">
        <f t="shared" si="76"/>
        <v>0</v>
      </c>
      <c r="Z185" s="110">
        <f t="shared" si="76"/>
        <v>0</v>
      </c>
      <c r="AA185" s="110">
        <f>SUM(AA186)</f>
        <v>43000000</v>
      </c>
      <c r="AB185" s="110">
        <f t="shared" si="76"/>
        <v>0</v>
      </c>
      <c r="AC185" s="110">
        <f t="shared" si="76"/>
        <v>0</v>
      </c>
      <c r="AD185" s="110">
        <f t="shared" si="76"/>
        <v>43000000</v>
      </c>
      <c r="AE185" s="110"/>
      <c r="AF185" s="544"/>
      <c r="AG185" s="23"/>
    </row>
    <row r="186" spans="1:33" ht="156" customHeight="1" x14ac:dyDescent="0.2">
      <c r="A186" s="103"/>
      <c r="B186" s="104"/>
      <c r="C186" s="104"/>
      <c r="D186" s="104"/>
      <c r="E186" s="111"/>
      <c r="F186" s="457"/>
      <c r="G186" s="193" t="s">
        <v>432</v>
      </c>
      <c r="H186" s="160">
        <v>1707069</v>
      </c>
      <c r="I186" s="193" t="s">
        <v>505</v>
      </c>
      <c r="J186" s="461" t="s">
        <v>506</v>
      </c>
      <c r="K186" s="192" t="s">
        <v>507</v>
      </c>
      <c r="L186" s="466" t="s">
        <v>57</v>
      </c>
      <c r="M186" s="470">
        <v>5</v>
      </c>
      <c r="N186" s="454" t="s">
        <v>508</v>
      </c>
      <c r="O186" s="199" t="s">
        <v>509</v>
      </c>
      <c r="P186" s="140" t="s">
        <v>510</v>
      </c>
      <c r="Q186" s="156"/>
      <c r="R186" s="156"/>
      <c r="S186" s="156"/>
      <c r="T186" s="156"/>
      <c r="U186" s="156"/>
      <c r="V186" s="156"/>
      <c r="W186" s="156"/>
      <c r="X186" s="156"/>
      <c r="Y186" s="156"/>
      <c r="Z186" s="156"/>
      <c r="AA186" s="217">
        <v>43000000</v>
      </c>
      <c r="AB186" s="218"/>
      <c r="AC186" s="218"/>
      <c r="AD186" s="218">
        <f>SUM(Q186:AC186)</f>
        <v>43000000</v>
      </c>
      <c r="AE186" s="527" t="s">
        <v>439</v>
      </c>
      <c r="AF186" s="218" t="s">
        <v>440</v>
      </c>
      <c r="AG186" s="27"/>
    </row>
    <row r="187" spans="1:33" ht="29.25" customHeight="1" x14ac:dyDescent="0.2">
      <c r="A187" s="103"/>
      <c r="B187" s="104"/>
      <c r="C187" s="104"/>
      <c r="D187" s="104"/>
      <c r="E187" s="74">
        <v>1708</v>
      </c>
      <c r="F187" s="471" t="s">
        <v>511</v>
      </c>
      <c r="G187" s="473"/>
      <c r="H187" s="107"/>
      <c r="I187" s="487"/>
      <c r="J187" s="74"/>
      <c r="K187" s="70"/>
      <c r="L187" s="108"/>
      <c r="M187" s="74"/>
      <c r="N187" s="109"/>
      <c r="O187" s="70"/>
      <c r="P187" s="70"/>
      <c r="Q187" s="110">
        <f>SUM(Q188:Q189)</f>
        <v>0</v>
      </c>
      <c r="R187" s="110">
        <f t="shared" ref="R187:AD187" si="77">SUM(R188:R189)</f>
        <v>0</v>
      </c>
      <c r="S187" s="110">
        <f t="shared" si="77"/>
        <v>0</v>
      </c>
      <c r="T187" s="110">
        <f t="shared" si="77"/>
        <v>0</v>
      </c>
      <c r="U187" s="110">
        <f t="shared" si="77"/>
        <v>0</v>
      </c>
      <c r="V187" s="110">
        <f t="shared" si="77"/>
        <v>0</v>
      </c>
      <c r="W187" s="110">
        <f t="shared" si="77"/>
        <v>0</v>
      </c>
      <c r="X187" s="110">
        <f t="shared" si="77"/>
        <v>0</v>
      </c>
      <c r="Y187" s="110">
        <f t="shared" si="77"/>
        <v>0</v>
      </c>
      <c r="Z187" s="110">
        <f t="shared" si="77"/>
        <v>0</v>
      </c>
      <c r="AA187" s="110">
        <f t="shared" si="77"/>
        <v>40000000</v>
      </c>
      <c r="AB187" s="110">
        <f t="shared" si="77"/>
        <v>0</v>
      </c>
      <c r="AC187" s="110">
        <f t="shared" si="77"/>
        <v>0</v>
      </c>
      <c r="AD187" s="110">
        <f t="shared" si="77"/>
        <v>40000000</v>
      </c>
      <c r="AE187" s="110"/>
      <c r="AF187" s="544"/>
      <c r="AG187" s="23"/>
    </row>
    <row r="188" spans="1:33" ht="88.5" customHeight="1" x14ac:dyDescent="0.2">
      <c r="A188" s="103"/>
      <c r="B188" s="104"/>
      <c r="C188" s="104"/>
      <c r="D188" s="104"/>
      <c r="E188" s="111"/>
      <c r="F188" s="462"/>
      <c r="G188" s="193" t="s">
        <v>432</v>
      </c>
      <c r="H188" s="160">
        <v>1708016</v>
      </c>
      <c r="I188" s="193" t="s">
        <v>85</v>
      </c>
      <c r="J188" s="72" t="s">
        <v>512</v>
      </c>
      <c r="K188" s="220" t="s">
        <v>513</v>
      </c>
      <c r="L188" s="466" t="s">
        <v>45</v>
      </c>
      <c r="M188" s="470">
        <v>2</v>
      </c>
      <c r="N188" s="1524" t="s">
        <v>514</v>
      </c>
      <c r="O188" s="1519" t="s">
        <v>515</v>
      </c>
      <c r="P188" s="1528" t="s">
        <v>516</v>
      </c>
      <c r="Q188" s="118"/>
      <c r="R188" s="118"/>
      <c r="S188" s="118"/>
      <c r="T188" s="118"/>
      <c r="U188" s="118"/>
      <c r="V188" s="118"/>
      <c r="W188" s="118"/>
      <c r="X188" s="118"/>
      <c r="Y188" s="118"/>
      <c r="Z188" s="118"/>
      <c r="AA188" s="218">
        <v>20000000</v>
      </c>
      <c r="AB188" s="218"/>
      <c r="AC188" s="218"/>
      <c r="AD188" s="218">
        <f>SUM(Q188:AC188)</f>
        <v>20000000</v>
      </c>
      <c r="AE188" s="527" t="s">
        <v>439</v>
      </c>
      <c r="AF188" s="218" t="s">
        <v>440</v>
      </c>
      <c r="AG188" s="25"/>
    </row>
    <row r="189" spans="1:33" ht="187.5" customHeight="1" x14ac:dyDescent="0.2">
      <c r="A189" s="103"/>
      <c r="B189" s="104"/>
      <c r="C189" s="104"/>
      <c r="D189" s="104"/>
      <c r="E189" s="111"/>
      <c r="F189" s="457"/>
      <c r="G189" s="193" t="s">
        <v>432</v>
      </c>
      <c r="H189" s="160">
        <v>1708051</v>
      </c>
      <c r="I189" s="193" t="s">
        <v>517</v>
      </c>
      <c r="J189" s="72" t="s">
        <v>518</v>
      </c>
      <c r="K189" s="220" t="s">
        <v>519</v>
      </c>
      <c r="L189" s="457" t="s">
        <v>45</v>
      </c>
      <c r="M189" s="470">
        <v>1</v>
      </c>
      <c r="N189" s="1524"/>
      <c r="O189" s="1519"/>
      <c r="P189" s="1529"/>
      <c r="Q189" s="118"/>
      <c r="R189" s="118"/>
      <c r="S189" s="118"/>
      <c r="T189" s="118"/>
      <c r="U189" s="118"/>
      <c r="V189" s="118"/>
      <c r="W189" s="118"/>
      <c r="X189" s="118"/>
      <c r="Y189" s="118"/>
      <c r="Z189" s="118"/>
      <c r="AA189" s="218">
        <v>20000000</v>
      </c>
      <c r="AB189" s="218"/>
      <c r="AC189" s="218"/>
      <c r="AD189" s="218">
        <f>SUM(Q189:AC189)</f>
        <v>20000000</v>
      </c>
      <c r="AE189" s="527" t="s">
        <v>439</v>
      </c>
      <c r="AF189" s="218" t="s">
        <v>440</v>
      </c>
      <c r="AG189" s="25"/>
    </row>
    <row r="190" spans="1:33" ht="27.75" customHeight="1" x14ac:dyDescent="0.2">
      <c r="A190" s="103"/>
      <c r="B190" s="104"/>
      <c r="C190" s="104"/>
      <c r="D190" s="104"/>
      <c r="E190" s="74">
        <v>1709</v>
      </c>
      <c r="F190" s="471" t="s">
        <v>520</v>
      </c>
      <c r="G190" s="473"/>
      <c r="H190" s="146"/>
      <c r="I190" s="487"/>
      <c r="J190" s="146"/>
      <c r="K190" s="145"/>
      <c r="L190" s="145"/>
      <c r="M190" s="145"/>
      <c r="N190" s="145"/>
      <c r="O190" s="325"/>
      <c r="P190" s="325"/>
      <c r="Q190" s="223">
        <f>SUM(Q191:Q193)</f>
        <v>0</v>
      </c>
      <c r="R190" s="223">
        <f t="shared" ref="R190:AD190" si="78">SUM(R191:R193)</f>
        <v>0</v>
      </c>
      <c r="S190" s="223">
        <f t="shared" si="78"/>
        <v>0</v>
      </c>
      <c r="T190" s="223">
        <f t="shared" si="78"/>
        <v>0</v>
      </c>
      <c r="U190" s="223">
        <f t="shared" si="78"/>
        <v>0</v>
      </c>
      <c r="V190" s="223">
        <f t="shared" si="78"/>
        <v>0</v>
      </c>
      <c r="W190" s="223">
        <f t="shared" si="78"/>
        <v>0</v>
      </c>
      <c r="X190" s="223">
        <f t="shared" si="78"/>
        <v>0</v>
      </c>
      <c r="Y190" s="223">
        <f t="shared" si="78"/>
        <v>0</v>
      </c>
      <c r="Z190" s="223">
        <f t="shared" si="78"/>
        <v>0</v>
      </c>
      <c r="AA190" s="224">
        <f>SUM(AA191:AA193)</f>
        <v>108000000</v>
      </c>
      <c r="AB190" s="224">
        <f t="shared" si="78"/>
        <v>0</v>
      </c>
      <c r="AC190" s="224">
        <f t="shared" si="78"/>
        <v>0</v>
      </c>
      <c r="AD190" s="224">
        <f t="shared" si="78"/>
        <v>108000000</v>
      </c>
      <c r="AE190" s="224"/>
      <c r="AF190" s="547"/>
      <c r="AG190" s="28"/>
    </row>
    <row r="191" spans="1:33" ht="75" customHeight="1" x14ac:dyDescent="0.2">
      <c r="A191" s="103"/>
      <c r="B191" s="141"/>
      <c r="C191" s="141"/>
      <c r="D191" s="141"/>
      <c r="E191" s="142"/>
      <c r="F191" s="143"/>
      <c r="G191" s="193" t="s">
        <v>432</v>
      </c>
      <c r="H191" s="160">
        <v>1709019</v>
      </c>
      <c r="I191" s="193" t="s">
        <v>521</v>
      </c>
      <c r="J191" s="72" t="s">
        <v>522</v>
      </c>
      <c r="K191" s="220" t="s">
        <v>521</v>
      </c>
      <c r="L191" s="466" t="s">
        <v>57</v>
      </c>
      <c r="M191" s="470">
        <v>4</v>
      </c>
      <c r="N191" s="1545" t="s">
        <v>523</v>
      </c>
      <c r="O191" s="1520" t="s">
        <v>524</v>
      </c>
      <c r="P191" s="1531" t="s">
        <v>525</v>
      </c>
      <c r="Q191" s="103"/>
      <c r="R191" s="103"/>
      <c r="S191" s="103"/>
      <c r="T191" s="103"/>
      <c r="U191" s="103"/>
      <c r="V191" s="103"/>
      <c r="W191" s="103"/>
      <c r="X191" s="103"/>
      <c r="Y191" s="103"/>
      <c r="Z191" s="103"/>
      <c r="AA191" s="218">
        <v>43000000</v>
      </c>
      <c r="AB191" s="218"/>
      <c r="AC191" s="218"/>
      <c r="AD191" s="218">
        <f>SUM(Q191:AC191)</f>
        <v>43000000</v>
      </c>
      <c r="AE191" s="527" t="s">
        <v>439</v>
      </c>
      <c r="AF191" s="218" t="s">
        <v>440</v>
      </c>
      <c r="AG191" s="1"/>
    </row>
    <row r="192" spans="1:33" ht="48.75" customHeight="1" x14ac:dyDescent="0.2">
      <c r="A192" s="103"/>
      <c r="B192" s="141"/>
      <c r="C192" s="141"/>
      <c r="D192" s="141"/>
      <c r="E192" s="142"/>
      <c r="F192" s="143"/>
      <c r="G192" s="193" t="s">
        <v>432</v>
      </c>
      <c r="H192" s="160">
        <v>1709034</v>
      </c>
      <c r="I192" s="193" t="s">
        <v>526</v>
      </c>
      <c r="J192" s="72" t="s">
        <v>527</v>
      </c>
      <c r="K192" s="220" t="s">
        <v>526</v>
      </c>
      <c r="L192" s="466" t="s">
        <v>57</v>
      </c>
      <c r="M192" s="470">
        <v>3</v>
      </c>
      <c r="N192" s="1545"/>
      <c r="O192" s="1520"/>
      <c r="P192" s="1531"/>
      <c r="Q192" s="103"/>
      <c r="R192" s="103"/>
      <c r="S192" s="103"/>
      <c r="T192" s="103"/>
      <c r="U192" s="103"/>
      <c r="V192" s="103"/>
      <c r="W192" s="103"/>
      <c r="X192" s="103"/>
      <c r="Y192" s="103"/>
      <c r="Z192" s="103"/>
      <c r="AA192" s="218">
        <v>43000000</v>
      </c>
      <c r="AB192" s="218"/>
      <c r="AC192" s="218"/>
      <c r="AD192" s="218">
        <f>SUM(Q192:AC192)</f>
        <v>43000000</v>
      </c>
      <c r="AE192" s="527" t="s">
        <v>439</v>
      </c>
      <c r="AF192" s="218" t="s">
        <v>440</v>
      </c>
      <c r="AG192" s="1"/>
    </row>
    <row r="193" spans="1:89" ht="77.25" customHeight="1" x14ac:dyDescent="0.2">
      <c r="A193" s="103"/>
      <c r="B193" s="141"/>
      <c r="C193" s="141"/>
      <c r="D193" s="141"/>
      <c r="E193" s="142"/>
      <c r="F193" s="143"/>
      <c r="G193" s="193" t="s">
        <v>432</v>
      </c>
      <c r="H193" s="160">
        <v>1709093</v>
      </c>
      <c r="I193" s="193" t="s">
        <v>528</v>
      </c>
      <c r="J193" s="461" t="s">
        <v>529</v>
      </c>
      <c r="K193" s="192" t="s">
        <v>530</v>
      </c>
      <c r="L193" s="466" t="s">
        <v>57</v>
      </c>
      <c r="M193" s="470">
        <v>2</v>
      </c>
      <c r="N193" s="1545"/>
      <c r="O193" s="1520"/>
      <c r="P193" s="1531"/>
      <c r="Q193" s="103"/>
      <c r="R193" s="103"/>
      <c r="S193" s="103"/>
      <c r="T193" s="103"/>
      <c r="U193" s="103"/>
      <c r="V193" s="103"/>
      <c r="W193" s="103"/>
      <c r="X193" s="103"/>
      <c r="Y193" s="103"/>
      <c r="Z193" s="103"/>
      <c r="AA193" s="218">
        <v>22000000</v>
      </c>
      <c r="AB193" s="218"/>
      <c r="AC193" s="218"/>
      <c r="AD193" s="218">
        <f>SUM(Q193:AC193)</f>
        <v>22000000</v>
      </c>
      <c r="AE193" s="527" t="s">
        <v>439</v>
      </c>
      <c r="AF193" s="218" t="s">
        <v>440</v>
      </c>
      <c r="AG193" s="1"/>
    </row>
    <row r="194" spans="1:89" s="9" customFormat="1" ht="27.75" customHeight="1" x14ac:dyDescent="0.25">
      <c r="A194" s="95"/>
      <c r="B194" s="576"/>
      <c r="C194" s="593">
        <v>35</v>
      </c>
      <c r="D194" s="578" t="s">
        <v>1309</v>
      </c>
      <c r="E194" s="592"/>
      <c r="F194" s="579"/>
      <c r="G194" s="580"/>
      <c r="H194" s="581"/>
      <c r="I194" s="582"/>
      <c r="J194" s="583"/>
      <c r="K194" s="584"/>
      <c r="L194" s="585"/>
      <c r="M194" s="583"/>
      <c r="N194" s="587"/>
      <c r="O194" s="588"/>
      <c r="P194" s="588"/>
      <c r="Q194" s="589">
        <f>Q195</f>
        <v>0</v>
      </c>
      <c r="R194" s="589">
        <f t="shared" ref="R194:AD194" si="79">R195</f>
        <v>0</v>
      </c>
      <c r="S194" s="589">
        <f t="shared" si="79"/>
        <v>0</v>
      </c>
      <c r="T194" s="589">
        <f t="shared" si="79"/>
        <v>0</v>
      </c>
      <c r="U194" s="589">
        <f t="shared" si="79"/>
        <v>0</v>
      </c>
      <c r="V194" s="589">
        <f t="shared" si="79"/>
        <v>0</v>
      </c>
      <c r="W194" s="589">
        <f t="shared" si="79"/>
        <v>0</v>
      </c>
      <c r="X194" s="589">
        <f t="shared" si="79"/>
        <v>0</v>
      </c>
      <c r="Y194" s="589">
        <f t="shared" si="79"/>
        <v>0</v>
      </c>
      <c r="Z194" s="589">
        <f t="shared" si="79"/>
        <v>0</v>
      </c>
      <c r="AA194" s="589">
        <f t="shared" si="79"/>
        <v>36000000</v>
      </c>
      <c r="AB194" s="589">
        <f t="shared" si="79"/>
        <v>0</v>
      </c>
      <c r="AC194" s="589">
        <f t="shared" si="79"/>
        <v>0</v>
      </c>
      <c r="AD194" s="589">
        <f t="shared" si="79"/>
        <v>36000000</v>
      </c>
      <c r="AE194" s="589"/>
      <c r="AF194" s="590"/>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row>
    <row r="195" spans="1:89" ht="23.25" customHeight="1" x14ac:dyDescent="0.2">
      <c r="A195" s="103"/>
      <c r="B195" s="104"/>
      <c r="C195" s="104"/>
      <c r="D195" s="104"/>
      <c r="E195" s="74">
        <v>3502</v>
      </c>
      <c r="F195" s="1498" t="s">
        <v>380</v>
      </c>
      <c r="G195" s="1499"/>
      <c r="H195" s="107"/>
      <c r="I195" s="487"/>
      <c r="J195" s="74"/>
      <c r="K195" s="70"/>
      <c r="L195" s="108"/>
      <c r="M195" s="74"/>
      <c r="N195" s="109"/>
      <c r="O195" s="70"/>
      <c r="P195" s="70"/>
      <c r="Q195" s="110">
        <f>SUM(Q196:Q197)</f>
        <v>0</v>
      </c>
      <c r="R195" s="110">
        <f t="shared" ref="R195:AD195" si="80">SUM(R196:R197)</f>
        <v>0</v>
      </c>
      <c r="S195" s="110">
        <f t="shared" si="80"/>
        <v>0</v>
      </c>
      <c r="T195" s="110">
        <f t="shared" si="80"/>
        <v>0</v>
      </c>
      <c r="U195" s="110">
        <f t="shared" si="80"/>
        <v>0</v>
      </c>
      <c r="V195" s="110">
        <f t="shared" si="80"/>
        <v>0</v>
      </c>
      <c r="W195" s="110">
        <f t="shared" si="80"/>
        <v>0</v>
      </c>
      <c r="X195" s="110">
        <f t="shared" si="80"/>
        <v>0</v>
      </c>
      <c r="Y195" s="110">
        <f t="shared" si="80"/>
        <v>0</v>
      </c>
      <c r="Z195" s="110">
        <f t="shared" si="80"/>
        <v>0</v>
      </c>
      <c r="AA195" s="110">
        <f t="shared" si="80"/>
        <v>36000000</v>
      </c>
      <c r="AB195" s="110">
        <f t="shared" si="80"/>
        <v>0</v>
      </c>
      <c r="AC195" s="110">
        <f t="shared" si="80"/>
        <v>0</v>
      </c>
      <c r="AD195" s="110">
        <f t="shared" si="80"/>
        <v>36000000</v>
      </c>
      <c r="AE195" s="110"/>
      <c r="AF195" s="544"/>
      <c r="AG195" s="23"/>
    </row>
    <row r="196" spans="1:89" ht="90.75" customHeight="1" x14ac:dyDescent="0.2">
      <c r="A196" s="103"/>
      <c r="B196" s="104"/>
      <c r="C196" s="104"/>
      <c r="D196" s="104"/>
      <c r="E196" s="461"/>
      <c r="F196" s="457"/>
      <c r="G196" s="193" t="s">
        <v>531</v>
      </c>
      <c r="H196" s="160">
        <v>3502017</v>
      </c>
      <c r="I196" s="193" t="s">
        <v>532</v>
      </c>
      <c r="J196" s="72" t="s">
        <v>533</v>
      </c>
      <c r="K196" s="220" t="s">
        <v>534</v>
      </c>
      <c r="L196" s="470" t="s">
        <v>45</v>
      </c>
      <c r="M196" s="470">
        <v>6</v>
      </c>
      <c r="N196" s="1523" t="s">
        <v>535</v>
      </c>
      <c r="O196" s="1519" t="s">
        <v>536</v>
      </c>
      <c r="P196" s="1503" t="s">
        <v>537</v>
      </c>
      <c r="Q196" s="118"/>
      <c r="R196" s="118"/>
      <c r="S196" s="118"/>
      <c r="T196" s="118"/>
      <c r="U196" s="118"/>
      <c r="V196" s="118"/>
      <c r="W196" s="118"/>
      <c r="X196" s="118"/>
      <c r="Y196" s="118"/>
      <c r="Z196" s="118"/>
      <c r="AA196" s="218">
        <v>18000000</v>
      </c>
      <c r="AB196" s="218"/>
      <c r="AC196" s="218"/>
      <c r="AD196" s="218">
        <f>SUM(Q196:AC196)</f>
        <v>18000000</v>
      </c>
      <c r="AE196" s="527" t="s">
        <v>439</v>
      </c>
      <c r="AF196" s="218" t="s">
        <v>440</v>
      </c>
      <c r="AG196" s="25"/>
    </row>
    <row r="197" spans="1:89" s="9" customFormat="1" ht="130.5" customHeight="1" x14ac:dyDescent="0.25">
      <c r="A197" s="95"/>
      <c r="B197" s="458"/>
      <c r="C197" s="458"/>
      <c r="D197" s="458"/>
      <c r="E197" s="461"/>
      <c r="F197" s="457"/>
      <c r="G197" s="193" t="s">
        <v>531</v>
      </c>
      <c r="H197" s="160">
        <v>3502007</v>
      </c>
      <c r="I197" s="193" t="s">
        <v>538</v>
      </c>
      <c r="J197" s="461" t="s">
        <v>391</v>
      </c>
      <c r="K197" s="192" t="s">
        <v>392</v>
      </c>
      <c r="L197" s="178" t="s">
        <v>45</v>
      </c>
      <c r="M197" s="135">
        <v>5</v>
      </c>
      <c r="N197" s="1523"/>
      <c r="O197" s="1519"/>
      <c r="P197" s="1503"/>
      <c r="Q197" s="118"/>
      <c r="R197" s="118"/>
      <c r="S197" s="118"/>
      <c r="T197" s="118"/>
      <c r="U197" s="118"/>
      <c r="V197" s="118"/>
      <c r="W197" s="118"/>
      <c r="X197" s="118"/>
      <c r="Y197" s="118"/>
      <c r="Z197" s="118"/>
      <c r="AA197" s="218">
        <v>18000000</v>
      </c>
      <c r="AB197" s="218"/>
      <c r="AC197" s="218"/>
      <c r="AD197" s="218">
        <f>SUM(Q197:AC197)</f>
        <v>18000000</v>
      </c>
      <c r="AE197" s="527" t="s">
        <v>439</v>
      </c>
      <c r="AF197" s="218" t="s">
        <v>440</v>
      </c>
      <c r="AG197" s="25"/>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row>
    <row r="198" spans="1:89" ht="24.75" customHeight="1" x14ac:dyDescent="0.2">
      <c r="A198" s="103"/>
      <c r="B198" s="99">
        <v>3</v>
      </c>
      <c r="C198" s="569" t="s">
        <v>175</v>
      </c>
      <c r="D198" s="96"/>
      <c r="E198" s="591"/>
      <c r="F198" s="365"/>
      <c r="G198" s="365"/>
      <c r="H198" s="97"/>
      <c r="I198" s="489"/>
      <c r="J198" s="99"/>
      <c r="K198" s="98"/>
      <c r="L198" s="100"/>
      <c r="M198" s="99"/>
      <c r="N198" s="101"/>
      <c r="O198" s="98"/>
      <c r="P198" s="98"/>
      <c r="Q198" s="102">
        <f>Q199</f>
        <v>0</v>
      </c>
      <c r="R198" s="102">
        <f t="shared" ref="R198:AC198" si="81">R199</f>
        <v>0</v>
      </c>
      <c r="S198" s="102">
        <f t="shared" si="81"/>
        <v>0</v>
      </c>
      <c r="T198" s="102">
        <f t="shared" si="81"/>
        <v>0</v>
      </c>
      <c r="U198" s="102">
        <f t="shared" si="81"/>
        <v>0</v>
      </c>
      <c r="V198" s="102">
        <f t="shared" si="81"/>
        <v>0</v>
      </c>
      <c r="W198" s="102">
        <f t="shared" si="81"/>
        <v>0</v>
      </c>
      <c r="X198" s="102">
        <f t="shared" si="81"/>
        <v>0</v>
      </c>
      <c r="Y198" s="102">
        <f t="shared" si="81"/>
        <v>0</v>
      </c>
      <c r="Z198" s="102">
        <f t="shared" si="81"/>
        <v>0</v>
      </c>
      <c r="AA198" s="102">
        <f t="shared" si="81"/>
        <v>1347248186</v>
      </c>
      <c r="AB198" s="102">
        <f t="shared" si="81"/>
        <v>0</v>
      </c>
      <c r="AC198" s="102">
        <f t="shared" si="81"/>
        <v>0</v>
      </c>
      <c r="AD198" s="102">
        <f>AD199</f>
        <v>1347248186</v>
      </c>
      <c r="AE198" s="102"/>
      <c r="AF198" s="543"/>
      <c r="AG198" s="23"/>
    </row>
    <row r="199" spans="1:89" s="9" customFormat="1" ht="27.75" customHeight="1" x14ac:dyDescent="0.25">
      <c r="A199" s="95"/>
      <c r="B199" s="576"/>
      <c r="C199" s="593">
        <v>32</v>
      </c>
      <c r="D199" s="578" t="s">
        <v>1307</v>
      </c>
      <c r="E199" s="592"/>
      <c r="F199" s="579"/>
      <c r="G199" s="580"/>
      <c r="H199" s="581"/>
      <c r="I199" s="582"/>
      <c r="J199" s="583"/>
      <c r="K199" s="584"/>
      <c r="L199" s="585"/>
      <c r="M199" s="583"/>
      <c r="N199" s="587"/>
      <c r="O199" s="588"/>
      <c r="P199" s="588"/>
      <c r="Q199" s="589">
        <f>Q200+Q203+Q210+Q216+Q212</f>
        <v>0</v>
      </c>
      <c r="R199" s="589">
        <f t="shared" ref="R199:AD199" si="82">R200+R203+R210+R216+R212</f>
        <v>0</v>
      </c>
      <c r="S199" s="589">
        <f t="shared" si="82"/>
        <v>0</v>
      </c>
      <c r="T199" s="589">
        <f t="shared" si="82"/>
        <v>0</v>
      </c>
      <c r="U199" s="589">
        <f t="shared" si="82"/>
        <v>0</v>
      </c>
      <c r="V199" s="589">
        <f t="shared" si="82"/>
        <v>0</v>
      </c>
      <c r="W199" s="589">
        <f t="shared" si="82"/>
        <v>0</v>
      </c>
      <c r="X199" s="589">
        <f t="shared" si="82"/>
        <v>0</v>
      </c>
      <c r="Y199" s="589">
        <f t="shared" si="82"/>
        <v>0</v>
      </c>
      <c r="Z199" s="589">
        <f t="shared" si="82"/>
        <v>0</v>
      </c>
      <c r="AA199" s="589">
        <f t="shared" si="82"/>
        <v>1347248186</v>
      </c>
      <c r="AB199" s="589">
        <f t="shared" si="82"/>
        <v>0</v>
      </c>
      <c r="AC199" s="589">
        <f t="shared" si="82"/>
        <v>0</v>
      </c>
      <c r="AD199" s="589">
        <f t="shared" si="82"/>
        <v>1347248186</v>
      </c>
      <c r="AE199" s="589"/>
      <c r="AF199" s="590"/>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row>
    <row r="200" spans="1:89" ht="29.25" customHeight="1" x14ac:dyDescent="0.2">
      <c r="A200" s="103"/>
      <c r="B200" s="104"/>
      <c r="C200" s="104"/>
      <c r="D200" s="104"/>
      <c r="E200" s="74" t="s">
        <v>539</v>
      </c>
      <c r="F200" s="471" t="s">
        <v>540</v>
      </c>
      <c r="G200" s="473"/>
      <c r="H200" s="107"/>
      <c r="I200" s="487"/>
      <c r="J200" s="74"/>
      <c r="K200" s="70"/>
      <c r="L200" s="108"/>
      <c r="M200" s="74"/>
      <c r="N200" s="109"/>
      <c r="O200" s="70"/>
      <c r="P200" s="70"/>
      <c r="Q200" s="110">
        <f>SUM(Q201:Q202)</f>
        <v>0</v>
      </c>
      <c r="R200" s="110">
        <f t="shared" ref="R200:AD200" si="83">SUM(R201:R202)</f>
        <v>0</v>
      </c>
      <c r="S200" s="110">
        <f t="shared" si="83"/>
        <v>0</v>
      </c>
      <c r="T200" s="110">
        <f t="shared" si="83"/>
        <v>0</v>
      </c>
      <c r="U200" s="110">
        <f t="shared" si="83"/>
        <v>0</v>
      </c>
      <c r="V200" s="110">
        <f t="shared" si="83"/>
        <v>0</v>
      </c>
      <c r="W200" s="110">
        <f t="shared" si="83"/>
        <v>0</v>
      </c>
      <c r="X200" s="110">
        <f t="shared" si="83"/>
        <v>0</v>
      </c>
      <c r="Y200" s="110">
        <f t="shared" si="83"/>
        <v>0</v>
      </c>
      <c r="Z200" s="110">
        <f t="shared" si="83"/>
        <v>0</v>
      </c>
      <c r="AA200" s="110">
        <f t="shared" si="83"/>
        <v>82000000</v>
      </c>
      <c r="AB200" s="110">
        <f t="shared" si="83"/>
        <v>0</v>
      </c>
      <c r="AC200" s="110">
        <f t="shared" si="83"/>
        <v>0</v>
      </c>
      <c r="AD200" s="110">
        <f t="shared" si="83"/>
        <v>82000000</v>
      </c>
      <c r="AE200" s="110"/>
      <c r="AF200" s="544"/>
      <c r="AG200" s="23"/>
    </row>
    <row r="201" spans="1:89" ht="131.25" customHeight="1" x14ac:dyDescent="0.2">
      <c r="A201" s="103"/>
      <c r="B201" s="104"/>
      <c r="C201" s="104"/>
      <c r="D201" s="104"/>
      <c r="E201" s="225"/>
      <c r="F201" s="226"/>
      <c r="G201" s="193" t="s">
        <v>192</v>
      </c>
      <c r="H201" s="160">
        <v>3201013</v>
      </c>
      <c r="I201" s="193" t="s">
        <v>541</v>
      </c>
      <c r="J201" s="72" t="s">
        <v>542</v>
      </c>
      <c r="K201" s="220" t="s">
        <v>543</v>
      </c>
      <c r="L201" s="401" t="s">
        <v>57</v>
      </c>
      <c r="M201" s="470">
        <v>1</v>
      </c>
      <c r="N201" s="1545" t="s">
        <v>544</v>
      </c>
      <c r="O201" s="1535" t="s">
        <v>545</v>
      </c>
      <c r="P201" s="1525" t="s">
        <v>546</v>
      </c>
      <c r="Q201" s="227"/>
      <c r="R201" s="227"/>
      <c r="S201" s="227"/>
      <c r="T201" s="227"/>
      <c r="U201" s="227"/>
      <c r="V201" s="227"/>
      <c r="W201" s="227"/>
      <c r="X201" s="227"/>
      <c r="Y201" s="227"/>
      <c r="Z201" s="227"/>
      <c r="AA201" s="218">
        <v>32000000</v>
      </c>
      <c r="AB201" s="218"/>
      <c r="AC201" s="218"/>
      <c r="AD201" s="218">
        <f>SUM(Q201:AC201)</f>
        <v>32000000</v>
      </c>
      <c r="AE201" s="527" t="s">
        <v>439</v>
      </c>
      <c r="AF201" s="218" t="s">
        <v>440</v>
      </c>
      <c r="AG201" s="29"/>
    </row>
    <row r="202" spans="1:89" ht="86.25" customHeight="1" x14ac:dyDescent="0.2">
      <c r="A202" s="103"/>
      <c r="B202" s="104"/>
      <c r="C202" s="104"/>
      <c r="D202" s="104"/>
      <c r="E202" s="225"/>
      <c r="F202" s="226"/>
      <c r="G202" s="193" t="s">
        <v>192</v>
      </c>
      <c r="H202" s="160">
        <v>3201008</v>
      </c>
      <c r="I202" s="193" t="s">
        <v>547</v>
      </c>
      <c r="J202" s="72" t="s">
        <v>548</v>
      </c>
      <c r="K202" s="220" t="s">
        <v>549</v>
      </c>
      <c r="L202" s="466" t="s">
        <v>57</v>
      </c>
      <c r="M202" s="470">
        <v>2</v>
      </c>
      <c r="N202" s="1545"/>
      <c r="O202" s="1535"/>
      <c r="P202" s="1525"/>
      <c r="Q202" s="227"/>
      <c r="R202" s="227"/>
      <c r="S202" s="227"/>
      <c r="T202" s="227"/>
      <c r="U202" s="227"/>
      <c r="V202" s="227"/>
      <c r="W202" s="227"/>
      <c r="X202" s="227"/>
      <c r="Y202" s="227"/>
      <c r="Z202" s="227"/>
      <c r="AA202" s="218">
        <v>50000000</v>
      </c>
      <c r="AB202" s="218"/>
      <c r="AC202" s="218"/>
      <c r="AD202" s="218">
        <f>SUM(Q202:AC202)</f>
        <v>50000000</v>
      </c>
      <c r="AE202" s="527" t="s">
        <v>439</v>
      </c>
      <c r="AF202" s="218" t="s">
        <v>440</v>
      </c>
      <c r="AG202" s="29"/>
    </row>
    <row r="203" spans="1:89" ht="33" customHeight="1" x14ac:dyDescent="0.2">
      <c r="A203" s="103"/>
      <c r="B203" s="104"/>
      <c r="C203" s="104"/>
      <c r="D203" s="104"/>
      <c r="E203" s="74">
        <v>3202</v>
      </c>
      <c r="F203" s="732" t="s">
        <v>551</v>
      </c>
      <c r="G203" s="473"/>
      <c r="H203" s="107"/>
      <c r="I203" s="487"/>
      <c r="J203" s="74"/>
      <c r="K203" s="70"/>
      <c r="L203" s="108"/>
      <c r="M203" s="74"/>
      <c r="N203" s="109"/>
      <c r="O203" s="70"/>
      <c r="P203" s="70"/>
      <c r="Q203" s="110">
        <f>SUM(Q204:Q209)</f>
        <v>0</v>
      </c>
      <c r="R203" s="110">
        <f t="shared" ref="R203:AC203" si="84">SUM(R204:R209)</f>
        <v>0</v>
      </c>
      <c r="S203" s="110">
        <f t="shared" si="84"/>
        <v>0</v>
      </c>
      <c r="T203" s="110">
        <f t="shared" si="84"/>
        <v>0</v>
      </c>
      <c r="U203" s="110">
        <f t="shared" si="84"/>
        <v>0</v>
      </c>
      <c r="V203" s="110">
        <f t="shared" si="84"/>
        <v>0</v>
      </c>
      <c r="W203" s="110">
        <f t="shared" si="84"/>
        <v>0</v>
      </c>
      <c r="X203" s="110">
        <f t="shared" si="84"/>
        <v>0</v>
      </c>
      <c r="Y203" s="110">
        <f t="shared" si="84"/>
        <v>0</v>
      </c>
      <c r="Z203" s="110">
        <f t="shared" si="84"/>
        <v>0</v>
      </c>
      <c r="AA203" s="110">
        <f t="shared" si="84"/>
        <v>945248186</v>
      </c>
      <c r="AB203" s="110">
        <f t="shared" si="84"/>
        <v>0</v>
      </c>
      <c r="AC203" s="110">
        <f t="shared" si="84"/>
        <v>0</v>
      </c>
      <c r="AD203" s="110">
        <f>SUM(AD204:AD209)</f>
        <v>945248186</v>
      </c>
      <c r="AE203" s="110">
        <f>SUM(AE204:AE209)</f>
        <v>0</v>
      </c>
      <c r="AF203" s="544">
        <f>SUM(AF204:AF209)</f>
        <v>0</v>
      </c>
      <c r="AG203" s="23"/>
    </row>
    <row r="204" spans="1:89" ht="48.75" customHeight="1" x14ac:dyDescent="0.2">
      <c r="A204" s="103"/>
      <c r="B204" s="104"/>
      <c r="C204" s="104"/>
      <c r="D204" s="104"/>
      <c r="E204" s="111"/>
      <c r="F204" s="457"/>
      <c r="G204" s="193" t="s">
        <v>192</v>
      </c>
      <c r="H204" s="160" t="s">
        <v>552</v>
      </c>
      <c r="I204" s="193" t="s">
        <v>553</v>
      </c>
      <c r="J204" s="72" t="s">
        <v>554</v>
      </c>
      <c r="K204" s="220" t="s">
        <v>555</v>
      </c>
      <c r="L204" s="466" t="s">
        <v>57</v>
      </c>
      <c r="M204" s="470">
        <v>600</v>
      </c>
      <c r="N204" s="1523" t="s">
        <v>556</v>
      </c>
      <c r="O204" s="1503" t="s">
        <v>557</v>
      </c>
      <c r="P204" s="1503" t="s">
        <v>558</v>
      </c>
      <c r="Q204" s="118"/>
      <c r="R204" s="118"/>
      <c r="S204" s="118"/>
      <c r="T204" s="118"/>
      <c r="U204" s="118"/>
      <c r="V204" s="118"/>
      <c r="W204" s="118"/>
      <c r="X204" s="118"/>
      <c r="Y204" s="118"/>
      <c r="Z204" s="118"/>
      <c r="AA204" s="522">
        <f>200000000+20000000</f>
        <v>220000000</v>
      </c>
      <c r="AB204" s="218"/>
      <c r="AC204" s="218"/>
      <c r="AD204" s="218">
        <f t="shared" ref="AD204:AD209" si="85">SUM(Q204:AC204)</f>
        <v>220000000</v>
      </c>
      <c r="AE204" s="527" t="s">
        <v>439</v>
      </c>
      <c r="AF204" s="218" t="s">
        <v>440</v>
      </c>
      <c r="AG204" s="25"/>
    </row>
    <row r="205" spans="1:89" ht="53.25" customHeight="1" x14ac:dyDescent="0.2">
      <c r="A205" s="103"/>
      <c r="B205" s="104"/>
      <c r="C205" s="104"/>
      <c r="D205" s="104"/>
      <c r="E205" s="111"/>
      <c r="F205" s="457"/>
      <c r="G205" s="193" t="s">
        <v>192</v>
      </c>
      <c r="H205" s="160">
        <v>3202037</v>
      </c>
      <c r="I205" s="193" t="s">
        <v>559</v>
      </c>
      <c r="J205" s="72" t="s">
        <v>560</v>
      </c>
      <c r="K205" s="220" t="s">
        <v>561</v>
      </c>
      <c r="L205" s="466" t="s">
        <v>57</v>
      </c>
      <c r="M205" s="470">
        <v>40</v>
      </c>
      <c r="N205" s="1523"/>
      <c r="O205" s="1503"/>
      <c r="P205" s="1503"/>
      <c r="Q205" s="118"/>
      <c r="R205" s="118"/>
      <c r="S205" s="118"/>
      <c r="T205" s="118"/>
      <c r="U205" s="118"/>
      <c r="V205" s="118"/>
      <c r="W205" s="118"/>
      <c r="X205" s="118"/>
      <c r="Y205" s="118"/>
      <c r="Z205" s="118"/>
      <c r="AA205" s="523">
        <f>82575952+12672234</f>
        <v>95248186</v>
      </c>
      <c r="AB205" s="218"/>
      <c r="AC205" s="218"/>
      <c r="AD205" s="218">
        <f t="shared" si="85"/>
        <v>95248186</v>
      </c>
      <c r="AE205" s="527" t="s">
        <v>439</v>
      </c>
      <c r="AF205" s="218" t="s">
        <v>440</v>
      </c>
      <c r="AG205" s="25"/>
    </row>
    <row r="206" spans="1:89" ht="75" customHeight="1" x14ac:dyDescent="0.2">
      <c r="A206" s="103"/>
      <c r="B206" s="104"/>
      <c r="C206" s="104"/>
      <c r="D206" s="104"/>
      <c r="E206" s="111"/>
      <c r="F206" s="457"/>
      <c r="G206" s="193" t="s">
        <v>192</v>
      </c>
      <c r="H206" s="421">
        <v>3202037</v>
      </c>
      <c r="I206" s="193" t="s">
        <v>562</v>
      </c>
      <c r="J206" s="421">
        <v>320203700</v>
      </c>
      <c r="K206" s="220" t="s">
        <v>563</v>
      </c>
      <c r="L206" s="466" t="s">
        <v>57</v>
      </c>
      <c r="M206" s="470">
        <v>60</v>
      </c>
      <c r="N206" s="1523"/>
      <c r="O206" s="1503"/>
      <c r="P206" s="1503"/>
      <c r="Q206" s="118"/>
      <c r="R206" s="118"/>
      <c r="S206" s="118"/>
      <c r="T206" s="118"/>
      <c r="U206" s="118"/>
      <c r="V206" s="118"/>
      <c r="W206" s="118"/>
      <c r="X206" s="118"/>
      <c r="Y206" s="118"/>
      <c r="Z206" s="118"/>
      <c r="AA206" s="523">
        <f>400000000+20000000</f>
        <v>420000000</v>
      </c>
      <c r="AB206" s="218"/>
      <c r="AC206" s="218"/>
      <c r="AD206" s="218">
        <f t="shared" si="85"/>
        <v>420000000</v>
      </c>
      <c r="AE206" s="527" t="s">
        <v>439</v>
      </c>
      <c r="AF206" s="218" t="s">
        <v>440</v>
      </c>
      <c r="AG206" s="25"/>
    </row>
    <row r="207" spans="1:89" ht="85.5" customHeight="1" x14ac:dyDescent="0.2">
      <c r="A207" s="103"/>
      <c r="B207" s="104"/>
      <c r="C207" s="104"/>
      <c r="D207" s="104"/>
      <c r="E207" s="111"/>
      <c r="F207" s="457"/>
      <c r="G207" s="193" t="s">
        <v>192</v>
      </c>
      <c r="H207" s="153">
        <v>3202043</v>
      </c>
      <c r="I207" s="193" t="s">
        <v>564</v>
      </c>
      <c r="J207" s="157">
        <v>320204300</v>
      </c>
      <c r="K207" s="220" t="s">
        <v>565</v>
      </c>
      <c r="L207" s="466" t="s">
        <v>45</v>
      </c>
      <c r="M207" s="562">
        <v>1</v>
      </c>
      <c r="N207" s="1523"/>
      <c r="O207" s="1503"/>
      <c r="P207" s="1503"/>
      <c r="Q207" s="118"/>
      <c r="R207" s="118"/>
      <c r="S207" s="118"/>
      <c r="T207" s="118"/>
      <c r="U207" s="118"/>
      <c r="V207" s="118"/>
      <c r="W207" s="118"/>
      <c r="X207" s="118"/>
      <c r="Y207" s="118"/>
      <c r="Z207" s="118"/>
      <c r="AA207" s="523">
        <f>100000000+20000000</f>
        <v>120000000</v>
      </c>
      <c r="AB207" s="218"/>
      <c r="AC207" s="218"/>
      <c r="AD207" s="218">
        <f t="shared" si="85"/>
        <v>120000000</v>
      </c>
      <c r="AE207" s="527" t="s">
        <v>439</v>
      </c>
      <c r="AF207" s="218" t="s">
        <v>440</v>
      </c>
      <c r="AG207" s="25"/>
    </row>
    <row r="208" spans="1:89" ht="216.75" customHeight="1" x14ac:dyDescent="0.2">
      <c r="A208" s="103"/>
      <c r="B208" s="104"/>
      <c r="C208" s="104"/>
      <c r="D208" s="104"/>
      <c r="E208" s="111"/>
      <c r="F208" s="457"/>
      <c r="G208" s="193" t="s">
        <v>192</v>
      </c>
      <c r="H208" s="124" t="s">
        <v>137</v>
      </c>
      <c r="I208" s="193" t="s">
        <v>566</v>
      </c>
      <c r="J208" s="195" t="s">
        <v>137</v>
      </c>
      <c r="K208" s="220" t="s">
        <v>567</v>
      </c>
      <c r="L208" s="466" t="s">
        <v>45</v>
      </c>
      <c r="M208" s="563">
        <v>1</v>
      </c>
      <c r="N208" s="112" t="s">
        <v>568</v>
      </c>
      <c r="O208" s="192" t="s">
        <v>569</v>
      </c>
      <c r="P208" s="193" t="s">
        <v>570</v>
      </c>
      <c r="Q208" s="118"/>
      <c r="R208" s="118"/>
      <c r="S208" s="118"/>
      <c r="T208" s="118"/>
      <c r="U208" s="118"/>
      <c r="V208" s="118"/>
      <c r="W208" s="118"/>
      <c r="X208" s="118"/>
      <c r="Y208" s="118"/>
      <c r="Z208" s="118"/>
      <c r="AA208" s="218">
        <v>36000000</v>
      </c>
      <c r="AB208" s="218"/>
      <c r="AC208" s="218"/>
      <c r="AD208" s="218">
        <f t="shared" si="85"/>
        <v>36000000</v>
      </c>
      <c r="AE208" s="527" t="s">
        <v>439</v>
      </c>
      <c r="AF208" s="218" t="s">
        <v>440</v>
      </c>
      <c r="AG208" s="25"/>
    </row>
    <row r="209" spans="1:89" ht="204" customHeight="1" x14ac:dyDescent="0.2">
      <c r="A209" s="103"/>
      <c r="B209" s="104"/>
      <c r="C209" s="104"/>
      <c r="D209" s="104"/>
      <c r="E209" s="111"/>
      <c r="F209" s="457"/>
      <c r="G209" s="193" t="s">
        <v>192</v>
      </c>
      <c r="H209" s="115">
        <v>3202014</v>
      </c>
      <c r="I209" s="193" t="s">
        <v>571</v>
      </c>
      <c r="J209" s="115">
        <v>320201402</v>
      </c>
      <c r="K209" s="220" t="s">
        <v>572</v>
      </c>
      <c r="L209" s="401" t="s">
        <v>57</v>
      </c>
      <c r="M209" s="563">
        <v>1</v>
      </c>
      <c r="N209" s="112" t="s">
        <v>573</v>
      </c>
      <c r="O209" s="192" t="s">
        <v>574</v>
      </c>
      <c r="P209" s="193" t="s">
        <v>575</v>
      </c>
      <c r="Q209" s="118"/>
      <c r="R209" s="118"/>
      <c r="S209" s="118"/>
      <c r="T209" s="118"/>
      <c r="U209" s="118"/>
      <c r="V209" s="118"/>
      <c r="W209" s="118"/>
      <c r="X209" s="118"/>
      <c r="Y209" s="118"/>
      <c r="Z209" s="118"/>
      <c r="AA209" s="218">
        <v>54000000</v>
      </c>
      <c r="AB209" s="218"/>
      <c r="AC209" s="218"/>
      <c r="AD209" s="218">
        <f t="shared" si="85"/>
        <v>54000000</v>
      </c>
      <c r="AE209" s="527" t="s">
        <v>439</v>
      </c>
      <c r="AF209" s="218" t="s">
        <v>440</v>
      </c>
      <c r="AG209" s="25"/>
    </row>
    <row r="210" spans="1:89" ht="21.75" customHeight="1" x14ac:dyDescent="0.2">
      <c r="A210" s="103"/>
      <c r="B210" s="104"/>
      <c r="C210" s="104"/>
      <c r="D210" s="104"/>
      <c r="E210" s="74" t="s">
        <v>576</v>
      </c>
      <c r="F210" s="471" t="s">
        <v>577</v>
      </c>
      <c r="G210" s="473"/>
      <c r="H210" s="107"/>
      <c r="I210" s="487"/>
      <c r="J210" s="74"/>
      <c r="K210" s="70"/>
      <c r="L210" s="108"/>
      <c r="M210" s="74"/>
      <c r="N210" s="109"/>
      <c r="O210" s="70"/>
      <c r="P210" s="70"/>
      <c r="Q210" s="110">
        <f t="shared" ref="Q210:AC210" si="86">SUM(Q211:Q211)</f>
        <v>0</v>
      </c>
      <c r="R210" s="110">
        <f t="shared" si="86"/>
        <v>0</v>
      </c>
      <c r="S210" s="110">
        <f t="shared" si="86"/>
        <v>0</v>
      </c>
      <c r="T210" s="110">
        <f t="shared" si="86"/>
        <v>0</v>
      </c>
      <c r="U210" s="110">
        <f t="shared" si="86"/>
        <v>0</v>
      </c>
      <c r="V210" s="110">
        <f t="shared" si="86"/>
        <v>0</v>
      </c>
      <c r="W210" s="110">
        <f t="shared" si="86"/>
        <v>0</v>
      </c>
      <c r="X210" s="110">
        <f t="shared" si="86"/>
        <v>0</v>
      </c>
      <c r="Y210" s="110">
        <f t="shared" si="86"/>
        <v>0</v>
      </c>
      <c r="Z210" s="110">
        <f t="shared" si="86"/>
        <v>0</v>
      </c>
      <c r="AA210" s="110">
        <f>SUM(AA211:AA211)</f>
        <v>120000000</v>
      </c>
      <c r="AB210" s="110">
        <f t="shared" si="86"/>
        <v>0</v>
      </c>
      <c r="AC210" s="110">
        <f t="shared" si="86"/>
        <v>0</v>
      </c>
      <c r="AD210" s="110">
        <f>SUM(AD211:AD211)</f>
        <v>120000000</v>
      </c>
      <c r="AE210" s="110"/>
      <c r="AF210" s="544"/>
      <c r="AG210" s="23"/>
    </row>
    <row r="211" spans="1:89" ht="206.25" customHeight="1" x14ac:dyDescent="0.2">
      <c r="A211" s="103"/>
      <c r="B211" s="104"/>
      <c r="C211" s="104"/>
      <c r="D211" s="104"/>
      <c r="E211" s="111"/>
      <c r="F211" s="457"/>
      <c r="G211" s="193" t="s">
        <v>192</v>
      </c>
      <c r="H211" s="160">
        <v>3204012</v>
      </c>
      <c r="I211" s="193" t="s">
        <v>578</v>
      </c>
      <c r="J211" s="72" t="s">
        <v>579</v>
      </c>
      <c r="K211" s="220" t="s">
        <v>580</v>
      </c>
      <c r="L211" s="466" t="s">
        <v>57</v>
      </c>
      <c r="M211" s="470">
        <v>2</v>
      </c>
      <c r="N211" s="112" t="s">
        <v>581</v>
      </c>
      <c r="O211" s="192" t="s">
        <v>582</v>
      </c>
      <c r="P211" s="193" t="s">
        <v>583</v>
      </c>
      <c r="Q211" s="118"/>
      <c r="R211" s="118"/>
      <c r="S211" s="118"/>
      <c r="T211" s="118"/>
      <c r="U211" s="118"/>
      <c r="V211" s="118"/>
      <c r="W211" s="118"/>
      <c r="X211" s="118"/>
      <c r="Y211" s="118"/>
      <c r="Z211" s="118"/>
      <c r="AA211" s="218">
        <v>120000000</v>
      </c>
      <c r="AB211" s="218"/>
      <c r="AC211" s="218"/>
      <c r="AD211" s="218">
        <f>SUM(Q211:AC211)</f>
        <v>120000000</v>
      </c>
      <c r="AE211" s="527" t="s">
        <v>439</v>
      </c>
      <c r="AF211" s="218" t="s">
        <v>440</v>
      </c>
      <c r="AG211" s="25"/>
    </row>
    <row r="212" spans="1:89" ht="32.25" customHeight="1" x14ac:dyDescent="0.2">
      <c r="A212" s="103"/>
      <c r="B212" s="104"/>
      <c r="C212" s="104"/>
      <c r="D212" s="104"/>
      <c r="E212" s="74">
        <v>3205</v>
      </c>
      <c r="F212" s="471" t="s">
        <v>191</v>
      </c>
      <c r="G212" s="473"/>
      <c r="H212" s="107"/>
      <c r="I212" s="487"/>
      <c r="J212" s="74"/>
      <c r="K212" s="70"/>
      <c r="L212" s="108"/>
      <c r="M212" s="74"/>
      <c r="N212" s="109"/>
      <c r="O212" s="70"/>
      <c r="P212" s="70"/>
      <c r="Q212" s="110">
        <f>SUM(Q213:Q215)</f>
        <v>0</v>
      </c>
      <c r="R212" s="110">
        <f t="shared" ref="R212:AC212" si="87">SUM(R215:R215)</f>
        <v>0</v>
      </c>
      <c r="S212" s="110">
        <f t="shared" si="87"/>
        <v>0</v>
      </c>
      <c r="T212" s="110">
        <f t="shared" si="87"/>
        <v>0</v>
      </c>
      <c r="U212" s="110">
        <f t="shared" si="87"/>
        <v>0</v>
      </c>
      <c r="V212" s="110">
        <f t="shared" si="87"/>
        <v>0</v>
      </c>
      <c r="W212" s="110">
        <f t="shared" si="87"/>
        <v>0</v>
      </c>
      <c r="X212" s="110">
        <f t="shared" si="87"/>
        <v>0</v>
      </c>
      <c r="Y212" s="110">
        <f t="shared" si="87"/>
        <v>0</v>
      </c>
      <c r="Z212" s="110">
        <f t="shared" si="87"/>
        <v>0</v>
      </c>
      <c r="AA212" s="110">
        <f>SUM(AA213:AA215)</f>
        <v>82000000</v>
      </c>
      <c r="AB212" s="110">
        <f t="shared" si="87"/>
        <v>0</v>
      </c>
      <c r="AC212" s="110">
        <f t="shared" si="87"/>
        <v>0</v>
      </c>
      <c r="AD212" s="110">
        <f>SUM(AD213:AD215)</f>
        <v>82000000</v>
      </c>
      <c r="AE212" s="110"/>
      <c r="AF212" s="544"/>
      <c r="AG212" s="23"/>
    </row>
    <row r="213" spans="1:89" ht="63" customHeight="1" x14ac:dyDescent="0.2">
      <c r="A213" s="103"/>
      <c r="B213" s="104"/>
      <c r="C213" s="104"/>
      <c r="D213" s="104"/>
      <c r="E213" s="111"/>
      <c r="F213" s="457"/>
      <c r="G213" s="193" t="s">
        <v>192</v>
      </c>
      <c r="H213" s="160" t="s">
        <v>584</v>
      </c>
      <c r="I213" s="193" t="s">
        <v>585</v>
      </c>
      <c r="J213" s="461" t="s">
        <v>586</v>
      </c>
      <c r="K213" s="192" t="s">
        <v>587</v>
      </c>
      <c r="L213" s="461" t="s">
        <v>57</v>
      </c>
      <c r="M213" s="470">
        <v>200</v>
      </c>
      <c r="N213" s="1524" t="s">
        <v>588</v>
      </c>
      <c r="O213" s="1519" t="s">
        <v>602</v>
      </c>
      <c r="P213" s="1503" t="s">
        <v>590</v>
      </c>
      <c r="Q213" s="118"/>
      <c r="R213" s="118"/>
      <c r="S213" s="118"/>
      <c r="T213" s="118"/>
      <c r="U213" s="118"/>
      <c r="V213" s="118"/>
      <c r="W213" s="118"/>
      <c r="X213" s="118"/>
      <c r="Y213" s="118"/>
      <c r="Z213" s="118"/>
      <c r="AA213" s="218">
        <v>20000000</v>
      </c>
      <c r="AB213" s="218"/>
      <c r="AC213" s="218"/>
      <c r="AD213" s="218">
        <f>SUM(Q213:AC213)</f>
        <v>20000000</v>
      </c>
      <c r="AE213" s="527" t="s">
        <v>439</v>
      </c>
      <c r="AF213" s="218" t="s">
        <v>440</v>
      </c>
      <c r="AG213" s="25"/>
    </row>
    <row r="214" spans="1:89" ht="63" customHeight="1" x14ac:dyDescent="0.2">
      <c r="A214" s="103"/>
      <c r="B214" s="104"/>
      <c r="C214" s="104"/>
      <c r="D214" s="104"/>
      <c r="E214" s="111"/>
      <c r="F214" s="457"/>
      <c r="G214" s="193" t="s">
        <v>192</v>
      </c>
      <c r="H214" s="160" t="s">
        <v>591</v>
      </c>
      <c r="I214" s="193" t="s">
        <v>592</v>
      </c>
      <c r="J214" s="461" t="s">
        <v>593</v>
      </c>
      <c r="K214" s="192" t="s">
        <v>594</v>
      </c>
      <c r="L214" s="461" t="s">
        <v>57</v>
      </c>
      <c r="M214" s="470">
        <v>10</v>
      </c>
      <c r="N214" s="1524"/>
      <c r="O214" s="1519"/>
      <c r="P214" s="1503"/>
      <c r="Q214" s="118"/>
      <c r="R214" s="118"/>
      <c r="S214" s="118"/>
      <c r="T214" s="118"/>
      <c r="U214" s="118"/>
      <c r="V214" s="118"/>
      <c r="W214" s="118"/>
      <c r="X214" s="118"/>
      <c r="Y214" s="118"/>
      <c r="Z214" s="118"/>
      <c r="AA214" s="218">
        <v>20000000</v>
      </c>
      <c r="AB214" s="218"/>
      <c r="AC214" s="218"/>
      <c r="AD214" s="218">
        <f>SUM(Q214:AC214)</f>
        <v>20000000</v>
      </c>
      <c r="AE214" s="527" t="s">
        <v>439</v>
      </c>
      <c r="AF214" s="218" t="s">
        <v>440</v>
      </c>
      <c r="AG214" s="25"/>
    </row>
    <row r="215" spans="1:89" ht="79.5" customHeight="1" x14ac:dyDescent="0.2">
      <c r="A215" s="103"/>
      <c r="B215" s="104"/>
      <c r="C215" s="104"/>
      <c r="D215" s="104"/>
      <c r="E215" s="111"/>
      <c r="F215" s="457"/>
      <c r="G215" s="193" t="s">
        <v>192</v>
      </c>
      <c r="H215" s="160">
        <v>3205010</v>
      </c>
      <c r="I215" s="193" t="s">
        <v>193</v>
      </c>
      <c r="J215" s="461" t="s">
        <v>194</v>
      </c>
      <c r="K215" s="192" t="s">
        <v>195</v>
      </c>
      <c r="L215" s="461" t="s">
        <v>57</v>
      </c>
      <c r="M215" s="470">
        <v>1</v>
      </c>
      <c r="N215" s="1524"/>
      <c r="O215" s="1519"/>
      <c r="P215" s="1503"/>
      <c r="Q215" s="118"/>
      <c r="R215" s="118"/>
      <c r="S215" s="118"/>
      <c r="T215" s="118"/>
      <c r="U215" s="118"/>
      <c r="V215" s="118"/>
      <c r="W215" s="118"/>
      <c r="X215" s="118"/>
      <c r="Y215" s="118"/>
      <c r="Z215" s="118"/>
      <c r="AA215" s="218">
        <v>42000000</v>
      </c>
      <c r="AB215" s="218"/>
      <c r="AC215" s="218"/>
      <c r="AD215" s="218">
        <f>SUM(Q215:AC215)</f>
        <v>42000000</v>
      </c>
      <c r="AE215" s="527" t="s">
        <v>439</v>
      </c>
      <c r="AF215" s="218" t="s">
        <v>440</v>
      </c>
      <c r="AG215" s="25"/>
    </row>
    <row r="216" spans="1:89" ht="37.5" customHeight="1" x14ac:dyDescent="0.2">
      <c r="A216" s="103"/>
      <c r="B216" s="104"/>
      <c r="C216" s="104"/>
      <c r="D216" s="104"/>
      <c r="E216" s="74" t="s">
        <v>595</v>
      </c>
      <c r="F216" s="471" t="s">
        <v>596</v>
      </c>
      <c r="G216" s="473"/>
      <c r="H216" s="107"/>
      <c r="I216" s="487"/>
      <c r="J216" s="74"/>
      <c r="K216" s="70"/>
      <c r="L216" s="108"/>
      <c r="M216" s="74"/>
      <c r="N216" s="109"/>
      <c r="O216" s="70"/>
      <c r="P216" s="70"/>
      <c r="Q216" s="110">
        <f>SUM(Q217:Q219)</f>
        <v>0</v>
      </c>
      <c r="R216" s="110">
        <f t="shared" ref="R216:AD216" si="88">SUM(R217:R219)</f>
        <v>0</v>
      </c>
      <c r="S216" s="110">
        <f t="shared" si="88"/>
        <v>0</v>
      </c>
      <c r="T216" s="110">
        <f t="shared" si="88"/>
        <v>0</v>
      </c>
      <c r="U216" s="110">
        <f t="shared" si="88"/>
        <v>0</v>
      </c>
      <c r="V216" s="110">
        <f t="shared" si="88"/>
        <v>0</v>
      </c>
      <c r="W216" s="110">
        <f t="shared" si="88"/>
        <v>0</v>
      </c>
      <c r="X216" s="110">
        <f t="shared" si="88"/>
        <v>0</v>
      </c>
      <c r="Y216" s="110">
        <f t="shared" si="88"/>
        <v>0</v>
      </c>
      <c r="Z216" s="110">
        <f t="shared" si="88"/>
        <v>0</v>
      </c>
      <c r="AA216" s="110">
        <f t="shared" si="88"/>
        <v>118000000</v>
      </c>
      <c r="AB216" s="110">
        <f t="shared" si="88"/>
        <v>0</v>
      </c>
      <c r="AC216" s="110">
        <f t="shared" si="88"/>
        <v>0</v>
      </c>
      <c r="AD216" s="110">
        <f t="shared" si="88"/>
        <v>118000000</v>
      </c>
      <c r="AE216" s="110"/>
      <c r="AF216" s="544"/>
      <c r="AG216" s="23"/>
    </row>
    <row r="217" spans="1:89" ht="78" customHeight="1" x14ac:dyDescent="0.2">
      <c r="A217" s="103"/>
      <c r="B217" s="104"/>
      <c r="C217" s="104"/>
      <c r="D217" s="104"/>
      <c r="E217" s="111"/>
      <c r="F217" s="457"/>
      <c r="G217" s="193" t="s">
        <v>192</v>
      </c>
      <c r="H217" s="160" t="s">
        <v>597</v>
      </c>
      <c r="I217" s="193" t="s">
        <v>598</v>
      </c>
      <c r="J217" s="72" t="s">
        <v>599</v>
      </c>
      <c r="K217" s="220" t="s">
        <v>600</v>
      </c>
      <c r="L217" s="466" t="s">
        <v>57</v>
      </c>
      <c r="M217" s="470">
        <v>6</v>
      </c>
      <c r="N217" s="1523" t="s">
        <v>601</v>
      </c>
      <c r="O217" s="1519" t="s">
        <v>589</v>
      </c>
      <c r="P217" s="1503" t="s">
        <v>603</v>
      </c>
      <c r="Q217" s="118"/>
      <c r="R217" s="118"/>
      <c r="S217" s="118"/>
      <c r="T217" s="118"/>
      <c r="U217" s="118"/>
      <c r="V217" s="118"/>
      <c r="W217" s="118"/>
      <c r="X217" s="118"/>
      <c r="Y217" s="118"/>
      <c r="Z217" s="118"/>
      <c r="AA217" s="218">
        <v>25000000</v>
      </c>
      <c r="AB217" s="218"/>
      <c r="AC217" s="218"/>
      <c r="AD217" s="218">
        <f>SUM(Q217:AC217)</f>
        <v>25000000</v>
      </c>
      <c r="AE217" s="527" t="s">
        <v>439</v>
      </c>
      <c r="AF217" s="218" t="s">
        <v>440</v>
      </c>
      <c r="AG217" s="25"/>
    </row>
    <row r="218" spans="1:89" ht="78" customHeight="1" x14ac:dyDescent="0.2">
      <c r="A218" s="103"/>
      <c r="B218" s="104"/>
      <c r="C218" s="104"/>
      <c r="D218" s="104"/>
      <c r="E218" s="111"/>
      <c r="F218" s="457"/>
      <c r="G218" s="193" t="s">
        <v>192</v>
      </c>
      <c r="H218" s="160">
        <v>3206014</v>
      </c>
      <c r="I218" s="193" t="s">
        <v>604</v>
      </c>
      <c r="J218" s="72" t="s">
        <v>605</v>
      </c>
      <c r="K218" s="220" t="s">
        <v>606</v>
      </c>
      <c r="L218" s="466" t="s">
        <v>57</v>
      </c>
      <c r="M218" s="470">
        <v>1950</v>
      </c>
      <c r="N218" s="1523"/>
      <c r="O218" s="1519"/>
      <c r="P218" s="1503"/>
      <c r="Q218" s="118"/>
      <c r="R218" s="118"/>
      <c r="S218" s="118"/>
      <c r="T218" s="118"/>
      <c r="U218" s="118"/>
      <c r="V218" s="118"/>
      <c r="W218" s="118"/>
      <c r="X218" s="118"/>
      <c r="Y218" s="118"/>
      <c r="Z218" s="118"/>
      <c r="AA218" s="218">
        <v>18000000</v>
      </c>
      <c r="AB218" s="218"/>
      <c r="AC218" s="218"/>
      <c r="AD218" s="218">
        <f>SUM(Q218:AC218)</f>
        <v>18000000</v>
      </c>
      <c r="AE218" s="527" t="s">
        <v>439</v>
      </c>
      <c r="AF218" s="218" t="s">
        <v>440</v>
      </c>
      <c r="AG218" s="25"/>
    </row>
    <row r="219" spans="1:89" ht="78" customHeight="1" x14ac:dyDescent="0.2">
      <c r="A219" s="103"/>
      <c r="B219" s="104"/>
      <c r="C219" s="104"/>
      <c r="D219" s="104"/>
      <c r="E219" s="111"/>
      <c r="F219" s="457"/>
      <c r="G219" s="193" t="s">
        <v>192</v>
      </c>
      <c r="H219" s="160" t="s">
        <v>607</v>
      </c>
      <c r="I219" s="193" t="s">
        <v>608</v>
      </c>
      <c r="J219" s="72" t="s">
        <v>609</v>
      </c>
      <c r="K219" s="220" t="s">
        <v>610</v>
      </c>
      <c r="L219" s="466" t="s">
        <v>57</v>
      </c>
      <c r="M219" s="470">
        <v>20</v>
      </c>
      <c r="N219" s="1523"/>
      <c r="O219" s="1519"/>
      <c r="P219" s="1503"/>
      <c r="Q219" s="118"/>
      <c r="R219" s="118"/>
      <c r="S219" s="118"/>
      <c r="T219" s="118"/>
      <c r="U219" s="118"/>
      <c r="V219" s="118"/>
      <c r="W219" s="118"/>
      <c r="X219" s="118"/>
      <c r="Y219" s="118"/>
      <c r="Z219" s="118"/>
      <c r="AA219" s="218">
        <v>75000000</v>
      </c>
      <c r="AB219" s="218"/>
      <c r="AC219" s="218"/>
      <c r="AD219" s="218">
        <f>SUM(Q219:AC219)</f>
        <v>75000000</v>
      </c>
      <c r="AE219" s="527" t="s">
        <v>439</v>
      </c>
      <c r="AF219" s="218" t="s">
        <v>440</v>
      </c>
      <c r="AG219" s="25"/>
    </row>
    <row r="220" spans="1:89" s="442" customFormat="1" ht="27" customHeight="1" x14ac:dyDescent="0.2">
      <c r="A220" s="597"/>
      <c r="B220" s="598"/>
      <c r="C220" s="598"/>
      <c r="D220" s="598"/>
      <c r="E220" s="599"/>
      <c r="F220" s="600"/>
      <c r="G220" s="601"/>
      <c r="H220" s="599"/>
      <c r="I220" s="601"/>
      <c r="J220" s="602"/>
      <c r="K220" s="603"/>
      <c r="L220" s="600"/>
      <c r="M220" s="602"/>
      <c r="N220" s="600"/>
      <c r="O220" s="603"/>
      <c r="P220" s="603"/>
      <c r="Q220" s="597"/>
      <c r="R220" s="597"/>
      <c r="S220" s="597"/>
      <c r="T220" s="597"/>
      <c r="U220" s="597"/>
      <c r="V220" s="597"/>
      <c r="W220" s="648"/>
      <c r="X220" s="648"/>
      <c r="Y220" s="597"/>
      <c r="Z220" s="597"/>
      <c r="AA220" s="649"/>
      <c r="AB220" s="597"/>
      <c r="AC220" s="597"/>
      <c r="AD220" s="648"/>
      <c r="AE220" s="648"/>
      <c r="AF220" s="650"/>
      <c r="AG220" s="437"/>
      <c r="AH220" s="437"/>
      <c r="AI220" s="437"/>
      <c r="AJ220" s="437"/>
      <c r="AK220" s="437"/>
      <c r="AL220" s="437"/>
      <c r="AM220" s="437"/>
      <c r="AN220" s="437"/>
      <c r="AO220" s="437"/>
      <c r="AP220" s="437"/>
      <c r="AQ220" s="437"/>
      <c r="AR220" s="437"/>
      <c r="AS220" s="437"/>
      <c r="AT220" s="437"/>
      <c r="AU220" s="437"/>
      <c r="AV220" s="437"/>
      <c r="AW220" s="437"/>
      <c r="AX220" s="437"/>
      <c r="AY220" s="437"/>
      <c r="AZ220" s="437"/>
      <c r="BA220" s="437"/>
      <c r="BB220" s="437"/>
      <c r="BC220" s="437"/>
      <c r="BD220" s="437"/>
      <c r="BE220" s="437"/>
      <c r="BF220" s="437"/>
      <c r="BG220" s="437"/>
      <c r="BH220" s="437"/>
      <c r="BI220" s="437"/>
      <c r="BJ220" s="437"/>
      <c r="BK220" s="437"/>
      <c r="BL220" s="437"/>
      <c r="BM220" s="437"/>
      <c r="BN220" s="437"/>
      <c r="BO220" s="437"/>
      <c r="BP220" s="437"/>
      <c r="BQ220" s="437"/>
      <c r="BR220" s="437"/>
      <c r="BS220" s="437"/>
      <c r="BT220" s="437"/>
      <c r="BU220" s="437"/>
      <c r="BV220" s="437"/>
      <c r="BW220" s="437"/>
      <c r="BX220" s="437"/>
      <c r="BY220" s="437"/>
      <c r="BZ220" s="437"/>
      <c r="CA220" s="437"/>
      <c r="CB220" s="437"/>
      <c r="CC220" s="437"/>
      <c r="CD220" s="437"/>
      <c r="CE220" s="437"/>
      <c r="CF220" s="437"/>
      <c r="CG220" s="437"/>
      <c r="CH220" s="437"/>
      <c r="CI220" s="437"/>
      <c r="CJ220" s="437"/>
      <c r="CK220" s="437"/>
    </row>
    <row r="221" spans="1:89" ht="25.5" customHeight="1" x14ac:dyDescent="0.2">
      <c r="A221" s="86" t="s">
        <v>611</v>
      </c>
      <c r="B221" s="86"/>
      <c r="C221" s="86"/>
      <c r="D221" s="86"/>
      <c r="E221" s="87"/>
      <c r="F221" s="88"/>
      <c r="G221" s="89"/>
      <c r="H221" s="90"/>
      <c r="I221" s="89"/>
      <c r="J221" s="92"/>
      <c r="K221" s="91"/>
      <c r="L221" s="93"/>
      <c r="M221" s="92"/>
      <c r="N221" s="88"/>
      <c r="O221" s="91"/>
      <c r="P221" s="91"/>
      <c r="Q221" s="144">
        <f>Q222</f>
        <v>0</v>
      </c>
      <c r="R221" s="144">
        <f t="shared" ref="R221:AD222" si="89">R222</f>
        <v>0</v>
      </c>
      <c r="S221" s="144">
        <f t="shared" si="89"/>
        <v>0</v>
      </c>
      <c r="T221" s="144">
        <f t="shared" si="89"/>
        <v>0</v>
      </c>
      <c r="U221" s="144">
        <f t="shared" si="89"/>
        <v>0</v>
      </c>
      <c r="V221" s="144">
        <f t="shared" si="89"/>
        <v>0</v>
      </c>
      <c r="W221" s="144">
        <f t="shared" si="89"/>
        <v>0</v>
      </c>
      <c r="X221" s="144">
        <f t="shared" si="89"/>
        <v>0</v>
      </c>
      <c r="Y221" s="144">
        <f t="shared" si="89"/>
        <v>0</v>
      </c>
      <c r="Z221" s="144">
        <f t="shared" si="89"/>
        <v>0</v>
      </c>
      <c r="AA221" s="144">
        <f t="shared" si="89"/>
        <v>695000000</v>
      </c>
      <c r="AB221" s="144">
        <f t="shared" si="89"/>
        <v>0</v>
      </c>
      <c r="AC221" s="144">
        <f t="shared" si="89"/>
        <v>0</v>
      </c>
      <c r="AD221" s="144">
        <f t="shared" si="89"/>
        <v>695000000</v>
      </c>
      <c r="AE221" s="144"/>
      <c r="AF221" s="94"/>
      <c r="AG221" s="4">
        <v>695000000</v>
      </c>
    </row>
    <row r="222" spans="1:89" ht="24" customHeight="1" x14ac:dyDescent="0.2">
      <c r="A222" s="103"/>
      <c r="B222" s="99">
        <v>4</v>
      </c>
      <c r="C222" s="591" t="s">
        <v>39</v>
      </c>
      <c r="D222" s="96"/>
      <c r="E222" s="591"/>
      <c r="F222" s="365"/>
      <c r="G222" s="365"/>
      <c r="H222" s="97"/>
      <c r="I222" s="489"/>
      <c r="J222" s="99"/>
      <c r="K222" s="98"/>
      <c r="L222" s="100"/>
      <c r="M222" s="99"/>
      <c r="N222" s="101"/>
      <c r="O222" s="98"/>
      <c r="P222" s="98"/>
      <c r="Q222" s="102">
        <f>Q223</f>
        <v>0</v>
      </c>
      <c r="R222" s="102">
        <f t="shared" si="89"/>
        <v>0</v>
      </c>
      <c r="S222" s="102">
        <f t="shared" si="89"/>
        <v>0</v>
      </c>
      <c r="T222" s="102">
        <f t="shared" si="89"/>
        <v>0</v>
      </c>
      <c r="U222" s="102">
        <f t="shared" si="89"/>
        <v>0</v>
      </c>
      <c r="V222" s="102">
        <f t="shared" si="89"/>
        <v>0</v>
      </c>
      <c r="W222" s="102">
        <f t="shared" si="89"/>
        <v>0</v>
      </c>
      <c r="X222" s="102">
        <f t="shared" si="89"/>
        <v>0</v>
      </c>
      <c r="Y222" s="102">
        <f t="shared" si="89"/>
        <v>0</v>
      </c>
      <c r="Z222" s="102">
        <f t="shared" si="89"/>
        <v>0</v>
      </c>
      <c r="AA222" s="102">
        <f t="shared" si="89"/>
        <v>695000000</v>
      </c>
      <c r="AB222" s="102">
        <f t="shared" si="89"/>
        <v>0</v>
      </c>
      <c r="AC222" s="102">
        <f t="shared" si="89"/>
        <v>0</v>
      </c>
      <c r="AD222" s="102">
        <f t="shared" si="89"/>
        <v>695000000</v>
      </c>
      <c r="AE222" s="102"/>
      <c r="AF222" s="543"/>
    </row>
    <row r="223" spans="1:89" s="9" customFormat="1" ht="27.75" customHeight="1" x14ac:dyDescent="0.25">
      <c r="A223" s="95"/>
      <c r="B223" s="576"/>
      <c r="C223" s="593">
        <v>45</v>
      </c>
      <c r="D223" s="578" t="s">
        <v>1302</v>
      </c>
      <c r="E223" s="592"/>
      <c r="F223" s="579"/>
      <c r="G223" s="580"/>
      <c r="H223" s="581"/>
      <c r="I223" s="582"/>
      <c r="J223" s="583"/>
      <c r="K223" s="584"/>
      <c r="L223" s="585"/>
      <c r="M223" s="583"/>
      <c r="N223" s="587"/>
      <c r="O223" s="588"/>
      <c r="P223" s="588"/>
      <c r="Q223" s="589">
        <f>Q224+Q227</f>
        <v>0</v>
      </c>
      <c r="R223" s="589">
        <f t="shared" ref="R223:AC223" si="90">R224+R227</f>
        <v>0</v>
      </c>
      <c r="S223" s="589">
        <f t="shared" si="90"/>
        <v>0</v>
      </c>
      <c r="T223" s="589">
        <f t="shared" si="90"/>
        <v>0</v>
      </c>
      <c r="U223" s="589">
        <f t="shared" si="90"/>
        <v>0</v>
      </c>
      <c r="V223" s="589">
        <f t="shared" si="90"/>
        <v>0</v>
      </c>
      <c r="W223" s="589">
        <f t="shared" si="90"/>
        <v>0</v>
      </c>
      <c r="X223" s="589">
        <f t="shared" si="90"/>
        <v>0</v>
      </c>
      <c r="Y223" s="589">
        <f t="shared" si="90"/>
        <v>0</v>
      </c>
      <c r="Z223" s="589">
        <f t="shared" si="90"/>
        <v>0</v>
      </c>
      <c r="AA223" s="589">
        <f t="shared" si="90"/>
        <v>695000000</v>
      </c>
      <c r="AB223" s="589">
        <f t="shared" si="90"/>
        <v>0</v>
      </c>
      <c r="AC223" s="589">
        <f t="shared" si="90"/>
        <v>0</v>
      </c>
      <c r="AD223" s="589">
        <f>AD224+AD227</f>
        <v>695000000</v>
      </c>
      <c r="AE223" s="589"/>
      <c r="AF223" s="590"/>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row>
    <row r="224" spans="1:89" s="9" customFormat="1" ht="28.5" customHeight="1" x14ac:dyDescent="0.25">
      <c r="A224" s="95"/>
      <c r="B224" s="104"/>
      <c r="C224" s="104"/>
      <c r="D224" s="104"/>
      <c r="E224" s="74">
        <v>4599</v>
      </c>
      <c r="F224" s="471" t="s">
        <v>612</v>
      </c>
      <c r="G224" s="473"/>
      <c r="H224" s="229"/>
      <c r="I224" s="504"/>
      <c r="J224" s="105"/>
      <c r="K224" s="106"/>
      <c r="L224" s="108"/>
      <c r="M224" s="105"/>
      <c r="N224" s="109"/>
      <c r="O224" s="70"/>
      <c r="P224" s="70"/>
      <c r="Q224" s="110">
        <f>SUM(Q225:Q226)</f>
        <v>0</v>
      </c>
      <c r="R224" s="110">
        <f t="shared" ref="R224:AD224" si="91">SUM(R225:R226)</f>
        <v>0</v>
      </c>
      <c r="S224" s="110">
        <f t="shared" si="91"/>
        <v>0</v>
      </c>
      <c r="T224" s="110">
        <f t="shared" si="91"/>
        <v>0</v>
      </c>
      <c r="U224" s="110">
        <f t="shared" si="91"/>
        <v>0</v>
      </c>
      <c r="V224" s="110">
        <f t="shared" si="91"/>
        <v>0</v>
      </c>
      <c r="W224" s="110">
        <f t="shared" si="91"/>
        <v>0</v>
      </c>
      <c r="X224" s="110">
        <f t="shared" si="91"/>
        <v>0</v>
      </c>
      <c r="Y224" s="110">
        <f t="shared" si="91"/>
        <v>0</v>
      </c>
      <c r="Z224" s="110">
        <f t="shared" si="91"/>
        <v>0</v>
      </c>
      <c r="AA224" s="110">
        <f t="shared" si="91"/>
        <v>550000000</v>
      </c>
      <c r="AB224" s="110">
        <f t="shared" si="91"/>
        <v>0</v>
      </c>
      <c r="AC224" s="110">
        <f t="shared" si="91"/>
        <v>0</v>
      </c>
      <c r="AD224" s="110">
        <f t="shared" si="91"/>
        <v>550000000</v>
      </c>
      <c r="AE224" s="110"/>
      <c r="AF224" s="544"/>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row>
    <row r="225" spans="1:89" ht="222" customHeight="1" x14ac:dyDescent="0.2">
      <c r="A225" s="103"/>
      <c r="B225" s="104"/>
      <c r="C225" s="104"/>
      <c r="D225" s="104"/>
      <c r="E225" s="111"/>
      <c r="F225" s="457"/>
      <c r="G225" s="140" t="s">
        <v>42</v>
      </c>
      <c r="H225" s="135">
        <v>4599019</v>
      </c>
      <c r="I225" s="193" t="s">
        <v>613</v>
      </c>
      <c r="J225" s="230">
        <v>459901902</v>
      </c>
      <c r="K225" s="126" t="s">
        <v>614</v>
      </c>
      <c r="L225" s="231" t="s">
        <v>45</v>
      </c>
      <c r="M225" s="232">
        <v>1</v>
      </c>
      <c r="N225" s="454" t="s">
        <v>615</v>
      </c>
      <c r="O225" s="882" t="s">
        <v>2342</v>
      </c>
      <c r="P225" s="486" t="s">
        <v>616</v>
      </c>
      <c r="Q225" s="118"/>
      <c r="R225" s="118"/>
      <c r="S225" s="118"/>
      <c r="T225" s="118"/>
      <c r="U225" s="118"/>
      <c r="V225" s="118"/>
      <c r="W225" s="118"/>
      <c r="X225" s="118"/>
      <c r="Y225" s="118"/>
      <c r="Z225" s="118"/>
      <c r="AA225" s="150">
        <v>250000000</v>
      </c>
      <c r="AB225" s="118"/>
      <c r="AC225" s="118"/>
      <c r="AD225" s="120">
        <f>+Q225+R225+S225+T225+U225+V225+W225+X225+Y225+Z225+AA225+AB225+AC225</f>
        <v>250000000</v>
      </c>
      <c r="AE225" s="120" t="s">
        <v>617</v>
      </c>
      <c r="AF225" s="546" t="s">
        <v>618</v>
      </c>
      <c r="AG225" s="1"/>
    </row>
    <row r="226" spans="1:89" ht="193.5" customHeight="1" x14ac:dyDescent="0.2">
      <c r="A226" s="103"/>
      <c r="B226" s="104"/>
      <c r="C226" s="104"/>
      <c r="D226" s="104"/>
      <c r="E226" s="111"/>
      <c r="F226" s="462"/>
      <c r="G226" s="140" t="s">
        <v>42</v>
      </c>
      <c r="H226" s="135">
        <v>4599018</v>
      </c>
      <c r="I226" s="193" t="s">
        <v>619</v>
      </c>
      <c r="J226" s="230">
        <v>459901800</v>
      </c>
      <c r="K226" s="126" t="s">
        <v>620</v>
      </c>
      <c r="L226" s="231" t="s">
        <v>45</v>
      </c>
      <c r="M226" s="232">
        <v>1</v>
      </c>
      <c r="N226" s="454" t="s">
        <v>621</v>
      </c>
      <c r="O226" s="192" t="s">
        <v>622</v>
      </c>
      <c r="P226" s="193" t="s">
        <v>623</v>
      </c>
      <c r="Q226" s="118"/>
      <c r="R226" s="118"/>
      <c r="S226" s="118"/>
      <c r="T226" s="118"/>
      <c r="U226" s="118"/>
      <c r="V226" s="118"/>
      <c r="W226" s="118"/>
      <c r="X226" s="118"/>
      <c r="Y226" s="118"/>
      <c r="Z226" s="118"/>
      <c r="AA226" s="150">
        <v>300000000</v>
      </c>
      <c r="AB226" s="118"/>
      <c r="AC226" s="118"/>
      <c r="AD226" s="120">
        <f>+Q226+R226+S226+T226+U226+V226+W226+X226+Y226+Z226+AA226+AB226+AC226</f>
        <v>300000000</v>
      </c>
      <c r="AE226" s="120" t="s">
        <v>617</v>
      </c>
      <c r="AF226" s="546" t="s">
        <v>618</v>
      </c>
      <c r="AG226" s="1"/>
    </row>
    <row r="227" spans="1:89" ht="28.5" customHeight="1" x14ac:dyDescent="0.2">
      <c r="A227" s="103"/>
      <c r="B227" s="104"/>
      <c r="C227" s="104"/>
      <c r="D227" s="104"/>
      <c r="E227" s="74">
        <v>4502</v>
      </c>
      <c r="F227" s="471" t="s">
        <v>61</v>
      </c>
      <c r="G227" s="473"/>
      <c r="H227" s="107"/>
      <c r="I227" s="487"/>
      <c r="J227" s="74"/>
      <c r="K227" s="70"/>
      <c r="L227" s="108"/>
      <c r="M227" s="74"/>
      <c r="N227" s="109"/>
      <c r="O227" s="70"/>
      <c r="P227" s="70"/>
      <c r="Q227" s="110">
        <f>SUM(Q228)</f>
        <v>0</v>
      </c>
      <c r="R227" s="110">
        <f t="shared" ref="R227:AD227" si="92">SUM(R228)</f>
        <v>0</v>
      </c>
      <c r="S227" s="110">
        <f t="shared" si="92"/>
        <v>0</v>
      </c>
      <c r="T227" s="110">
        <f t="shared" si="92"/>
        <v>0</v>
      </c>
      <c r="U227" s="110">
        <f t="shared" si="92"/>
        <v>0</v>
      </c>
      <c r="V227" s="110">
        <f t="shared" si="92"/>
        <v>0</v>
      </c>
      <c r="W227" s="110">
        <f t="shared" si="92"/>
        <v>0</v>
      </c>
      <c r="X227" s="110">
        <f t="shared" si="92"/>
        <v>0</v>
      </c>
      <c r="Y227" s="110">
        <f t="shared" si="92"/>
        <v>0</v>
      </c>
      <c r="Z227" s="110">
        <f t="shared" si="92"/>
        <v>0</v>
      </c>
      <c r="AA227" s="110">
        <f t="shared" si="92"/>
        <v>145000000</v>
      </c>
      <c r="AB227" s="110">
        <f t="shared" si="92"/>
        <v>0</v>
      </c>
      <c r="AC227" s="110">
        <f t="shared" si="92"/>
        <v>0</v>
      </c>
      <c r="AD227" s="110">
        <f t="shared" si="92"/>
        <v>145000000</v>
      </c>
      <c r="AE227" s="110"/>
      <c r="AF227" s="544"/>
    </row>
    <row r="228" spans="1:89" ht="191.25" customHeight="1" x14ac:dyDescent="0.2">
      <c r="A228" s="103"/>
      <c r="B228" s="104"/>
      <c r="C228" s="104"/>
      <c r="D228" s="104"/>
      <c r="E228" s="111"/>
      <c r="F228" s="233"/>
      <c r="G228" s="193" t="s">
        <v>62</v>
      </c>
      <c r="H228" s="167">
        <v>4502001</v>
      </c>
      <c r="I228" s="140" t="s">
        <v>624</v>
      </c>
      <c r="J228" s="167">
        <v>450200100</v>
      </c>
      <c r="K228" s="126" t="s">
        <v>625</v>
      </c>
      <c r="L228" s="231" t="s">
        <v>45</v>
      </c>
      <c r="M228" s="460">
        <v>30</v>
      </c>
      <c r="N228" s="469" t="s">
        <v>626</v>
      </c>
      <c r="O228" s="199" t="s">
        <v>627</v>
      </c>
      <c r="P228" s="140" t="s">
        <v>628</v>
      </c>
      <c r="Q228" s="227"/>
      <c r="R228" s="227"/>
      <c r="S228" s="227"/>
      <c r="T228" s="227"/>
      <c r="U228" s="227"/>
      <c r="V228" s="227"/>
      <c r="W228" s="227"/>
      <c r="X228" s="227"/>
      <c r="Y228" s="227"/>
      <c r="Z228" s="227"/>
      <c r="AA228" s="234">
        <v>145000000</v>
      </c>
      <c r="AB228" s="227"/>
      <c r="AC228" s="227"/>
      <c r="AD228" s="120">
        <f>+Q228+R228+S228+T228+U228+V228+W228+X228+Y228+Z228+AA228+AB228+AC228</f>
        <v>145000000</v>
      </c>
      <c r="AE228" s="120" t="s">
        <v>617</v>
      </c>
      <c r="AF228" s="546" t="s">
        <v>618</v>
      </c>
      <c r="AG228" s="1"/>
    </row>
    <row r="229" spans="1:89" s="442" customFormat="1" ht="24" customHeight="1" x14ac:dyDescent="0.2">
      <c r="A229" s="597"/>
      <c r="B229" s="598"/>
      <c r="C229" s="598"/>
      <c r="D229" s="598"/>
      <c r="E229" s="599"/>
      <c r="F229" s="600"/>
      <c r="G229" s="601"/>
      <c r="H229" s="599"/>
      <c r="I229" s="601"/>
      <c r="J229" s="602"/>
      <c r="K229" s="603"/>
      <c r="L229" s="600"/>
      <c r="M229" s="602"/>
      <c r="N229" s="600"/>
      <c r="O229" s="603"/>
      <c r="P229" s="603"/>
      <c r="Q229" s="597"/>
      <c r="R229" s="597"/>
      <c r="S229" s="597"/>
      <c r="T229" s="597"/>
      <c r="U229" s="597"/>
      <c r="V229" s="597"/>
      <c r="W229" s="651"/>
      <c r="X229" s="651"/>
      <c r="Y229" s="597"/>
      <c r="Z229" s="597"/>
      <c r="AA229" s="649"/>
      <c r="AB229" s="597"/>
      <c r="AC229" s="597" t="s">
        <v>41</v>
      </c>
      <c r="AD229" s="648" t="s">
        <v>41</v>
      </c>
      <c r="AE229" s="648" t="s">
        <v>41</v>
      </c>
      <c r="AF229" s="650"/>
      <c r="AG229" s="437"/>
      <c r="AH229" s="437"/>
      <c r="AI229" s="437"/>
      <c r="AJ229" s="437"/>
      <c r="AK229" s="437"/>
      <c r="AL229" s="437"/>
      <c r="AM229" s="437"/>
      <c r="AN229" s="437"/>
      <c r="AO229" s="437"/>
      <c r="AP229" s="437"/>
      <c r="AQ229" s="437"/>
      <c r="AR229" s="437"/>
      <c r="AS229" s="437"/>
      <c r="AT229" s="437"/>
      <c r="AU229" s="437"/>
      <c r="AV229" s="437"/>
      <c r="AW229" s="437"/>
      <c r="AX229" s="437"/>
      <c r="AY229" s="437"/>
      <c r="AZ229" s="437"/>
      <c r="BA229" s="437"/>
      <c r="BB229" s="437"/>
      <c r="BC229" s="437"/>
      <c r="BD229" s="437"/>
      <c r="BE229" s="437"/>
      <c r="BF229" s="437"/>
      <c r="BG229" s="437"/>
      <c r="BH229" s="437"/>
      <c r="BI229" s="437"/>
      <c r="BJ229" s="437"/>
      <c r="BK229" s="437"/>
      <c r="BL229" s="437"/>
      <c r="BM229" s="437"/>
      <c r="BN229" s="437"/>
      <c r="BO229" s="437"/>
      <c r="BP229" s="437"/>
      <c r="BQ229" s="437"/>
      <c r="BR229" s="437"/>
      <c r="BS229" s="437"/>
      <c r="BT229" s="437"/>
      <c r="BU229" s="437"/>
      <c r="BV229" s="437"/>
      <c r="BW229" s="437"/>
      <c r="BX229" s="437"/>
      <c r="BY229" s="437"/>
      <c r="BZ229" s="437"/>
      <c r="CA229" s="437"/>
      <c r="CB229" s="437"/>
      <c r="CC229" s="437"/>
      <c r="CD229" s="437"/>
      <c r="CE229" s="437"/>
      <c r="CF229" s="437"/>
      <c r="CG229" s="437"/>
      <c r="CH229" s="437"/>
      <c r="CI229" s="437"/>
      <c r="CJ229" s="437"/>
      <c r="CK229" s="437"/>
    </row>
    <row r="230" spans="1:89" ht="38.25" customHeight="1" x14ac:dyDescent="0.2">
      <c r="A230" s="86" t="s">
        <v>629</v>
      </c>
      <c r="B230" s="86"/>
      <c r="C230" s="86"/>
      <c r="D230" s="86"/>
      <c r="E230" s="87"/>
      <c r="F230" s="88"/>
      <c r="G230" s="89"/>
      <c r="H230" s="90"/>
      <c r="I230" s="89"/>
      <c r="J230" s="92"/>
      <c r="K230" s="91"/>
      <c r="L230" s="93"/>
      <c r="M230" s="92"/>
      <c r="N230" s="88"/>
      <c r="O230" s="91"/>
      <c r="P230" s="91"/>
      <c r="Q230" s="144">
        <f t="shared" ref="Q230:AD230" si="93">Q231+Q270</f>
        <v>0</v>
      </c>
      <c r="R230" s="144">
        <f t="shared" si="93"/>
        <v>0</v>
      </c>
      <c r="S230" s="144">
        <f t="shared" si="93"/>
        <v>0</v>
      </c>
      <c r="T230" s="144">
        <f t="shared" si="93"/>
        <v>1704977490</v>
      </c>
      <c r="U230" s="144">
        <f t="shared" si="93"/>
        <v>0</v>
      </c>
      <c r="V230" s="144">
        <f t="shared" si="93"/>
        <v>0</v>
      </c>
      <c r="W230" s="144">
        <f t="shared" si="93"/>
        <v>143885000000</v>
      </c>
      <c r="X230" s="144">
        <f t="shared" si="93"/>
        <v>25145000000</v>
      </c>
      <c r="Y230" s="144">
        <f t="shared" si="93"/>
        <v>12990000000</v>
      </c>
      <c r="Z230" s="144">
        <f t="shared" si="93"/>
        <v>0</v>
      </c>
      <c r="AA230" s="144">
        <f t="shared" si="93"/>
        <v>5008147242</v>
      </c>
      <c r="AB230" s="144">
        <f t="shared" si="93"/>
        <v>0</v>
      </c>
      <c r="AC230" s="144">
        <f t="shared" si="93"/>
        <v>0</v>
      </c>
      <c r="AD230" s="144">
        <f t="shared" si="93"/>
        <v>188733124732</v>
      </c>
      <c r="AE230" s="144" t="s">
        <v>41</v>
      </c>
      <c r="AF230" s="94"/>
      <c r="AG230" s="1">
        <v>188733124732</v>
      </c>
    </row>
    <row r="231" spans="1:89" ht="27.75" customHeight="1" x14ac:dyDescent="0.2">
      <c r="A231" s="103"/>
      <c r="B231" s="99">
        <v>1</v>
      </c>
      <c r="C231" s="365" t="s">
        <v>134</v>
      </c>
      <c r="D231" s="96"/>
      <c r="E231" s="365"/>
      <c r="F231" s="365"/>
      <c r="G231" s="365"/>
      <c r="H231" s="97"/>
      <c r="I231" s="489"/>
      <c r="J231" s="99"/>
      <c r="K231" s="98"/>
      <c r="L231" s="100"/>
      <c r="M231" s="99"/>
      <c r="N231" s="101"/>
      <c r="O231" s="98"/>
      <c r="P231" s="98"/>
      <c r="Q231" s="102">
        <f>Q232</f>
        <v>0</v>
      </c>
      <c r="R231" s="102">
        <f t="shared" ref="R231:AC231" si="94">R232</f>
        <v>0</v>
      </c>
      <c r="S231" s="102">
        <f t="shared" si="94"/>
        <v>0</v>
      </c>
      <c r="T231" s="102">
        <f t="shared" si="94"/>
        <v>1704977490</v>
      </c>
      <c r="U231" s="102">
        <f t="shared" si="94"/>
        <v>0</v>
      </c>
      <c r="V231" s="102">
        <f t="shared" si="94"/>
        <v>0</v>
      </c>
      <c r="W231" s="102">
        <f t="shared" si="94"/>
        <v>143885000000</v>
      </c>
      <c r="X231" s="102">
        <f t="shared" si="94"/>
        <v>25145000000</v>
      </c>
      <c r="Y231" s="102">
        <f t="shared" si="94"/>
        <v>12990000000</v>
      </c>
      <c r="Z231" s="102">
        <f t="shared" si="94"/>
        <v>0</v>
      </c>
      <c r="AA231" s="102">
        <f t="shared" si="94"/>
        <v>5000647242</v>
      </c>
      <c r="AB231" s="102">
        <f t="shared" si="94"/>
        <v>0</v>
      </c>
      <c r="AC231" s="102">
        <f t="shared" si="94"/>
        <v>0</v>
      </c>
      <c r="AD231" s="102">
        <f>AD232</f>
        <v>188725624732</v>
      </c>
      <c r="AE231" s="102">
        <f>AE233+AE268</f>
        <v>0</v>
      </c>
      <c r="AF231" s="543"/>
      <c r="AG231" s="1"/>
    </row>
    <row r="232" spans="1:89" s="9" customFormat="1" ht="27.75" customHeight="1" x14ac:dyDescent="0.25">
      <c r="A232" s="95"/>
      <c r="B232" s="576"/>
      <c r="C232" s="593">
        <v>22</v>
      </c>
      <c r="D232" s="578" t="s">
        <v>266</v>
      </c>
      <c r="E232" s="592"/>
      <c r="F232" s="579"/>
      <c r="G232" s="580"/>
      <c r="H232" s="581"/>
      <c r="I232" s="582"/>
      <c r="J232" s="583"/>
      <c r="K232" s="584"/>
      <c r="L232" s="585"/>
      <c r="M232" s="583"/>
      <c r="N232" s="587"/>
      <c r="O232" s="588"/>
      <c r="P232" s="588"/>
      <c r="Q232" s="589">
        <f t="shared" ref="Q232:AD232" si="95">Q233+Q268</f>
        <v>0</v>
      </c>
      <c r="R232" s="589">
        <f t="shared" si="95"/>
        <v>0</v>
      </c>
      <c r="S232" s="589">
        <f t="shared" si="95"/>
        <v>0</v>
      </c>
      <c r="T232" s="589">
        <f t="shared" si="95"/>
        <v>1704977490</v>
      </c>
      <c r="U232" s="589">
        <f t="shared" si="95"/>
        <v>0</v>
      </c>
      <c r="V232" s="589">
        <f t="shared" si="95"/>
        <v>0</v>
      </c>
      <c r="W232" s="589">
        <f t="shared" si="95"/>
        <v>143885000000</v>
      </c>
      <c r="X232" s="589">
        <f t="shared" si="95"/>
        <v>25145000000</v>
      </c>
      <c r="Y232" s="589">
        <f t="shared" si="95"/>
        <v>12990000000</v>
      </c>
      <c r="Z232" s="589">
        <f t="shared" si="95"/>
        <v>0</v>
      </c>
      <c r="AA232" s="589">
        <f t="shared" si="95"/>
        <v>5000647242</v>
      </c>
      <c r="AB232" s="589">
        <f t="shared" si="95"/>
        <v>0</v>
      </c>
      <c r="AC232" s="589">
        <f t="shared" si="95"/>
        <v>0</v>
      </c>
      <c r="AD232" s="589">
        <f t="shared" si="95"/>
        <v>188725624732</v>
      </c>
      <c r="AE232" s="589"/>
      <c r="AF232" s="590"/>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row>
    <row r="233" spans="1:89" ht="30.75" customHeight="1" x14ac:dyDescent="0.2">
      <c r="A233" s="103"/>
      <c r="B233" s="104"/>
      <c r="C233" s="104"/>
      <c r="D233" s="104"/>
      <c r="E233" s="105">
        <v>2201</v>
      </c>
      <c r="F233" s="471" t="s">
        <v>152</v>
      </c>
      <c r="G233" s="473"/>
      <c r="H233" s="107"/>
      <c r="I233" s="487"/>
      <c r="J233" s="74"/>
      <c r="K233" s="70"/>
      <c r="L233" s="108"/>
      <c r="M233" s="74"/>
      <c r="N233" s="109"/>
      <c r="O233" s="70"/>
      <c r="P233" s="70"/>
      <c r="Q233" s="110">
        <f t="shared" ref="Q233:AE233" si="96">SUM(Q234:Q267)</f>
        <v>0</v>
      </c>
      <c r="R233" s="110">
        <f t="shared" si="96"/>
        <v>0</v>
      </c>
      <c r="S233" s="110">
        <f t="shared" si="96"/>
        <v>0</v>
      </c>
      <c r="T233" s="110">
        <f t="shared" si="96"/>
        <v>1704977490</v>
      </c>
      <c r="U233" s="110">
        <f t="shared" si="96"/>
        <v>0</v>
      </c>
      <c r="V233" s="110">
        <f t="shared" si="96"/>
        <v>0</v>
      </c>
      <c r="W233" s="110">
        <f t="shared" si="96"/>
        <v>143885000000</v>
      </c>
      <c r="X233" s="110">
        <f t="shared" si="96"/>
        <v>25145000000</v>
      </c>
      <c r="Y233" s="110">
        <f t="shared" si="96"/>
        <v>12990000000</v>
      </c>
      <c r="Z233" s="110">
        <f t="shared" si="96"/>
        <v>0</v>
      </c>
      <c r="AA233" s="110">
        <f t="shared" si="96"/>
        <v>2900647242</v>
      </c>
      <c r="AB233" s="110">
        <f t="shared" si="96"/>
        <v>0</v>
      </c>
      <c r="AC233" s="110">
        <f t="shared" si="96"/>
        <v>0</v>
      </c>
      <c r="AD233" s="110">
        <f t="shared" si="96"/>
        <v>186625624732</v>
      </c>
      <c r="AE233" s="110">
        <f t="shared" si="96"/>
        <v>0</v>
      </c>
      <c r="AF233" s="544"/>
      <c r="AG233" s="1"/>
    </row>
    <row r="234" spans="1:89" ht="91.5" customHeight="1" x14ac:dyDescent="0.2">
      <c r="A234" s="103"/>
      <c r="B234" s="104"/>
      <c r="C234" s="104"/>
      <c r="D234" s="104"/>
      <c r="E234" s="111"/>
      <c r="F234" s="457"/>
      <c r="G234" s="193" t="s">
        <v>630</v>
      </c>
      <c r="H234" s="135">
        <v>2201033</v>
      </c>
      <c r="I234" s="205" t="s">
        <v>631</v>
      </c>
      <c r="J234" s="235">
        <v>220103300</v>
      </c>
      <c r="K234" s="228" t="s">
        <v>632</v>
      </c>
      <c r="L234" s="466" t="s">
        <v>57</v>
      </c>
      <c r="M234" s="470">
        <v>9000</v>
      </c>
      <c r="N234" s="1523" t="s">
        <v>633</v>
      </c>
      <c r="O234" s="1535" t="s">
        <v>634</v>
      </c>
      <c r="P234" s="1525" t="s">
        <v>635</v>
      </c>
      <c r="Q234" s="118"/>
      <c r="R234" s="118"/>
      <c r="S234" s="118"/>
      <c r="T234" s="118"/>
      <c r="U234" s="118"/>
      <c r="V234" s="329"/>
      <c r="W234" s="118"/>
      <c r="X234" s="118"/>
      <c r="Y234" s="352"/>
      <c r="Z234" s="118"/>
      <c r="AA234" s="236">
        <f>18000000</f>
        <v>18000000</v>
      </c>
      <c r="AB234" s="118"/>
      <c r="AC234" s="118"/>
      <c r="AD234" s="120">
        <f t="shared" ref="AD234:AD255" si="97">+Q234+R234+S234+T234+U234+V234+W234+X234+Y234+Z234+AA234+AB234+AC234</f>
        <v>18000000</v>
      </c>
      <c r="AE234" s="120" t="s">
        <v>636</v>
      </c>
      <c r="AF234" s="546" t="s">
        <v>637</v>
      </c>
      <c r="AG234" s="1"/>
    </row>
    <row r="235" spans="1:89" s="4" customFormat="1" ht="66" customHeight="1" x14ac:dyDescent="0.2">
      <c r="A235" s="203"/>
      <c r="B235" s="258"/>
      <c r="C235" s="258"/>
      <c r="D235" s="258"/>
      <c r="E235" s="209"/>
      <c r="F235" s="204"/>
      <c r="G235" s="272" t="s">
        <v>675</v>
      </c>
      <c r="H235" s="135">
        <v>2201032</v>
      </c>
      <c r="I235" s="1252" t="s">
        <v>676</v>
      </c>
      <c r="J235" s="210">
        <v>220103200</v>
      </c>
      <c r="K235" s="1254" t="s">
        <v>677</v>
      </c>
      <c r="L235" s="566" t="s">
        <v>57</v>
      </c>
      <c r="M235" s="566">
        <v>200</v>
      </c>
      <c r="N235" s="1523"/>
      <c r="O235" s="1535"/>
      <c r="P235" s="1525"/>
      <c r="Q235" s="212"/>
      <c r="R235" s="212"/>
      <c r="S235" s="212"/>
      <c r="T235" s="212"/>
      <c r="U235" s="212"/>
      <c r="V235" s="330"/>
      <c r="W235" s="212"/>
      <c r="X235" s="212"/>
      <c r="Y235" s="353"/>
      <c r="Z235" s="212"/>
      <c r="AA235" s="238">
        <v>10000000</v>
      </c>
      <c r="AB235" s="212"/>
      <c r="AC235" s="212"/>
      <c r="AD235" s="213">
        <f t="shared" ref="AD235" si="98">+Q235+R235+S235+T235+U235+V235+W235+X235+Y235+Z235+AA235+AB235+AC235</f>
        <v>10000000</v>
      </c>
      <c r="AE235" s="213" t="s">
        <v>636</v>
      </c>
      <c r="AF235" s="1267" t="s">
        <v>637</v>
      </c>
    </row>
    <row r="236" spans="1:89" s="4" customFormat="1" ht="175.5" customHeight="1" x14ac:dyDescent="0.2">
      <c r="A236" s="203"/>
      <c r="B236" s="258"/>
      <c r="C236" s="258"/>
      <c r="D236" s="258"/>
      <c r="E236" s="209"/>
      <c r="F236" s="178"/>
      <c r="G236" s="1252" t="s">
        <v>669</v>
      </c>
      <c r="H236" s="135">
        <v>2201055</v>
      </c>
      <c r="I236" s="1252" t="s">
        <v>670</v>
      </c>
      <c r="J236" s="235">
        <v>220105500</v>
      </c>
      <c r="K236" s="228" t="s">
        <v>671</v>
      </c>
      <c r="L236" s="566" t="s">
        <v>45</v>
      </c>
      <c r="M236" s="566">
        <v>1</v>
      </c>
      <c r="N236" s="1523"/>
      <c r="O236" s="1535"/>
      <c r="P236" s="1525"/>
      <c r="Q236" s="212"/>
      <c r="R236" s="212"/>
      <c r="S236" s="212"/>
      <c r="T236" s="212"/>
      <c r="U236" s="212"/>
      <c r="V236" s="330"/>
      <c r="W236" s="212">
        <f>20000000+7500000</f>
        <v>27500000</v>
      </c>
      <c r="X236" s="212"/>
      <c r="Y236" s="353"/>
      <c r="Z236" s="212"/>
      <c r="AA236" s="197">
        <v>0</v>
      </c>
      <c r="AB236" s="212"/>
      <c r="AC236" s="212"/>
      <c r="AD236" s="213">
        <f t="shared" ref="AD236" si="99">+Q236+R236+S236+T236+U236+V236+W236+X236+Y236+Z236+AA236+AB236+AC236</f>
        <v>27500000</v>
      </c>
      <c r="AE236" s="213" t="s">
        <v>636</v>
      </c>
      <c r="AF236" s="1267" t="s">
        <v>637</v>
      </c>
    </row>
    <row r="237" spans="1:89" s="4" customFormat="1" ht="144.75" customHeight="1" x14ac:dyDescent="0.2">
      <c r="A237" s="203"/>
      <c r="B237" s="258"/>
      <c r="C237" s="258"/>
      <c r="D237" s="258"/>
      <c r="E237" s="209"/>
      <c r="F237" s="204"/>
      <c r="G237" s="272" t="s">
        <v>641</v>
      </c>
      <c r="H237" s="135">
        <v>2201067</v>
      </c>
      <c r="I237" s="1252" t="s">
        <v>689</v>
      </c>
      <c r="J237" s="210">
        <v>220106700</v>
      </c>
      <c r="K237" s="1254" t="s">
        <v>690</v>
      </c>
      <c r="L237" s="566" t="s">
        <v>45</v>
      </c>
      <c r="M237" s="560">
        <v>54</v>
      </c>
      <c r="N237" s="1523"/>
      <c r="O237" s="1535"/>
      <c r="P237" s="1525"/>
      <c r="Q237" s="212"/>
      <c r="R237" s="212"/>
      <c r="S237" s="212"/>
      <c r="T237" s="212"/>
      <c r="U237" s="212"/>
      <c r="V237" s="330"/>
      <c r="W237" s="212"/>
      <c r="X237" s="212"/>
      <c r="Y237" s="353"/>
      <c r="Z237" s="212"/>
      <c r="AA237" s="238">
        <v>10000000</v>
      </c>
      <c r="AB237" s="212"/>
      <c r="AC237" s="212"/>
      <c r="AD237" s="213">
        <f t="shared" ref="AD237" si="100">+Q237+R237+S237+T237+U237+V237+W237+X237+Y237+Z237+AA237+AB237+AC237</f>
        <v>10000000</v>
      </c>
      <c r="AE237" s="213" t="s">
        <v>636</v>
      </c>
      <c r="AF237" s="1267" t="s">
        <v>637</v>
      </c>
    </row>
    <row r="238" spans="1:89" ht="112.5" customHeight="1" x14ac:dyDescent="0.2">
      <c r="A238" s="103"/>
      <c r="B238" s="104"/>
      <c r="C238" s="104"/>
      <c r="D238" s="104"/>
      <c r="E238" s="111"/>
      <c r="F238" s="457"/>
      <c r="G238" s="193" t="s">
        <v>641</v>
      </c>
      <c r="H238" s="135">
        <v>2201028</v>
      </c>
      <c r="I238" s="205" t="s">
        <v>642</v>
      </c>
      <c r="J238" s="235">
        <v>220102801</v>
      </c>
      <c r="K238" s="173" t="s">
        <v>643</v>
      </c>
      <c r="L238" s="466" t="s">
        <v>57</v>
      </c>
      <c r="M238" s="470">
        <v>9000</v>
      </c>
      <c r="N238" s="1523"/>
      <c r="O238" s="1535"/>
      <c r="P238" s="1525"/>
      <c r="Q238" s="118"/>
      <c r="R238" s="118"/>
      <c r="S238" s="118"/>
      <c r="T238" s="136"/>
      <c r="U238" s="118"/>
      <c r="V238" s="329"/>
      <c r="W238" s="212"/>
      <c r="X238" s="237"/>
      <c r="Y238" s="354">
        <v>12990000000</v>
      </c>
      <c r="Z238" s="118"/>
      <c r="AA238" s="189">
        <v>250000000</v>
      </c>
      <c r="AB238" s="189"/>
      <c r="AC238" s="118"/>
      <c r="AD238" s="120">
        <f t="shared" si="97"/>
        <v>13240000000</v>
      </c>
      <c r="AE238" s="120" t="s">
        <v>636</v>
      </c>
      <c r="AF238" s="546" t="s">
        <v>637</v>
      </c>
      <c r="AG238" s="1"/>
    </row>
    <row r="239" spans="1:89" ht="165" customHeight="1" x14ac:dyDescent="0.2">
      <c r="A239" s="103"/>
      <c r="B239" s="104"/>
      <c r="C239" s="104"/>
      <c r="D239" s="104"/>
      <c r="E239" s="111"/>
      <c r="F239" s="457"/>
      <c r="G239" s="193" t="s">
        <v>641</v>
      </c>
      <c r="H239" s="135">
        <v>2201029</v>
      </c>
      <c r="I239" s="205" t="s">
        <v>644</v>
      </c>
      <c r="J239" s="235">
        <v>220102900</v>
      </c>
      <c r="K239" s="173" t="s">
        <v>645</v>
      </c>
      <c r="L239" s="466" t="s">
        <v>57</v>
      </c>
      <c r="M239" s="470">
        <v>1000</v>
      </c>
      <c r="N239" s="1523"/>
      <c r="O239" s="1535"/>
      <c r="P239" s="1525"/>
      <c r="Q239" s="118"/>
      <c r="R239" s="118"/>
      <c r="S239" s="118"/>
      <c r="T239" s="136"/>
      <c r="U239" s="118"/>
      <c r="V239" s="329"/>
      <c r="W239" s="118"/>
      <c r="X239" s="118"/>
      <c r="Y239" s="352"/>
      <c r="Z239" s="118"/>
      <c r="AA239" s="238">
        <v>380000000</v>
      </c>
      <c r="AB239" s="118"/>
      <c r="AC239" s="118"/>
      <c r="AD239" s="120">
        <f t="shared" si="97"/>
        <v>380000000</v>
      </c>
      <c r="AE239" s="120" t="s">
        <v>636</v>
      </c>
      <c r="AF239" s="546" t="s">
        <v>637</v>
      </c>
      <c r="AG239" s="1"/>
    </row>
    <row r="240" spans="1:89" ht="138.75" customHeight="1" x14ac:dyDescent="0.2">
      <c r="A240" s="103"/>
      <c r="B240" s="104"/>
      <c r="C240" s="104"/>
      <c r="D240" s="104"/>
      <c r="E240" s="111"/>
      <c r="F240" s="457"/>
      <c r="G240" s="193" t="s">
        <v>153</v>
      </c>
      <c r="H240" s="115">
        <v>2201062</v>
      </c>
      <c r="I240" s="205" t="s">
        <v>154</v>
      </c>
      <c r="J240" s="115">
        <v>220106200</v>
      </c>
      <c r="K240" s="173" t="s">
        <v>155</v>
      </c>
      <c r="L240" s="457" t="s">
        <v>57</v>
      </c>
      <c r="M240" s="135">
        <v>15</v>
      </c>
      <c r="N240" s="1523"/>
      <c r="O240" s="1535"/>
      <c r="P240" s="1525"/>
      <c r="Q240" s="118"/>
      <c r="R240" s="118"/>
      <c r="S240" s="118"/>
      <c r="T240" s="239"/>
      <c r="U240" s="118"/>
      <c r="V240" s="329"/>
      <c r="W240" s="118"/>
      <c r="X240" s="118"/>
      <c r="Y240" s="352"/>
      <c r="Z240" s="118"/>
      <c r="AA240" s="197">
        <v>30000000</v>
      </c>
      <c r="AB240" s="118"/>
      <c r="AC240" s="118"/>
      <c r="AD240" s="120">
        <f t="shared" ref="AD240:AD249" si="101">+Q240+R240+S240+T240+U240+V240+W240+X240+Y240+Z240+AA240+AB240+AC240</f>
        <v>30000000</v>
      </c>
      <c r="AE240" s="120" t="s">
        <v>636</v>
      </c>
      <c r="AF240" s="546" t="s">
        <v>637</v>
      </c>
      <c r="AG240" s="1"/>
    </row>
    <row r="241" spans="1:33" ht="102.6" customHeight="1" x14ac:dyDescent="0.2">
      <c r="A241" s="103"/>
      <c r="B241" s="104"/>
      <c r="C241" s="104"/>
      <c r="D241" s="104"/>
      <c r="E241" s="111"/>
      <c r="F241" s="462"/>
      <c r="G241" s="140" t="s">
        <v>638</v>
      </c>
      <c r="H241" s="135">
        <v>2201063</v>
      </c>
      <c r="I241" s="205" t="s">
        <v>646</v>
      </c>
      <c r="J241" s="210">
        <v>220106300</v>
      </c>
      <c r="K241" s="173" t="s">
        <v>647</v>
      </c>
      <c r="L241" s="466" t="s">
        <v>57</v>
      </c>
      <c r="M241" s="470">
        <v>2</v>
      </c>
      <c r="N241" s="1523"/>
      <c r="O241" s="1535"/>
      <c r="P241" s="1525"/>
      <c r="Q241" s="118"/>
      <c r="R241" s="118"/>
      <c r="S241" s="118"/>
      <c r="T241" s="118"/>
      <c r="U241" s="118"/>
      <c r="V241" s="329"/>
      <c r="W241" s="118"/>
      <c r="X241" s="118"/>
      <c r="Y241" s="352"/>
      <c r="Z241" s="118"/>
      <c r="AA241" s="238">
        <v>30000000</v>
      </c>
      <c r="AB241" s="118"/>
      <c r="AC241" s="118"/>
      <c r="AD241" s="120">
        <f t="shared" si="101"/>
        <v>30000000</v>
      </c>
      <c r="AE241" s="120" t="s">
        <v>636</v>
      </c>
      <c r="AF241" s="546" t="s">
        <v>637</v>
      </c>
      <c r="AG241" s="1"/>
    </row>
    <row r="242" spans="1:33" ht="102.6" customHeight="1" x14ac:dyDescent="0.2">
      <c r="A242" s="103"/>
      <c r="B242" s="104"/>
      <c r="C242" s="104"/>
      <c r="D242" s="104"/>
      <c r="E242" s="111"/>
      <c r="F242" s="462"/>
      <c r="G242" s="140" t="s">
        <v>638</v>
      </c>
      <c r="H242" s="135">
        <v>2201069</v>
      </c>
      <c r="I242" s="205" t="s">
        <v>649</v>
      </c>
      <c r="J242" s="210">
        <v>220106900</v>
      </c>
      <c r="K242" s="173" t="s">
        <v>650</v>
      </c>
      <c r="L242" s="466" t="s">
        <v>57</v>
      </c>
      <c r="M242" s="470">
        <v>3</v>
      </c>
      <c r="N242" s="1523"/>
      <c r="O242" s="1535"/>
      <c r="P242" s="1525"/>
      <c r="Q242" s="118"/>
      <c r="R242" s="118"/>
      <c r="S242" s="118"/>
      <c r="T242" s="118"/>
      <c r="U242" s="118"/>
      <c r="V242" s="329"/>
      <c r="W242" s="118">
        <v>37500000</v>
      </c>
      <c r="X242" s="118"/>
      <c r="Y242" s="352"/>
      <c r="Z242" s="118"/>
      <c r="AA242" s="238">
        <v>20000000</v>
      </c>
      <c r="AB242" s="118"/>
      <c r="AC242" s="118"/>
      <c r="AD242" s="120">
        <f t="shared" si="101"/>
        <v>57500000</v>
      </c>
      <c r="AE242" s="120" t="s">
        <v>636</v>
      </c>
      <c r="AF242" s="546" t="s">
        <v>637</v>
      </c>
      <c r="AG242" s="1"/>
    </row>
    <row r="243" spans="1:33" ht="138" customHeight="1" x14ac:dyDescent="0.2">
      <c r="A243" s="103"/>
      <c r="B243" s="104"/>
      <c r="C243" s="104"/>
      <c r="D243" s="104"/>
      <c r="E243" s="111"/>
      <c r="F243" s="462"/>
      <c r="G243" s="140" t="s">
        <v>651</v>
      </c>
      <c r="H243" s="135">
        <v>2201018</v>
      </c>
      <c r="I243" s="205" t="s">
        <v>652</v>
      </c>
      <c r="J243" s="210">
        <v>220101802</v>
      </c>
      <c r="K243" s="173" t="s">
        <v>653</v>
      </c>
      <c r="L243" s="466" t="s">
        <v>45</v>
      </c>
      <c r="M243" s="470">
        <v>1</v>
      </c>
      <c r="N243" s="1523" t="s">
        <v>654</v>
      </c>
      <c r="O243" s="1535" t="s">
        <v>655</v>
      </c>
      <c r="P243" s="1525" t="s">
        <v>656</v>
      </c>
      <c r="Q243" s="118"/>
      <c r="R243" s="118"/>
      <c r="S243" s="118"/>
      <c r="T243" s="118"/>
      <c r="U243" s="118"/>
      <c r="V243" s="329"/>
      <c r="W243" s="212"/>
      <c r="X243" s="118"/>
      <c r="Y243" s="352"/>
      <c r="Z243" s="118"/>
      <c r="AA243" s="189">
        <v>6000000</v>
      </c>
      <c r="AB243" s="118"/>
      <c r="AC243" s="118"/>
      <c r="AD243" s="120">
        <f t="shared" si="101"/>
        <v>6000000</v>
      </c>
      <c r="AE243" s="120" t="s">
        <v>636</v>
      </c>
      <c r="AF243" s="546" t="s">
        <v>637</v>
      </c>
      <c r="AG243" s="1"/>
    </row>
    <row r="244" spans="1:33" ht="85.5" customHeight="1" x14ac:dyDescent="0.2">
      <c r="A244" s="103"/>
      <c r="B244" s="104"/>
      <c r="C244" s="104"/>
      <c r="D244" s="104"/>
      <c r="E244" s="111"/>
      <c r="F244" s="462"/>
      <c r="G244" s="140" t="s">
        <v>657</v>
      </c>
      <c r="H244" s="135">
        <v>2201037</v>
      </c>
      <c r="I244" s="205" t="s">
        <v>658</v>
      </c>
      <c r="J244" s="235">
        <v>220103700</v>
      </c>
      <c r="K244" s="228" t="s">
        <v>1299</v>
      </c>
      <c r="L244" s="466" t="s">
        <v>45</v>
      </c>
      <c r="M244" s="470">
        <v>54</v>
      </c>
      <c r="N244" s="1523"/>
      <c r="O244" s="1535"/>
      <c r="P244" s="1525"/>
      <c r="Q244" s="118"/>
      <c r="R244" s="118"/>
      <c r="S244" s="118"/>
      <c r="T244" s="118"/>
      <c r="U244" s="118"/>
      <c r="V244" s="329"/>
      <c r="W244" s="212"/>
      <c r="X244" s="118"/>
      <c r="Y244" s="352"/>
      <c r="Z244" s="118"/>
      <c r="AA244" s="189">
        <v>10000000</v>
      </c>
      <c r="AB244" s="118"/>
      <c r="AC244" s="118"/>
      <c r="AD244" s="120">
        <f t="shared" si="101"/>
        <v>10000000</v>
      </c>
      <c r="AE244" s="120" t="s">
        <v>636</v>
      </c>
      <c r="AF244" s="546" t="s">
        <v>637</v>
      </c>
      <c r="AG244" s="1"/>
    </row>
    <row r="245" spans="1:33" ht="218.25" customHeight="1" x14ac:dyDescent="0.2">
      <c r="A245" s="103"/>
      <c r="B245" s="104"/>
      <c r="C245" s="104"/>
      <c r="D245" s="104"/>
      <c r="E245" s="111"/>
      <c r="F245" s="462"/>
      <c r="G245" s="140" t="s">
        <v>659</v>
      </c>
      <c r="H245" s="124">
        <v>2201073</v>
      </c>
      <c r="I245" s="193" t="s">
        <v>660</v>
      </c>
      <c r="J245" s="153">
        <v>220107300</v>
      </c>
      <c r="K245" s="192" t="s">
        <v>661</v>
      </c>
      <c r="L245" s="466" t="s">
        <v>57</v>
      </c>
      <c r="M245" s="470">
        <v>7774</v>
      </c>
      <c r="N245" s="1552" t="s">
        <v>662</v>
      </c>
      <c r="O245" s="1537" t="s">
        <v>663</v>
      </c>
      <c r="P245" s="1536" t="s">
        <v>664</v>
      </c>
      <c r="Q245" s="118"/>
      <c r="R245" s="118"/>
      <c r="S245" s="118"/>
      <c r="T245" s="118"/>
      <c r="U245" s="118"/>
      <c r="V245" s="329"/>
      <c r="W245" s="212"/>
      <c r="X245" s="118"/>
      <c r="Y245" s="352"/>
      <c r="Z245" s="118"/>
      <c r="AA245" s="189">
        <v>20000000</v>
      </c>
      <c r="AB245" s="118"/>
      <c r="AC245" s="118"/>
      <c r="AD245" s="120">
        <f t="shared" si="101"/>
        <v>20000000</v>
      </c>
      <c r="AE245" s="120" t="s">
        <v>636</v>
      </c>
      <c r="AF245" s="546" t="s">
        <v>637</v>
      </c>
      <c r="AG245" s="1"/>
    </row>
    <row r="246" spans="1:33" s="4" customFormat="1" ht="138.75" customHeight="1" x14ac:dyDescent="0.2">
      <c r="A246" s="203"/>
      <c r="B246" s="258"/>
      <c r="C246" s="258"/>
      <c r="D246" s="258"/>
      <c r="E246" s="209"/>
      <c r="F246" s="204"/>
      <c r="G246" s="272" t="s">
        <v>648</v>
      </c>
      <c r="H246" s="135">
        <v>2201068</v>
      </c>
      <c r="I246" s="1252" t="s">
        <v>264</v>
      </c>
      <c r="J246" s="235">
        <v>220106800</v>
      </c>
      <c r="K246" s="228" t="s">
        <v>265</v>
      </c>
      <c r="L246" s="178" t="s">
        <v>57</v>
      </c>
      <c r="M246" s="135">
        <v>70</v>
      </c>
      <c r="N246" s="1523"/>
      <c r="O246" s="1536"/>
      <c r="P246" s="1536"/>
      <c r="Q246" s="212"/>
      <c r="R246" s="212"/>
      <c r="S246" s="212">
        <v>0</v>
      </c>
      <c r="T246" s="212">
        <v>0</v>
      </c>
      <c r="U246" s="212">
        <v>0</v>
      </c>
      <c r="V246" s="330">
        <v>0</v>
      </c>
      <c r="W246" s="212">
        <v>0</v>
      </c>
      <c r="X246" s="212">
        <v>0</v>
      </c>
      <c r="Y246" s="353">
        <v>0</v>
      </c>
      <c r="Z246" s="212">
        <v>0</v>
      </c>
      <c r="AA246" s="197">
        <v>18000000</v>
      </c>
      <c r="AB246" s="212">
        <v>0</v>
      </c>
      <c r="AC246" s="212">
        <v>0</v>
      </c>
      <c r="AD246" s="213">
        <f t="shared" ref="AD246" si="102">+Q246+R246+S246+T246+U246+V246+W246+X246+Y246+Z246+AA246+AB246+AC246</f>
        <v>18000000</v>
      </c>
      <c r="AE246" s="213" t="s">
        <v>636</v>
      </c>
      <c r="AF246" s="1267" t="s">
        <v>637</v>
      </c>
    </row>
    <row r="247" spans="1:33" ht="102.75" customHeight="1" x14ac:dyDescent="0.2">
      <c r="A247" s="103"/>
      <c r="B247" s="104"/>
      <c r="C247" s="104"/>
      <c r="D247" s="104"/>
      <c r="E247" s="111"/>
      <c r="F247" s="457"/>
      <c r="G247" s="1253" t="s">
        <v>638</v>
      </c>
      <c r="H247" s="135">
        <v>2201026</v>
      </c>
      <c r="I247" s="1252" t="s">
        <v>639</v>
      </c>
      <c r="J247" s="1266">
        <v>220102600</v>
      </c>
      <c r="K247" s="1254" t="s">
        <v>640</v>
      </c>
      <c r="L247" s="466" t="s">
        <v>57</v>
      </c>
      <c r="M247" s="566">
        <v>17</v>
      </c>
      <c r="N247" s="1523"/>
      <c r="O247" s="1536"/>
      <c r="P247" s="1536"/>
      <c r="Q247" s="118"/>
      <c r="R247" s="118"/>
      <c r="S247" s="118"/>
      <c r="T247" s="118"/>
      <c r="U247" s="118"/>
      <c r="V247" s="329"/>
      <c r="W247" s="212">
        <v>25000000</v>
      </c>
      <c r="X247" s="212"/>
      <c r="Y247" s="353"/>
      <c r="Z247" s="118"/>
      <c r="AA247" s="132">
        <v>18000000</v>
      </c>
      <c r="AB247" s="118"/>
      <c r="AC247" s="118"/>
      <c r="AD247" s="120">
        <f>+Q247+R247+S247+T247+U247+V247+W247+X247+Y247+Z247+AA247+AB247+AC247</f>
        <v>43000000</v>
      </c>
      <c r="AE247" s="120" t="s">
        <v>636</v>
      </c>
      <c r="AF247" s="546" t="s">
        <v>637</v>
      </c>
      <c r="AG247" s="1"/>
    </row>
    <row r="248" spans="1:33" ht="188.25" customHeight="1" x14ac:dyDescent="0.2">
      <c r="A248" s="103"/>
      <c r="B248" s="104"/>
      <c r="C248" s="104"/>
      <c r="D248" s="104"/>
      <c r="E248" s="111"/>
      <c r="F248" s="462"/>
      <c r="G248" s="140" t="s">
        <v>659</v>
      </c>
      <c r="H248" s="699">
        <v>2201074</v>
      </c>
      <c r="I248" s="193" t="s">
        <v>665</v>
      </c>
      <c r="J248" s="697">
        <v>220107400</v>
      </c>
      <c r="K248" s="192" t="s">
        <v>666</v>
      </c>
      <c r="L248" s="466" t="s">
        <v>57</v>
      </c>
      <c r="M248" s="470">
        <v>606</v>
      </c>
      <c r="N248" s="1523"/>
      <c r="O248" s="1536"/>
      <c r="P248" s="1536"/>
      <c r="Q248" s="118"/>
      <c r="R248" s="118"/>
      <c r="S248" s="118"/>
      <c r="T248" s="118"/>
      <c r="U248" s="118"/>
      <c r="V248" s="329"/>
      <c r="W248" s="212"/>
      <c r="X248" s="118"/>
      <c r="Y248" s="352"/>
      <c r="Z248" s="118"/>
      <c r="AA248" s="189">
        <v>20000000</v>
      </c>
      <c r="AB248" s="118"/>
      <c r="AC248" s="118"/>
      <c r="AD248" s="120">
        <f t="shared" si="101"/>
        <v>20000000</v>
      </c>
      <c r="AE248" s="120" t="s">
        <v>636</v>
      </c>
      <c r="AF248" s="546" t="s">
        <v>637</v>
      </c>
      <c r="AG248" s="1"/>
    </row>
    <row r="249" spans="1:33" ht="196.5" customHeight="1" x14ac:dyDescent="0.2">
      <c r="A249" s="103"/>
      <c r="B249" s="104"/>
      <c r="C249" s="104"/>
      <c r="D249" s="104"/>
      <c r="E249" s="111"/>
      <c r="F249" s="462"/>
      <c r="G249" s="140" t="s">
        <v>659</v>
      </c>
      <c r="H249" s="124">
        <v>2201010</v>
      </c>
      <c r="I249" s="193" t="s">
        <v>667</v>
      </c>
      <c r="J249" s="153">
        <v>220101000</v>
      </c>
      <c r="K249" s="192" t="s">
        <v>668</v>
      </c>
      <c r="L249" s="466" t="s">
        <v>45</v>
      </c>
      <c r="M249" s="470">
        <v>94</v>
      </c>
      <c r="N249" s="1523"/>
      <c r="O249" s="1536"/>
      <c r="P249" s="1536"/>
      <c r="Q249" s="118"/>
      <c r="R249" s="118"/>
      <c r="S249" s="118"/>
      <c r="T249" s="118"/>
      <c r="U249" s="118"/>
      <c r="V249" s="329"/>
      <c r="W249" s="212"/>
      <c r="X249" s="118"/>
      <c r="Y249" s="352"/>
      <c r="Z249" s="118"/>
      <c r="AA249" s="189">
        <v>20000000</v>
      </c>
      <c r="AB249" s="118"/>
      <c r="AC249" s="118"/>
      <c r="AD249" s="120">
        <f t="shared" si="101"/>
        <v>20000000</v>
      </c>
      <c r="AE249" s="120" t="s">
        <v>636</v>
      </c>
      <c r="AF249" s="546" t="s">
        <v>637</v>
      </c>
      <c r="AG249" s="1"/>
    </row>
    <row r="250" spans="1:33" ht="84.75" customHeight="1" x14ac:dyDescent="0.2">
      <c r="A250" s="103"/>
      <c r="B250" s="104"/>
      <c r="C250" s="104"/>
      <c r="D250" s="104"/>
      <c r="E250" s="111"/>
      <c r="F250" s="457"/>
      <c r="G250" s="193" t="s">
        <v>672</v>
      </c>
      <c r="H250" s="135">
        <v>2201030</v>
      </c>
      <c r="I250" s="193" t="s">
        <v>673</v>
      </c>
      <c r="J250" s="202">
        <v>220103000</v>
      </c>
      <c r="K250" s="220" t="s">
        <v>674</v>
      </c>
      <c r="L250" s="466" t="s">
        <v>45</v>
      </c>
      <c r="M250" s="470">
        <v>2500</v>
      </c>
      <c r="N250" s="1523"/>
      <c r="O250" s="1536"/>
      <c r="P250" s="1536"/>
      <c r="Q250" s="118"/>
      <c r="R250" s="118"/>
      <c r="S250" s="118"/>
      <c r="T250" s="118"/>
      <c r="U250" s="118"/>
      <c r="V250" s="329"/>
      <c r="W250" s="240">
        <v>1726000000</v>
      </c>
      <c r="X250" s="118"/>
      <c r="Y250" s="352"/>
      <c r="Z250" s="118"/>
      <c r="AA250" s="132"/>
      <c r="AB250" s="118"/>
      <c r="AC250" s="118"/>
      <c r="AD250" s="120">
        <f t="shared" si="97"/>
        <v>1726000000</v>
      </c>
      <c r="AE250" s="120" t="s">
        <v>636</v>
      </c>
      <c r="AF250" s="546" t="s">
        <v>637</v>
      </c>
      <c r="AG250" s="1"/>
    </row>
    <row r="251" spans="1:33" ht="60" x14ac:dyDescent="0.2">
      <c r="A251" s="103"/>
      <c r="B251" s="104"/>
      <c r="C251" s="104"/>
      <c r="D251" s="104"/>
      <c r="E251" s="111"/>
      <c r="F251" s="462"/>
      <c r="G251" s="140" t="s">
        <v>678</v>
      </c>
      <c r="H251" s="135">
        <v>2201035</v>
      </c>
      <c r="I251" s="193" t="s">
        <v>679</v>
      </c>
      <c r="J251" s="160">
        <v>220103500</v>
      </c>
      <c r="K251" s="192" t="s">
        <v>680</v>
      </c>
      <c r="L251" s="466" t="s">
        <v>57</v>
      </c>
      <c r="M251" s="470">
        <v>8</v>
      </c>
      <c r="N251" s="1523"/>
      <c r="O251" s="1536"/>
      <c r="P251" s="1536"/>
      <c r="Q251" s="118"/>
      <c r="R251" s="118"/>
      <c r="S251" s="118"/>
      <c r="T251" s="118"/>
      <c r="U251" s="118"/>
      <c r="V251" s="329"/>
      <c r="W251" s="212"/>
      <c r="X251" s="118"/>
      <c r="Y251" s="352"/>
      <c r="Z251" s="118"/>
      <c r="AA251" s="189">
        <v>10000000</v>
      </c>
      <c r="AB251" s="118"/>
      <c r="AC251" s="118"/>
      <c r="AD251" s="120">
        <f t="shared" si="97"/>
        <v>10000000</v>
      </c>
      <c r="AE251" s="120" t="s">
        <v>636</v>
      </c>
      <c r="AF251" s="546" t="s">
        <v>637</v>
      </c>
      <c r="AG251" s="1"/>
    </row>
    <row r="252" spans="1:33" ht="171" customHeight="1" x14ac:dyDescent="0.2">
      <c r="A252" s="103"/>
      <c r="B252" s="104"/>
      <c r="C252" s="104"/>
      <c r="D252" s="104"/>
      <c r="E252" s="111"/>
      <c r="F252" s="457"/>
      <c r="G252" s="140" t="s">
        <v>641</v>
      </c>
      <c r="H252" s="135">
        <v>2201046</v>
      </c>
      <c r="I252" s="193" t="s">
        <v>681</v>
      </c>
      <c r="J252" s="202">
        <v>220104602</v>
      </c>
      <c r="K252" s="192" t="s">
        <v>682</v>
      </c>
      <c r="L252" s="466" t="s">
        <v>57</v>
      </c>
      <c r="M252" s="470">
        <v>13</v>
      </c>
      <c r="N252" s="1523"/>
      <c r="O252" s="1536"/>
      <c r="P252" s="1536"/>
      <c r="Q252" s="118"/>
      <c r="R252" s="118"/>
      <c r="S252" s="118"/>
      <c r="T252" s="241"/>
      <c r="U252" s="118"/>
      <c r="V252" s="329"/>
      <c r="W252" s="212"/>
      <c r="X252" s="118"/>
      <c r="Y252" s="352"/>
      <c r="Z252" s="118"/>
      <c r="AA252" s="132">
        <v>10000000</v>
      </c>
      <c r="AB252" s="118"/>
      <c r="AC252" s="118"/>
      <c r="AD252" s="120">
        <f t="shared" si="97"/>
        <v>10000000</v>
      </c>
      <c r="AE252" s="120" t="s">
        <v>636</v>
      </c>
      <c r="AF252" s="546" t="s">
        <v>637</v>
      </c>
      <c r="AG252" s="1"/>
    </row>
    <row r="253" spans="1:33" ht="118.5" customHeight="1" x14ac:dyDescent="0.2">
      <c r="A253" s="103"/>
      <c r="B253" s="104"/>
      <c r="C253" s="104"/>
      <c r="D253" s="104"/>
      <c r="E253" s="111"/>
      <c r="F253" s="462"/>
      <c r="G253" s="140" t="s">
        <v>641</v>
      </c>
      <c r="H253" s="135">
        <v>2201054</v>
      </c>
      <c r="I253" s="193" t="s">
        <v>683</v>
      </c>
      <c r="J253" s="160">
        <v>220105400</v>
      </c>
      <c r="K253" s="192" t="s">
        <v>684</v>
      </c>
      <c r="L253" s="466" t="s">
        <v>45</v>
      </c>
      <c r="M253" s="470">
        <v>11</v>
      </c>
      <c r="N253" s="1523"/>
      <c r="O253" s="1536"/>
      <c r="P253" s="1536"/>
      <c r="Q253" s="118"/>
      <c r="R253" s="118"/>
      <c r="S253" s="118"/>
      <c r="T253" s="118"/>
      <c r="U253" s="118"/>
      <c r="V253" s="329"/>
      <c r="W253" s="212"/>
      <c r="X253" s="118"/>
      <c r="Y253" s="352"/>
      <c r="Z253" s="118"/>
      <c r="AA253" s="189">
        <v>10000000</v>
      </c>
      <c r="AB253" s="118"/>
      <c r="AC253" s="118"/>
      <c r="AD253" s="120">
        <f t="shared" si="97"/>
        <v>10000000</v>
      </c>
      <c r="AE253" s="120" t="s">
        <v>636</v>
      </c>
      <c r="AF253" s="546" t="s">
        <v>637</v>
      </c>
      <c r="AG253" s="1"/>
    </row>
    <row r="254" spans="1:33" ht="102.6" customHeight="1" x14ac:dyDescent="0.2">
      <c r="A254" s="103"/>
      <c r="B254" s="104"/>
      <c r="C254" s="104"/>
      <c r="D254" s="104"/>
      <c r="E254" s="111"/>
      <c r="F254" s="462"/>
      <c r="G254" s="140" t="s">
        <v>669</v>
      </c>
      <c r="H254" s="135">
        <v>2201061</v>
      </c>
      <c r="I254" s="193" t="s">
        <v>685</v>
      </c>
      <c r="J254" s="160">
        <v>220106102</v>
      </c>
      <c r="K254" s="192" t="s">
        <v>686</v>
      </c>
      <c r="L254" s="466" t="s">
        <v>57</v>
      </c>
      <c r="M254" s="470">
        <v>12</v>
      </c>
      <c r="N254" s="1523"/>
      <c r="O254" s="1536"/>
      <c r="P254" s="1536"/>
      <c r="Q254" s="118"/>
      <c r="R254" s="118"/>
      <c r="S254" s="118"/>
      <c r="T254" s="118"/>
      <c r="U254" s="118"/>
      <c r="V254" s="329"/>
      <c r="W254" s="118"/>
      <c r="X254" s="118"/>
      <c r="Y254" s="352"/>
      <c r="Z254" s="118"/>
      <c r="AA254" s="238">
        <v>10000000</v>
      </c>
      <c r="AB254" s="118"/>
      <c r="AC254" s="118"/>
      <c r="AD254" s="120">
        <f t="shared" si="97"/>
        <v>10000000</v>
      </c>
      <c r="AE254" s="120" t="s">
        <v>636</v>
      </c>
      <c r="AF254" s="546" t="s">
        <v>637</v>
      </c>
      <c r="AG254" s="1"/>
    </row>
    <row r="255" spans="1:33" ht="102.6" customHeight="1" x14ac:dyDescent="0.2">
      <c r="A255" s="103"/>
      <c r="B255" s="104"/>
      <c r="C255" s="104"/>
      <c r="D255" s="104"/>
      <c r="E255" s="111"/>
      <c r="F255" s="462"/>
      <c r="G255" s="140" t="s">
        <v>669</v>
      </c>
      <c r="H255" s="135">
        <v>2201066</v>
      </c>
      <c r="I255" s="193" t="s">
        <v>687</v>
      </c>
      <c r="J255" s="160">
        <v>220106600</v>
      </c>
      <c r="K255" s="192" t="s">
        <v>688</v>
      </c>
      <c r="L255" s="466" t="s">
        <v>57</v>
      </c>
      <c r="M255" s="470">
        <v>10000</v>
      </c>
      <c r="N255" s="1523"/>
      <c r="O255" s="1536"/>
      <c r="P255" s="1536"/>
      <c r="Q255" s="118"/>
      <c r="R255" s="118"/>
      <c r="S255" s="118"/>
      <c r="T255" s="118"/>
      <c r="U255" s="118"/>
      <c r="V255" s="329"/>
      <c r="W255" s="118"/>
      <c r="X255" s="118"/>
      <c r="Y255" s="352"/>
      <c r="Z255" s="118"/>
      <c r="AA255" s="238">
        <v>10000000</v>
      </c>
      <c r="AB255" s="118"/>
      <c r="AC255" s="118"/>
      <c r="AD255" s="120">
        <f t="shared" si="97"/>
        <v>10000000</v>
      </c>
      <c r="AE255" s="120" t="s">
        <v>636</v>
      </c>
      <c r="AF255" s="546" t="s">
        <v>637</v>
      </c>
      <c r="AG255" s="1"/>
    </row>
    <row r="256" spans="1:33" ht="128.25" customHeight="1" x14ac:dyDescent="0.2">
      <c r="A256" s="103"/>
      <c r="B256" s="104"/>
      <c r="C256" s="104"/>
      <c r="D256" s="104"/>
      <c r="E256" s="111"/>
      <c r="F256" s="457"/>
      <c r="G256" s="140" t="s">
        <v>691</v>
      </c>
      <c r="H256" s="135">
        <v>2201006</v>
      </c>
      <c r="I256" s="205" t="s">
        <v>692</v>
      </c>
      <c r="J256" s="235">
        <v>220100600</v>
      </c>
      <c r="K256" s="228" t="s">
        <v>693</v>
      </c>
      <c r="L256" s="392" t="s">
        <v>45</v>
      </c>
      <c r="M256" s="470">
        <v>54</v>
      </c>
      <c r="N256" s="1524" t="s">
        <v>694</v>
      </c>
      <c r="O256" s="1525" t="s">
        <v>695</v>
      </c>
      <c r="P256" s="1525" t="s">
        <v>696</v>
      </c>
      <c r="Q256" s="118"/>
      <c r="R256" s="118"/>
      <c r="S256" s="118"/>
      <c r="T256" s="212"/>
      <c r="U256" s="212"/>
      <c r="V256" s="330"/>
      <c r="W256" s="242"/>
      <c r="X256" s="212"/>
      <c r="Y256" s="353"/>
      <c r="Z256" s="212"/>
      <c r="AA256" s="238">
        <v>10000000</v>
      </c>
      <c r="AB256" s="118"/>
      <c r="AC256" s="118"/>
      <c r="AD256" s="213">
        <f>+Q256+R256+S256+T256+U256+V256+W256+X256+Y256+Z256+AA256+AB256+AC256</f>
        <v>10000000</v>
      </c>
      <c r="AE256" s="120" t="s">
        <v>636</v>
      </c>
      <c r="AF256" s="546" t="s">
        <v>637</v>
      </c>
      <c r="AG256" s="1"/>
    </row>
    <row r="257" spans="1:89" ht="150" customHeight="1" x14ac:dyDescent="0.2">
      <c r="A257" s="103"/>
      <c r="B257" s="104"/>
      <c r="C257" s="104"/>
      <c r="D257" s="104"/>
      <c r="E257" s="111"/>
      <c r="F257" s="462"/>
      <c r="G257" s="140" t="s">
        <v>691</v>
      </c>
      <c r="H257" s="135">
        <v>2201015</v>
      </c>
      <c r="I257" s="205" t="s">
        <v>697</v>
      </c>
      <c r="J257" s="210">
        <v>220101500</v>
      </c>
      <c r="K257" s="173" t="s">
        <v>698</v>
      </c>
      <c r="L257" s="466" t="s">
        <v>45</v>
      </c>
      <c r="M257" s="558">
        <v>11</v>
      </c>
      <c r="N257" s="1524"/>
      <c r="O257" s="1525"/>
      <c r="P257" s="1525"/>
      <c r="Q257" s="118"/>
      <c r="R257" s="118"/>
      <c r="S257" s="118"/>
      <c r="T257" s="212"/>
      <c r="U257" s="212"/>
      <c r="V257" s="330"/>
      <c r="W257" s="212"/>
      <c r="X257" s="212"/>
      <c r="Y257" s="353"/>
      <c r="Z257" s="212"/>
      <c r="AA257" s="238">
        <v>12000000</v>
      </c>
      <c r="AB257" s="118"/>
      <c r="AC257" s="118"/>
      <c r="AD257" s="213">
        <f t="shared" ref="AD257:AD267" si="103">+Q257+R257+S257+T257+U257+V257+W257+X257+Y257+Z257+AA257+AB257+AC257</f>
        <v>12000000</v>
      </c>
      <c r="AE257" s="120" t="s">
        <v>636</v>
      </c>
      <c r="AF257" s="546" t="s">
        <v>637</v>
      </c>
      <c r="AG257" s="1"/>
    </row>
    <row r="258" spans="1:89" ht="154.5" customHeight="1" x14ac:dyDescent="0.2">
      <c r="A258" s="103"/>
      <c r="B258" s="104"/>
      <c r="C258" s="104"/>
      <c r="D258" s="104"/>
      <c r="E258" s="111"/>
      <c r="F258" s="462"/>
      <c r="G258" s="140" t="s">
        <v>641</v>
      </c>
      <c r="H258" s="135">
        <v>2201042</v>
      </c>
      <c r="I258" s="205" t="s">
        <v>699</v>
      </c>
      <c r="J258" s="210">
        <v>220104200</v>
      </c>
      <c r="K258" s="173" t="s">
        <v>700</v>
      </c>
      <c r="L258" s="466" t="s">
        <v>57</v>
      </c>
      <c r="M258" s="470">
        <v>6000</v>
      </c>
      <c r="N258" s="1524"/>
      <c r="O258" s="1525"/>
      <c r="P258" s="1525"/>
      <c r="Q258" s="118"/>
      <c r="R258" s="118"/>
      <c r="S258" s="118"/>
      <c r="T258" s="212"/>
      <c r="U258" s="212"/>
      <c r="V258" s="330"/>
      <c r="W258" s="212"/>
      <c r="X258" s="212"/>
      <c r="Y258" s="353"/>
      <c r="Z258" s="212"/>
      <c r="AA258" s="197">
        <v>10000000</v>
      </c>
      <c r="AB258" s="118"/>
      <c r="AC258" s="118"/>
      <c r="AD258" s="213">
        <f t="shared" si="103"/>
        <v>10000000</v>
      </c>
      <c r="AE258" s="120" t="s">
        <v>636</v>
      </c>
      <c r="AF258" s="546" t="s">
        <v>637</v>
      </c>
      <c r="AG258" s="1"/>
    </row>
    <row r="259" spans="1:89" ht="111.75" customHeight="1" x14ac:dyDescent="0.2">
      <c r="A259" s="103"/>
      <c r="B259" s="104"/>
      <c r="C259" s="104"/>
      <c r="D259" s="104"/>
      <c r="E259" s="111"/>
      <c r="F259" s="457"/>
      <c r="G259" s="140" t="s">
        <v>701</v>
      </c>
      <c r="H259" s="135">
        <v>2201071</v>
      </c>
      <c r="I259" s="505" t="s">
        <v>702</v>
      </c>
      <c r="J259" s="235">
        <v>220107100</v>
      </c>
      <c r="K259" s="173" t="s">
        <v>703</v>
      </c>
      <c r="L259" s="466" t="s">
        <v>45</v>
      </c>
      <c r="M259" s="470">
        <v>54</v>
      </c>
      <c r="N259" s="1524"/>
      <c r="O259" s="1525"/>
      <c r="P259" s="1525"/>
      <c r="Q259" s="243"/>
      <c r="R259" s="243"/>
      <c r="S259" s="243"/>
      <c r="T259" s="244">
        <v>1704977490</v>
      </c>
      <c r="U259" s="244"/>
      <c r="V259" s="331"/>
      <c r="W259" s="242">
        <v>141320000000</v>
      </c>
      <c r="X259" s="245">
        <v>25145000000</v>
      </c>
      <c r="Y259" s="355"/>
      <c r="Z259" s="244"/>
      <c r="AA259" s="238">
        <f>1195000000-7500000-252675151-30000000+985822393</f>
        <v>1890647242</v>
      </c>
      <c r="AB259" s="243"/>
      <c r="AC259" s="243"/>
      <c r="AD259" s="213">
        <f t="shared" si="103"/>
        <v>170060624732</v>
      </c>
      <c r="AE259" s="120" t="s">
        <v>636</v>
      </c>
      <c r="AF259" s="546" t="s">
        <v>637</v>
      </c>
      <c r="AG259" s="1"/>
    </row>
    <row r="260" spans="1:89" ht="168" customHeight="1" x14ac:dyDescent="0.2">
      <c r="A260" s="103"/>
      <c r="B260" s="104"/>
      <c r="C260" s="104"/>
      <c r="D260" s="104"/>
      <c r="E260" s="111"/>
      <c r="F260" s="462"/>
      <c r="G260" s="140" t="s">
        <v>641</v>
      </c>
      <c r="H260" s="135">
        <v>2201050</v>
      </c>
      <c r="I260" s="205" t="s">
        <v>704</v>
      </c>
      <c r="J260" s="210">
        <v>220105000</v>
      </c>
      <c r="K260" s="173" t="s">
        <v>705</v>
      </c>
      <c r="L260" s="466" t="s">
        <v>57</v>
      </c>
      <c r="M260" s="470">
        <v>8000</v>
      </c>
      <c r="N260" s="1523" t="s">
        <v>706</v>
      </c>
      <c r="O260" s="1519" t="s">
        <v>707</v>
      </c>
      <c r="P260" s="1503" t="s">
        <v>708</v>
      </c>
      <c r="Q260" s="118"/>
      <c r="R260" s="118"/>
      <c r="S260" s="118"/>
      <c r="T260" s="118"/>
      <c r="U260" s="118"/>
      <c r="V260" s="329"/>
      <c r="W260" s="203"/>
      <c r="X260" s="118"/>
      <c r="Y260" s="352"/>
      <c r="Z260" s="118"/>
      <c r="AA260" s="189">
        <v>10000000</v>
      </c>
      <c r="AB260" s="118"/>
      <c r="AC260" s="118"/>
      <c r="AD260" s="213">
        <f t="shared" si="103"/>
        <v>10000000</v>
      </c>
      <c r="AE260" s="120" t="s">
        <v>636</v>
      </c>
      <c r="AF260" s="546" t="s">
        <v>637</v>
      </c>
      <c r="AG260" s="1"/>
    </row>
    <row r="261" spans="1:89" ht="135" customHeight="1" x14ac:dyDescent="0.2">
      <c r="A261" s="103"/>
      <c r="B261" s="104"/>
      <c r="C261" s="104"/>
      <c r="D261" s="104"/>
      <c r="E261" s="111"/>
      <c r="F261" s="462"/>
      <c r="G261" s="140" t="s">
        <v>641</v>
      </c>
      <c r="H261" s="135">
        <v>2201050</v>
      </c>
      <c r="I261" s="702" t="s">
        <v>704</v>
      </c>
      <c r="J261" s="235">
        <v>220105001</v>
      </c>
      <c r="K261" s="228" t="s">
        <v>709</v>
      </c>
      <c r="L261" s="466" t="s">
        <v>45</v>
      </c>
      <c r="M261" s="470">
        <v>150</v>
      </c>
      <c r="N261" s="1523"/>
      <c r="O261" s="1519"/>
      <c r="P261" s="1503"/>
      <c r="Q261" s="118"/>
      <c r="R261" s="118"/>
      <c r="S261" s="118"/>
      <c r="T261" s="118"/>
      <c r="U261" s="118"/>
      <c r="V261" s="329"/>
      <c r="W261" s="118">
        <v>749000000</v>
      </c>
      <c r="X261" s="118">
        <v>0</v>
      </c>
      <c r="Y261" s="352">
        <v>0</v>
      </c>
      <c r="Z261" s="118">
        <v>0</v>
      </c>
      <c r="AA261" s="118">
        <v>0</v>
      </c>
      <c r="AB261" s="118">
        <v>0</v>
      </c>
      <c r="AC261" s="118">
        <v>0</v>
      </c>
      <c r="AD261" s="213">
        <f t="shared" si="103"/>
        <v>749000000</v>
      </c>
      <c r="AE261" s="120" t="s">
        <v>636</v>
      </c>
      <c r="AF261" s="546" t="s">
        <v>637</v>
      </c>
      <c r="AG261" s="1"/>
    </row>
    <row r="262" spans="1:89" ht="120.75" customHeight="1" x14ac:dyDescent="0.2">
      <c r="A262" s="103"/>
      <c r="B262" s="104"/>
      <c r="C262" s="104"/>
      <c r="D262" s="104"/>
      <c r="E262" s="111"/>
      <c r="F262" s="462"/>
      <c r="G262" s="140" t="s">
        <v>638</v>
      </c>
      <c r="H262" s="114">
        <v>2201001</v>
      </c>
      <c r="I262" s="205" t="s">
        <v>711</v>
      </c>
      <c r="J262" s="179">
        <v>220100100</v>
      </c>
      <c r="K262" s="192" t="s">
        <v>712</v>
      </c>
      <c r="L262" s="466" t="s">
        <v>45</v>
      </c>
      <c r="M262" s="470">
        <v>2</v>
      </c>
      <c r="N262" s="1523"/>
      <c r="O262" s="1519"/>
      <c r="P262" s="1503"/>
      <c r="Q262" s="118"/>
      <c r="R262" s="118"/>
      <c r="S262" s="118"/>
      <c r="T262" s="118"/>
      <c r="U262" s="118"/>
      <c r="V262" s="329"/>
      <c r="W262" s="118"/>
      <c r="X262" s="118"/>
      <c r="Y262" s="352"/>
      <c r="Z262" s="118"/>
      <c r="AA262" s="189">
        <v>10000000</v>
      </c>
      <c r="AB262" s="118"/>
      <c r="AC262" s="118"/>
      <c r="AD262" s="213">
        <f t="shared" si="103"/>
        <v>10000000</v>
      </c>
      <c r="AE262" s="120" t="s">
        <v>636</v>
      </c>
      <c r="AF262" s="546" t="s">
        <v>637</v>
      </c>
      <c r="AG262" s="1"/>
    </row>
    <row r="263" spans="1:89" ht="114" customHeight="1" x14ac:dyDescent="0.2">
      <c r="A263" s="103"/>
      <c r="B263" s="104"/>
      <c r="C263" s="104"/>
      <c r="D263" s="104"/>
      <c r="E263" s="111"/>
      <c r="F263" s="462"/>
      <c r="G263" s="140" t="s">
        <v>713</v>
      </c>
      <c r="H263" s="135">
        <v>2201034</v>
      </c>
      <c r="I263" s="205" t="s">
        <v>714</v>
      </c>
      <c r="J263" s="235">
        <v>220103400</v>
      </c>
      <c r="K263" s="228" t="s">
        <v>715</v>
      </c>
      <c r="L263" s="466" t="s">
        <v>57</v>
      </c>
      <c r="M263" s="470">
        <v>5500</v>
      </c>
      <c r="N263" s="1524" t="s">
        <v>716</v>
      </c>
      <c r="O263" s="1535" t="s">
        <v>717</v>
      </c>
      <c r="P263" s="1525" t="s">
        <v>718</v>
      </c>
      <c r="Q263" s="118"/>
      <c r="R263" s="118"/>
      <c r="S263" s="118"/>
      <c r="T263" s="118"/>
      <c r="U263" s="118"/>
      <c r="V263" s="329"/>
      <c r="W263" s="118"/>
      <c r="X263" s="118"/>
      <c r="Y263" s="352"/>
      <c r="Z263" s="118"/>
      <c r="AA263" s="238">
        <v>10000000</v>
      </c>
      <c r="AB263" s="118"/>
      <c r="AC263" s="118"/>
      <c r="AD263" s="213">
        <f t="shared" si="103"/>
        <v>10000000</v>
      </c>
      <c r="AE263" s="120" t="s">
        <v>636</v>
      </c>
      <c r="AF263" s="546" t="s">
        <v>637</v>
      </c>
      <c r="AG263" s="1"/>
    </row>
    <row r="264" spans="1:89" ht="103.5" customHeight="1" x14ac:dyDescent="0.2">
      <c r="A264" s="103"/>
      <c r="B264" s="104"/>
      <c r="C264" s="104"/>
      <c r="D264" s="104"/>
      <c r="E264" s="111"/>
      <c r="F264" s="462"/>
      <c r="G264" s="140" t="s">
        <v>713</v>
      </c>
      <c r="H264" s="135">
        <v>2201034</v>
      </c>
      <c r="I264" s="205" t="s">
        <v>719</v>
      </c>
      <c r="J264" s="210">
        <v>220103401</v>
      </c>
      <c r="K264" s="173" t="s">
        <v>720</v>
      </c>
      <c r="L264" s="466" t="s">
        <v>45</v>
      </c>
      <c r="M264" s="470">
        <v>54</v>
      </c>
      <c r="N264" s="1524"/>
      <c r="O264" s="1535"/>
      <c r="P264" s="1525"/>
      <c r="Q264" s="118"/>
      <c r="R264" s="118"/>
      <c r="S264" s="118"/>
      <c r="T264" s="118"/>
      <c r="U264" s="118"/>
      <c r="V264" s="329"/>
      <c r="W264" s="118"/>
      <c r="X264" s="118"/>
      <c r="Y264" s="352"/>
      <c r="Z264" s="118"/>
      <c r="AA264" s="238">
        <v>10000000</v>
      </c>
      <c r="AB264" s="118"/>
      <c r="AC264" s="118"/>
      <c r="AD264" s="213">
        <f t="shared" si="103"/>
        <v>10000000</v>
      </c>
      <c r="AE264" s="120" t="s">
        <v>636</v>
      </c>
      <c r="AF264" s="546" t="s">
        <v>637</v>
      </c>
      <c r="AG264" s="1"/>
    </row>
    <row r="265" spans="1:89" ht="93.75" customHeight="1" x14ac:dyDescent="0.2">
      <c r="A265" s="103"/>
      <c r="B265" s="104"/>
      <c r="C265" s="104"/>
      <c r="D265" s="104"/>
      <c r="E265" s="111"/>
      <c r="F265" s="462"/>
      <c r="G265" s="140" t="s">
        <v>713</v>
      </c>
      <c r="H265" s="135">
        <v>2201060</v>
      </c>
      <c r="I265" s="205" t="s">
        <v>721</v>
      </c>
      <c r="J265" s="235">
        <v>220106000</v>
      </c>
      <c r="K265" s="173" t="s">
        <v>722</v>
      </c>
      <c r="L265" s="466" t="s">
        <v>57</v>
      </c>
      <c r="M265" s="470">
        <v>200</v>
      </c>
      <c r="N265" s="1524"/>
      <c r="O265" s="1535"/>
      <c r="P265" s="1525"/>
      <c r="Q265" s="118"/>
      <c r="R265" s="118"/>
      <c r="S265" s="118"/>
      <c r="T265" s="118"/>
      <c r="U265" s="118"/>
      <c r="V265" s="329"/>
      <c r="W265" s="118"/>
      <c r="X265" s="118"/>
      <c r="Y265" s="352"/>
      <c r="Z265" s="118"/>
      <c r="AA265" s="238">
        <v>10000000</v>
      </c>
      <c r="AB265" s="118"/>
      <c r="AC265" s="118"/>
      <c r="AD265" s="213">
        <f t="shared" si="103"/>
        <v>10000000</v>
      </c>
      <c r="AE265" s="120" t="s">
        <v>636</v>
      </c>
      <c r="AF265" s="546" t="s">
        <v>637</v>
      </c>
      <c r="AG265" s="1"/>
    </row>
    <row r="266" spans="1:89" ht="159.75" customHeight="1" x14ac:dyDescent="0.2">
      <c r="A266" s="103"/>
      <c r="B266" s="104"/>
      <c r="C266" s="104"/>
      <c r="D266" s="104"/>
      <c r="E266" s="111"/>
      <c r="F266" s="462"/>
      <c r="G266" s="140" t="s">
        <v>691</v>
      </c>
      <c r="H266" s="135">
        <v>2201001</v>
      </c>
      <c r="I266" s="205" t="s">
        <v>63</v>
      </c>
      <c r="J266" s="210">
        <v>220100100</v>
      </c>
      <c r="K266" s="173" t="s">
        <v>710</v>
      </c>
      <c r="L266" s="466" t="s">
        <v>45</v>
      </c>
      <c r="M266" s="470">
        <v>5</v>
      </c>
      <c r="N266" s="1523" t="s">
        <v>723</v>
      </c>
      <c r="O266" s="1535" t="s">
        <v>724</v>
      </c>
      <c r="P266" s="1535" t="s">
        <v>725</v>
      </c>
      <c r="Q266" s="118"/>
      <c r="R266" s="118"/>
      <c r="S266" s="118"/>
      <c r="T266" s="118"/>
      <c r="U266" s="118"/>
      <c r="V266" s="329"/>
      <c r="W266" s="118"/>
      <c r="X266" s="118"/>
      <c r="Y266" s="352"/>
      <c r="Z266" s="118"/>
      <c r="AA266" s="238">
        <v>9000000</v>
      </c>
      <c r="AB266" s="118"/>
      <c r="AC266" s="118"/>
      <c r="AD266" s="213">
        <f t="shared" si="103"/>
        <v>9000000</v>
      </c>
      <c r="AE266" s="120" t="s">
        <v>636</v>
      </c>
      <c r="AF266" s="546" t="s">
        <v>637</v>
      </c>
      <c r="AG266" s="1"/>
    </row>
    <row r="267" spans="1:89" ht="122.25" customHeight="1" x14ac:dyDescent="0.2">
      <c r="A267" s="103"/>
      <c r="B267" s="104"/>
      <c r="C267" s="104"/>
      <c r="D267" s="104"/>
      <c r="E267" s="111"/>
      <c r="F267" s="462"/>
      <c r="G267" s="140" t="s">
        <v>641</v>
      </c>
      <c r="H267" s="135">
        <v>2201048</v>
      </c>
      <c r="I267" s="205" t="s">
        <v>726</v>
      </c>
      <c r="J267" s="210">
        <v>220104801</v>
      </c>
      <c r="K267" s="173" t="s">
        <v>727</v>
      </c>
      <c r="L267" s="466" t="s">
        <v>45</v>
      </c>
      <c r="M267" s="470">
        <v>1</v>
      </c>
      <c r="N267" s="1523"/>
      <c r="O267" s="1535"/>
      <c r="P267" s="1535"/>
      <c r="Q267" s="118"/>
      <c r="R267" s="118"/>
      <c r="S267" s="118"/>
      <c r="T267" s="118"/>
      <c r="U267" s="118"/>
      <c r="V267" s="329"/>
      <c r="W267" s="118"/>
      <c r="X267" s="118"/>
      <c r="Y267" s="352"/>
      <c r="Z267" s="118"/>
      <c r="AA267" s="238">
        <v>9000000</v>
      </c>
      <c r="AB267" s="118"/>
      <c r="AC267" s="118"/>
      <c r="AD267" s="213">
        <f t="shared" si="103"/>
        <v>9000000</v>
      </c>
      <c r="AE267" s="120" t="s">
        <v>636</v>
      </c>
      <c r="AF267" s="546" t="s">
        <v>637</v>
      </c>
      <c r="AG267" s="1"/>
    </row>
    <row r="268" spans="1:89" ht="31.5" customHeight="1" x14ac:dyDescent="0.2">
      <c r="A268" s="103"/>
      <c r="B268" s="104"/>
      <c r="C268" s="104"/>
      <c r="D268" s="104"/>
      <c r="E268" s="74">
        <v>2202</v>
      </c>
      <c r="F268" s="471" t="s">
        <v>728</v>
      </c>
      <c r="G268" s="473"/>
      <c r="H268" s="107"/>
      <c r="I268" s="487"/>
      <c r="J268" s="74"/>
      <c r="K268" s="70"/>
      <c r="L268" s="108"/>
      <c r="M268" s="74"/>
      <c r="N268" s="109"/>
      <c r="O268" s="70"/>
      <c r="P268" s="70"/>
      <c r="Q268" s="110">
        <f>SUM(Q269:Q269)</f>
        <v>0</v>
      </c>
      <c r="R268" s="110">
        <f t="shared" ref="R268:AD268" si="104">SUM(R269:R269)</f>
        <v>0</v>
      </c>
      <c r="S268" s="110">
        <f t="shared" si="104"/>
        <v>0</v>
      </c>
      <c r="T268" s="110">
        <f t="shared" si="104"/>
        <v>0</v>
      </c>
      <c r="U268" s="110">
        <f t="shared" si="104"/>
        <v>0</v>
      </c>
      <c r="V268" s="110">
        <f t="shared" si="104"/>
        <v>0</v>
      </c>
      <c r="W268" s="110">
        <f t="shared" si="104"/>
        <v>0</v>
      </c>
      <c r="X268" s="110">
        <f t="shared" si="104"/>
        <v>0</v>
      </c>
      <c r="Y268" s="110">
        <f t="shared" si="104"/>
        <v>0</v>
      </c>
      <c r="Z268" s="110">
        <f t="shared" si="104"/>
        <v>0</v>
      </c>
      <c r="AA268" s="110">
        <f t="shared" si="104"/>
        <v>2100000000</v>
      </c>
      <c r="AB268" s="110">
        <f t="shared" si="104"/>
        <v>0</v>
      </c>
      <c r="AC268" s="110">
        <f t="shared" si="104"/>
        <v>0</v>
      </c>
      <c r="AD268" s="110">
        <f t="shared" si="104"/>
        <v>2100000000</v>
      </c>
      <c r="AE268" s="110"/>
      <c r="AF268" s="544"/>
    </row>
    <row r="269" spans="1:89" s="30" customFormat="1" ht="136.5" customHeight="1" x14ac:dyDescent="0.25">
      <c r="A269" s="455"/>
      <c r="B269" s="104"/>
      <c r="C269" s="104"/>
      <c r="D269" s="104"/>
      <c r="E269" s="247"/>
      <c r="F269" s="248"/>
      <c r="G269" s="140" t="s">
        <v>729</v>
      </c>
      <c r="H269" s="461">
        <v>2202006</v>
      </c>
      <c r="I269" s="193" t="s">
        <v>730</v>
      </c>
      <c r="J269" s="1412">
        <v>220200604</v>
      </c>
      <c r="K269" s="192" t="s">
        <v>731</v>
      </c>
      <c r="L269" s="466" t="s">
        <v>45</v>
      </c>
      <c r="M269" s="470">
        <v>2</v>
      </c>
      <c r="N269" s="454" t="s">
        <v>732</v>
      </c>
      <c r="O269" s="173" t="s">
        <v>733</v>
      </c>
      <c r="P269" s="205" t="s">
        <v>734</v>
      </c>
      <c r="Q269" s="118"/>
      <c r="R269" s="118"/>
      <c r="S269" s="118"/>
      <c r="T269" s="118"/>
      <c r="U269" s="118"/>
      <c r="V269" s="329"/>
      <c r="W269" s="186"/>
      <c r="X269" s="186"/>
      <c r="Y269" s="352"/>
      <c r="Z269" s="118"/>
      <c r="AA269" s="197">
        <f>100000000+2000000000</f>
        <v>2100000000</v>
      </c>
      <c r="AB269" s="118"/>
      <c r="AC269" s="118"/>
      <c r="AD269" s="120">
        <f>+Q269+R269+S269+T269+U269+V269+W269+X269+Y269+Z269+AA269+AB269+AC269</f>
        <v>2100000000</v>
      </c>
      <c r="AE269" s="120" t="s">
        <v>636</v>
      </c>
      <c r="AF269" s="546" t="s">
        <v>637</v>
      </c>
      <c r="AH269" s="537"/>
      <c r="AI269" s="537"/>
      <c r="AJ269" s="537"/>
      <c r="AK269" s="537"/>
      <c r="AL269" s="537"/>
      <c r="AM269" s="537"/>
      <c r="AN269" s="537"/>
      <c r="AO269" s="537"/>
      <c r="AP269" s="537"/>
      <c r="AQ269" s="537"/>
      <c r="AR269" s="537"/>
      <c r="AS269" s="537"/>
      <c r="AT269" s="537"/>
      <c r="AU269" s="537"/>
      <c r="AV269" s="537"/>
      <c r="AW269" s="537"/>
      <c r="AX269" s="537"/>
      <c r="AY269" s="537"/>
      <c r="AZ269" s="537"/>
      <c r="BA269" s="537"/>
      <c r="BB269" s="537"/>
      <c r="BC269" s="537"/>
      <c r="BD269" s="537"/>
      <c r="BE269" s="537"/>
      <c r="BF269" s="537"/>
      <c r="BG269" s="537"/>
      <c r="BH269" s="537"/>
      <c r="BI269" s="537"/>
      <c r="BJ269" s="537"/>
      <c r="BK269" s="537"/>
      <c r="BL269" s="537"/>
      <c r="BM269" s="537"/>
      <c r="BN269" s="537"/>
      <c r="BO269" s="537"/>
      <c r="BP269" s="537"/>
      <c r="BQ269" s="537"/>
      <c r="BR269" s="537"/>
      <c r="BS269" s="537"/>
      <c r="BT269" s="537"/>
      <c r="BU269" s="537"/>
      <c r="BV269" s="537"/>
      <c r="BW269" s="537"/>
      <c r="BX269" s="537"/>
      <c r="BY269" s="537"/>
      <c r="BZ269" s="537"/>
      <c r="CA269" s="537"/>
      <c r="CB269" s="537"/>
      <c r="CC269" s="537"/>
      <c r="CD269" s="537"/>
      <c r="CE269" s="537"/>
      <c r="CF269" s="537"/>
      <c r="CG269" s="537"/>
      <c r="CH269" s="537"/>
      <c r="CI269" s="537"/>
      <c r="CJ269" s="537"/>
      <c r="CK269" s="537"/>
    </row>
    <row r="270" spans="1:89" ht="28.5" customHeight="1" x14ac:dyDescent="0.2">
      <c r="A270" s="103"/>
      <c r="B270" s="99">
        <v>2</v>
      </c>
      <c r="C270" s="365" t="s">
        <v>379</v>
      </c>
      <c r="D270" s="96"/>
      <c r="E270" s="365"/>
      <c r="F270" s="365"/>
      <c r="G270" s="365"/>
      <c r="H270" s="97"/>
      <c r="I270" s="489"/>
      <c r="J270" s="99"/>
      <c r="K270" s="98"/>
      <c r="L270" s="100"/>
      <c r="M270" s="99"/>
      <c r="N270" s="101"/>
      <c r="O270" s="98"/>
      <c r="P270" s="98"/>
      <c r="Q270" s="102">
        <f>Q271</f>
        <v>0</v>
      </c>
      <c r="R270" s="102">
        <f t="shared" ref="R270:AD272" si="105">R271</f>
        <v>0</v>
      </c>
      <c r="S270" s="102">
        <f t="shared" si="105"/>
        <v>0</v>
      </c>
      <c r="T270" s="102">
        <f t="shared" si="105"/>
        <v>0</v>
      </c>
      <c r="U270" s="102">
        <f t="shared" si="105"/>
        <v>0</v>
      </c>
      <c r="V270" s="102">
        <f t="shared" si="105"/>
        <v>0</v>
      </c>
      <c r="W270" s="102">
        <f t="shared" si="105"/>
        <v>0</v>
      </c>
      <c r="X270" s="102">
        <f t="shared" si="105"/>
        <v>0</v>
      </c>
      <c r="Y270" s="102">
        <f t="shared" si="105"/>
        <v>0</v>
      </c>
      <c r="Z270" s="102">
        <f t="shared" si="105"/>
        <v>0</v>
      </c>
      <c r="AA270" s="102">
        <f t="shared" si="105"/>
        <v>7500000</v>
      </c>
      <c r="AB270" s="102">
        <f t="shared" si="105"/>
        <v>0</v>
      </c>
      <c r="AC270" s="102">
        <f t="shared" si="105"/>
        <v>0</v>
      </c>
      <c r="AD270" s="102">
        <f>AD271</f>
        <v>7500000</v>
      </c>
      <c r="AE270" s="102"/>
      <c r="AF270" s="543"/>
      <c r="AG270" s="23"/>
    </row>
    <row r="271" spans="1:89" s="9" customFormat="1" ht="27.75" customHeight="1" x14ac:dyDescent="0.25">
      <c r="A271" s="95"/>
      <c r="B271" s="576"/>
      <c r="C271" s="593">
        <v>39</v>
      </c>
      <c r="D271" s="578" t="s">
        <v>1312</v>
      </c>
      <c r="E271" s="592"/>
      <c r="F271" s="579"/>
      <c r="G271" s="580"/>
      <c r="H271" s="581"/>
      <c r="I271" s="582"/>
      <c r="J271" s="583"/>
      <c r="K271" s="584"/>
      <c r="L271" s="585"/>
      <c r="M271" s="583"/>
      <c r="N271" s="587"/>
      <c r="O271" s="588"/>
      <c r="P271" s="588"/>
      <c r="Q271" s="589">
        <f>Q272</f>
        <v>0</v>
      </c>
      <c r="R271" s="589">
        <f t="shared" si="105"/>
        <v>0</v>
      </c>
      <c r="S271" s="589">
        <f t="shared" si="105"/>
        <v>0</v>
      </c>
      <c r="T271" s="589">
        <f t="shared" si="105"/>
        <v>0</v>
      </c>
      <c r="U271" s="589">
        <f t="shared" si="105"/>
        <v>0</v>
      </c>
      <c r="V271" s="589">
        <f t="shared" si="105"/>
        <v>0</v>
      </c>
      <c r="W271" s="589">
        <f t="shared" si="105"/>
        <v>0</v>
      </c>
      <c r="X271" s="589">
        <f t="shared" si="105"/>
        <v>0</v>
      </c>
      <c r="Y271" s="589">
        <f t="shared" si="105"/>
        <v>0</v>
      </c>
      <c r="Z271" s="589">
        <f t="shared" si="105"/>
        <v>0</v>
      </c>
      <c r="AA271" s="589">
        <f t="shared" si="105"/>
        <v>7500000</v>
      </c>
      <c r="AB271" s="589">
        <f t="shared" si="105"/>
        <v>0</v>
      </c>
      <c r="AC271" s="589">
        <f t="shared" si="105"/>
        <v>0</v>
      </c>
      <c r="AD271" s="589">
        <f t="shared" si="105"/>
        <v>7500000</v>
      </c>
      <c r="AE271" s="589"/>
      <c r="AF271" s="590"/>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c r="CI271" s="8"/>
      <c r="CJ271" s="8"/>
      <c r="CK271" s="8"/>
    </row>
    <row r="272" spans="1:89" ht="26.25" customHeight="1" x14ac:dyDescent="0.2">
      <c r="A272" s="103"/>
      <c r="B272" s="104"/>
      <c r="C272" s="104"/>
      <c r="D272" s="104"/>
      <c r="E272" s="74">
        <v>3904</v>
      </c>
      <c r="F272" s="471" t="s">
        <v>735</v>
      </c>
      <c r="G272" s="473"/>
      <c r="H272" s="107"/>
      <c r="I272" s="487"/>
      <c r="J272" s="74"/>
      <c r="K272" s="70"/>
      <c r="L272" s="108"/>
      <c r="M272" s="74"/>
      <c r="N272" s="109"/>
      <c r="O272" s="70"/>
      <c r="P272" s="70"/>
      <c r="Q272" s="110">
        <f>Q273</f>
        <v>0</v>
      </c>
      <c r="R272" s="110">
        <f t="shared" si="105"/>
        <v>0</v>
      </c>
      <c r="S272" s="110">
        <f t="shared" si="105"/>
        <v>0</v>
      </c>
      <c r="T272" s="110">
        <f t="shared" si="105"/>
        <v>0</v>
      </c>
      <c r="U272" s="110">
        <f t="shared" si="105"/>
        <v>0</v>
      </c>
      <c r="V272" s="110">
        <f t="shared" si="105"/>
        <v>0</v>
      </c>
      <c r="W272" s="110">
        <f t="shared" si="105"/>
        <v>0</v>
      </c>
      <c r="X272" s="110">
        <f t="shared" si="105"/>
        <v>0</v>
      </c>
      <c r="Y272" s="110">
        <f t="shared" si="105"/>
        <v>0</v>
      </c>
      <c r="Z272" s="110">
        <f t="shared" si="105"/>
        <v>0</v>
      </c>
      <c r="AA272" s="110">
        <f t="shared" si="105"/>
        <v>7500000</v>
      </c>
      <c r="AB272" s="110">
        <f t="shared" si="105"/>
        <v>0</v>
      </c>
      <c r="AC272" s="110">
        <f t="shared" si="105"/>
        <v>0</v>
      </c>
      <c r="AD272" s="110">
        <f t="shared" si="105"/>
        <v>7500000</v>
      </c>
      <c r="AE272" s="110"/>
      <c r="AF272" s="544"/>
      <c r="AG272" s="1"/>
    </row>
    <row r="273" spans="1:89" s="30" customFormat="1" ht="147.75" customHeight="1" x14ac:dyDescent="0.25">
      <c r="A273" s="455"/>
      <c r="B273" s="104"/>
      <c r="C273" s="104"/>
      <c r="D273" s="104"/>
      <c r="E273" s="111"/>
      <c r="F273" s="457"/>
      <c r="G273" s="140" t="s">
        <v>736</v>
      </c>
      <c r="H273" s="461">
        <v>3904006</v>
      </c>
      <c r="I273" s="193" t="s">
        <v>737</v>
      </c>
      <c r="J273" s="249">
        <v>390400604</v>
      </c>
      <c r="K273" s="220" t="s">
        <v>738</v>
      </c>
      <c r="L273" s="457" t="s">
        <v>57</v>
      </c>
      <c r="M273" s="470">
        <v>18</v>
      </c>
      <c r="N273" s="402" t="s">
        <v>739</v>
      </c>
      <c r="O273" s="173" t="s">
        <v>740</v>
      </c>
      <c r="P273" s="205" t="s">
        <v>741</v>
      </c>
      <c r="Q273" s="118"/>
      <c r="R273" s="118"/>
      <c r="S273" s="118"/>
      <c r="T273" s="118"/>
      <c r="U273" s="118"/>
      <c r="V273" s="329"/>
      <c r="W273" s="186"/>
      <c r="X273" s="186"/>
      <c r="Y273" s="352"/>
      <c r="Z273" s="118"/>
      <c r="AA273" s="197">
        <v>7500000</v>
      </c>
      <c r="AB273" s="118"/>
      <c r="AC273" s="118"/>
      <c r="AD273" s="120">
        <f>+Q273+R273+S273+T273+U273+V273+W273+X273+Y273+Z273+AA273+AB273+AC273</f>
        <v>7500000</v>
      </c>
      <c r="AE273" s="120" t="s">
        <v>636</v>
      </c>
      <c r="AF273" s="546" t="s">
        <v>637</v>
      </c>
      <c r="AH273" s="537"/>
      <c r="AI273" s="537"/>
      <c r="AJ273" s="537"/>
      <c r="AK273" s="537"/>
      <c r="AL273" s="537"/>
      <c r="AM273" s="537"/>
      <c r="AN273" s="537"/>
      <c r="AO273" s="537"/>
      <c r="AP273" s="537"/>
      <c r="AQ273" s="537"/>
      <c r="AR273" s="537"/>
      <c r="AS273" s="537"/>
      <c r="AT273" s="537"/>
      <c r="AU273" s="537"/>
      <c r="AV273" s="537"/>
      <c r="AW273" s="537"/>
      <c r="AX273" s="537"/>
      <c r="AY273" s="537"/>
      <c r="AZ273" s="537"/>
      <c r="BA273" s="537"/>
      <c r="BB273" s="537"/>
      <c r="BC273" s="537"/>
      <c r="BD273" s="537"/>
      <c r="BE273" s="537"/>
      <c r="BF273" s="537"/>
      <c r="BG273" s="537"/>
      <c r="BH273" s="537"/>
      <c r="BI273" s="537"/>
      <c r="BJ273" s="537"/>
      <c r="BK273" s="537"/>
      <c r="BL273" s="537"/>
      <c r="BM273" s="537"/>
      <c r="BN273" s="537"/>
      <c r="BO273" s="537"/>
      <c r="BP273" s="537"/>
      <c r="BQ273" s="537"/>
      <c r="BR273" s="537"/>
      <c r="BS273" s="537"/>
      <c r="BT273" s="537"/>
      <c r="BU273" s="537"/>
      <c r="BV273" s="537"/>
      <c r="BW273" s="537"/>
      <c r="BX273" s="537"/>
      <c r="BY273" s="537"/>
      <c r="BZ273" s="537"/>
      <c r="CA273" s="537"/>
      <c r="CB273" s="537"/>
      <c r="CC273" s="537"/>
      <c r="CD273" s="537"/>
      <c r="CE273" s="537"/>
      <c r="CF273" s="537"/>
      <c r="CG273" s="537"/>
      <c r="CH273" s="537"/>
      <c r="CI273" s="537"/>
      <c r="CJ273" s="537"/>
      <c r="CK273" s="537"/>
    </row>
    <row r="274" spans="1:89" s="442" customFormat="1" ht="25.5" customHeight="1" x14ac:dyDescent="0.2">
      <c r="A274" s="597"/>
      <c r="B274" s="598"/>
      <c r="C274" s="598"/>
      <c r="D274" s="598"/>
      <c r="E274" s="599"/>
      <c r="F274" s="600"/>
      <c r="G274" s="601"/>
      <c r="H274" s="599"/>
      <c r="I274" s="601"/>
      <c r="J274" s="602"/>
      <c r="K274" s="603"/>
      <c r="L274" s="600"/>
      <c r="M274" s="602"/>
      <c r="N274" s="600"/>
      <c r="O274" s="603"/>
      <c r="P274" s="603"/>
      <c r="Q274" s="597"/>
      <c r="R274" s="597"/>
      <c r="S274" s="597"/>
      <c r="T274" s="597"/>
      <c r="U274" s="597"/>
      <c r="V274" s="597"/>
      <c r="W274" s="648"/>
      <c r="X274" s="648"/>
      <c r="Y274" s="597"/>
      <c r="Z274" s="597"/>
      <c r="AA274" s="649"/>
      <c r="AB274" s="597"/>
      <c r="AC274" s="597"/>
      <c r="AD274" s="648"/>
      <c r="AE274" s="648"/>
      <c r="AF274" s="650"/>
      <c r="AG274" s="437"/>
      <c r="AH274" s="437"/>
      <c r="AI274" s="437"/>
      <c r="AJ274" s="437"/>
      <c r="AK274" s="437"/>
      <c r="AL274" s="437"/>
      <c r="AM274" s="437"/>
      <c r="AN274" s="437"/>
      <c r="AO274" s="437"/>
      <c r="AP274" s="437"/>
      <c r="AQ274" s="437"/>
      <c r="AR274" s="437"/>
      <c r="AS274" s="437"/>
      <c r="AT274" s="437"/>
      <c r="AU274" s="437"/>
      <c r="AV274" s="437"/>
      <c r="AW274" s="437"/>
      <c r="AX274" s="437"/>
      <c r="AY274" s="437"/>
      <c r="AZ274" s="437"/>
      <c r="BA274" s="437"/>
      <c r="BB274" s="437"/>
      <c r="BC274" s="437"/>
      <c r="BD274" s="437"/>
      <c r="BE274" s="437"/>
      <c r="BF274" s="437"/>
      <c r="BG274" s="437"/>
      <c r="BH274" s="437"/>
      <c r="BI274" s="437"/>
      <c r="BJ274" s="437"/>
      <c r="BK274" s="437"/>
      <c r="BL274" s="437"/>
      <c r="BM274" s="437"/>
      <c r="BN274" s="437"/>
      <c r="BO274" s="437"/>
      <c r="BP274" s="437"/>
      <c r="BQ274" s="437"/>
      <c r="BR274" s="437"/>
      <c r="BS274" s="437"/>
      <c r="BT274" s="437"/>
      <c r="BU274" s="437"/>
      <c r="BV274" s="437"/>
      <c r="BW274" s="437"/>
      <c r="BX274" s="437"/>
      <c r="BY274" s="437"/>
      <c r="BZ274" s="437"/>
      <c r="CA274" s="437"/>
      <c r="CB274" s="437"/>
      <c r="CC274" s="437"/>
      <c r="CD274" s="437"/>
      <c r="CE274" s="437"/>
      <c r="CF274" s="437"/>
      <c r="CG274" s="437"/>
      <c r="CH274" s="437"/>
      <c r="CI274" s="437"/>
      <c r="CJ274" s="437"/>
      <c r="CK274" s="437"/>
    </row>
    <row r="275" spans="1:89" s="11" customFormat="1" ht="24.75" customHeight="1" x14ac:dyDescent="0.2">
      <c r="A275" s="86" t="s">
        <v>742</v>
      </c>
      <c r="B275" s="86"/>
      <c r="C275" s="86"/>
      <c r="D275" s="86"/>
      <c r="E275" s="87"/>
      <c r="F275" s="88"/>
      <c r="G275" s="89"/>
      <c r="H275" s="90"/>
      <c r="I275" s="89"/>
      <c r="J275" s="92"/>
      <c r="K275" s="91"/>
      <c r="L275" s="93"/>
      <c r="M275" s="92"/>
      <c r="N275" s="88"/>
      <c r="O275" s="91"/>
      <c r="P275" s="91"/>
      <c r="Q275" s="144">
        <f t="shared" ref="Q275:AD275" si="106">Q276+Q313+Q320</f>
        <v>3526539574</v>
      </c>
      <c r="R275" s="144">
        <f t="shared" si="106"/>
        <v>0</v>
      </c>
      <c r="S275" s="144">
        <f t="shared" si="106"/>
        <v>0</v>
      </c>
      <c r="T275" s="144">
        <f t="shared" si="106"/>
        <v>0</v>
      </c>
      <c r="U275" s="144">
        <f t="shared" si="106"/>
        <v>0</v>
      </c>
      <c r="V275" s="144">
        <f t="shared" si="106"/>
        <v>0</v>
      </c>
      <c r="W275" s="144">
        <f t="shared" si="106"/>
        <v>0</v>
      </c>
      <c r="X275" s="144">
        <f t="shared" si="106"/>
        <v>0</v>
      </c>
      <c r="Y275" s="144">
        <f t="shared" si="106"/>
        <v>0</v>
      </c>
      <c r="Z275" s="144">
        <f t="shared" si="106"/>
        <v>0</v>
      </c>
      <c r="AA275" s="144">
        <f t="shared" si="106"/>
        <v>1656250000</v>
      </c>
      <c r="AB275" s="144">
        <f t="shared" si="106"/>
        <v>0</v>
      </c>
      <c r="AC275" s="144">
        <f t="shared" si="106"/>
        <v>0</v>
      </c>
      <c r="AD275" s="144">
        <f t="shared" si="106"/>
        <v>5182789574</v>
      </c>
      <c r="AE275" s="144"/>
      <c r="AF275" s="94"/>
      <c r="AG275" s="18">
        <v>5182789574</v>
      </c>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row>
    <row r="276" spans="1:89" s="11" customFormat="1" ht="33.75" customHeight="1" x14ac:dyDescent="0.2">
      <c r="A276" s="133"/>
      <c r="B276" s="96">
        <v>1</v>
      </c>
      <c r="C276" s="96"/>
      <c r="D276" s="96"/>
      <c r="E276" s="1502" t="s">
        <v>134</v>
      </c>
      <c r="F276" s="1502"/>
      <c r="G276" s="1502"/>
      <c r="H276" s="97"/>
      <c r="I276" s="489"/>
      <c r="J276" s="99"/>
      <c r="K276" s="98"/>
      <c r="L276" s="100"/>
      <c r="M276" s="99"/>
      <c r="N276" s="101"/>
      <c r="O276" s="98"/>
      <c r="P276" s="98"/>
      <c r="Q276" s="102">
        <f>Q277+Q281+Q284</f>
        <v>3526539574</v>
      </c>
      <c r="R276" s="102">
        <f t="shared" ref="R276:AF276" si="107">R277+R281+R284</f>
        <v>0</v>
      </c>
      <c r="S276" s="102">
        <f t="shared" si="107"/>
        <v>0</v>
      </c>
      <c r="T276" s="102">
        <f t="shared" si="107"/>
        <v>0</v>
      </c>
      <c r="U276" s="102">
        <f t="shared" si="107"/>
        <v>0</v>
      </c>
      <c r="V276" s="102">
        <f t="shared" si="107"/>
        <v>0</v>
      </c>
      <c r="W276" s="102">
        <f t="shared" si="107"/>
        <v>0</v>
      </c>
      <c r="X276" s="102">
        <f t="shared" si="107"/>
        <v>0</v>
      </c>
      <c r="Y276" s="102">
        <f t="shared" si="107"/>
        <v>0</v>
      </c>
      <c r="Z276" s="102">
        <f t="shared" si="107"/>
        <v>0</v>
      </c>
      <c r="AA276" s="102">
        <f t="shared" si="107"/>
        <v>1536250000</v>
      </c>
      <c r="AB276" s="102">
        <f t="shared" si="107"/>
        <v>0</v>
      </c>
      <c r="AC276" s="102">
        <f t="shared" si="107"/>
        <v>0</v>
      </c>
      <c r="AD276" s="102">
        <f t="shared" si="107"/>
        <v>5062789574</v>
      </c>
      <c r="AE276" s="102">
        <f t="shared" si="107"/>
        <v>0</v>
      </c>
      <c r="AF276" s="102">
        <f t="shared" si="107"/>
        <v>0</v>
      </c>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row>
    <row r="277" spans="1:89" s="9" customFormat="1" ht="27.75" customHeight="1" x14ac:dyDescent="0.25">
      <c r="A277" s="95"/>
      <c r="B277" s="576"/>
      <c r="C277" s="593">
        <v>19</v>
      </c>
      <c r="D277" s="578" t="s">
        <v>1304</v>
      </c>
      <c r="E277" s="592"/>
      <c r="F277" s="579"/>
      <c r="G277" s="580"/>
      <c r="H277" s="581"/>
      <c r="I277" s="582"/>
      <c r="J277" s="583"/>
      <c r="K277" s="584"/>
      <c r="L277" s="585"/>
      <c r="M277" s="583"/>
      <c r="N277" s="587"/>
      <c r="O277" s="588"/>
      <c r="P277" s="588"/>
      <c r="Q277" s="589">
        <f>Q278</f>
        <v>0</v>
      </c>
      <c r="R277" s="589">
        <f t="shared" ref="R277:AD277" si="108">R278</f>
        <v>0</v>
      </c>
      <c r="S277" s="589">
        <f t="shared" si="108"/>
        <v>0</v>
      </c>
      <c r="T277" s="589">
        <f t="shared" si="108"/>
        <v>0</v>
      </c>
      <c r="U277" s="589">
        <f t="shared" si="108"/>
        <v>0</v>
      </c>
      <c r="V277" s="589">
        <f t="shared" si="108"/>
        <v>0</v>
      </c>
      <c r="W277" s="589">
        <f t="shared" si="108"/>
        <v>0</v>
      </c>
      <c r="X277" s="589">
        <f t="shared" si="108"/>
        <v>0</v>
      </c>
      <c r="Y277" s="589">
        <f t="shared" si="108"/>
        <v>0</v>
      </c>
      <c r="Z277" s="589">
        <f t="shared" si="108"/>
        <v>0</v>
      </c>
      <c r="AA277" s="589">
        <f t="shared" si="108"/>
        <v>175000000</v>
      </c>
      <c r="AB277" s="589">
        <f t="shared" si="108"/>
        <v>0</v>
      </c>
      <c r="AC277" s="589">
        <f t="shared" si="108"/>
        <v>0</v>
      </c>
      <c r="AD277" s="589">
        <f t="shared" si="108"/>
        <v>175000000</v>
      </c>
      <c r="AE277" s="589"/>
      <c r="AF277" s="590"/>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c r="CI277" s="8"/>
      <c r="CJ277" s="8"/>
      <c r="CK277" s="8"/>
    </row>
    <row r="278" spans="1:89" s="11" customFormat="1" ht="24.75" customHeight="1" x14ac:dyDescent="0.2">
      <c r="A278" s="133"/>
      <c r="B278" s="104"/>
      <c r="C278" s="104"/>
      <c r="D278" s="104"/>
      <c r="E278" s="74">
        <v>1905</v>
      </c>
      <c r="F278" s="525" t="s">
        <v>743</v>
      </c>
      <c r="G278" s="526"/>
      <c r="H278" s="107"/>
      <c r="I278" s="487"/>
      <c r="J278" s="74"/>
      <c r="K278" s="70"/>
      <c r="L278" s="108"/>
      <c r="M278" s="74"/>
      <c r="N278" s="109"/>
      <c r="O278" s="70"/>
      <c r="P278" s="70"/>
      <c r="Q278" s="130">
        <f>SUM(Q279:Q280)</f>
        <v>0</v>
      </c>
      <c r="R278" s="130">
        <f t="shared" ref="R278:AD278" si="109">SUM(R279:R280)</f>
        <v>0</v>
      </c>
      <c r="S278" s="130">
        <f t="shared" si="109"/>
        <v>0</v>
      </c>
      <c r="T278" s="130">
        <f t="shared" si="109"/>
        <v>0</v>
      </c>
      <c r="U278" s="130">
        <f t="shared" si="109"/>
        <v>0</v>
      </c>
      <c r="V278" s="130">
        <f t="shared" si="109"/>
        <v>0</v>
      </c>
      <c r="W278" s="130">
        <f t="shared" si="109"/>
        <v>0</v>
      </c>
      <c r="X278" s="130">
        <f t="shared" si="109"/>
        <v>0</v>
      </c>
      <c r="Y278" s="130">
        <f t="shared" si="109"/>
        <v>0</v>
      </c>
      <c r="Z278" s="130">
        <f t="shared" si="109"/>
        <v>0</v>
      </c>
      <c r="AA278" s="130">
        <f t="shared" si="109"/>
        <v>175000000</v>
      </c>
      <c r="AB278" s="130">
        <f t="shared" si="109"/>
        <v>0</v>
      </c>
      <c r="AC278" s="130">
        <f t="shared" si="109"/>
        <v>0</v>
      </c>
      <c r="AD278" s="130">
        <f t="shared" si="109"/>
        <v>175000000</v>
      </c>
      <c r="AE278" s="130"/>
      <c r="AF278" s="130"/>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row>
    <row r="279" spans="1:89" s="11" customFormat="1" ht="281.25" customHeight="1" x14ac:dyDescent="0.2">
      <c r="A279" s="133"/>
      <c r="B279" s="104"/>
      <c r="C279" s="104"/>
      <c r="D279" s="104"/>
      <c r="E279" s="461"/>
      <c r="F279" s="462"/>
      <c r="G279" s="193" t="s">
        <v>744</v>
      </c>
      <c r="H279" s="160">
        <v>1905021</v>
      </c>
      <c r="I279" s="193" t="s">
        <v>745</v>
      </c>
      <c r="J279" s="160">
        <v>190502100</v>
      </c>
      <c r="K279" s="192" t="s">
        <v>746</v>
      </c>
      <c r="L279" s="466" t="s">
        <v>45</v>
      </c>
      <c r="M279" s="470">
        <v>12</v>
      </c>
      <c r="N279" s="1553" t="s">
        <v>747</v>
      </c>
      <c r="O279" s="1527" t="s">
        <v>748</v>
      </c>
      <c r="P279" s="1527" t="s">
        <v>749</v>
      </c>
      <c r="Q279" s="118">
        <v>0</v>
      </c>
      <c r="R279" s="118">
        <v>0</v>
      </c>
      <c r="S279" s="118">
        <v>0</v>
      </c>
      <c r="T279" s="118">
        <v>0</v>
      </c>
      <c r="U279" s="118">
        <v>0</v>
      </c>
      <c r="V279" s="329">
        <v>0</v>
      </c>
      <c r="W279" s="118">
        <v>0</v>
      </c>
      <c r="X279" s="118">
        <v>0</v>
      </c>
      <c r="Y279" s="352">
        <v>0</v>
      </c>
      <c r="Z279" s="118">
        <v>0</v>
      </c>
      <c r="AA279" s="132">
        <v>100000000</v>
      </c>
      <c r="AB279" s="118">
        <v>0</v>
      </c>
      <c r="AC279" s="118">
        <v>0</v>
      </c>
      <c r="AD279" s="120">
        <f>+Q279+R279+S279+T279+U279+V279+W279+X279+Y279+Z279+AA279+AB279+AC279</f>
        <v>100000000</v>
      </c>
      <c r="AE279" s="120" t="s">
        <v>750</v>
      </c>
      <c r="AF279" s="546" t="s">
        <v>751</v>
      </c>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row>
    <row r="280" spans="1:89" s="11" customFormat="1" ht="186" customHeight="1" x14ac:dyDescent="0.2">
      <c r="A280" s="133"/>
      <c r="B280" s="104"/>
      <c r="C280" s="104"/>
      <c r="D280" s="104"/>
      <c r="E280" s="461"/>
      <c r="F280" s="462"/>
      <c r="G280" s="193" t="s">
        <v>752</v>
      </c>
      <c r="H280" s="250">
        <v>1905022</v>
      </c>
      <c r="I280" s="490" t="s">
        <v>753</v>
      </c>
      <c r="J280" s="171">
        <v>190502200</v>
      </c>
      <c r="K280" s="220" t="s">
        <v>754</v>
      </c>
      <c r="L280" s="466" t="s">
        <v>45</v>
      </c>
      <c r="M280" s="470">
        <v>12</v>
      </c>
      <c r="N280" s="1553"/>
      <c r="O280" s="1527"/>
      <c r="P280" s="1527"/>
      <c r="Q280" s="118">
        <v>0</v>
      </c>
      <c r="R280" s="118"/>
      <c r="S280" s="118"/>
      <c r="T280" s="118"/>
      <c r="U280" s="118"/>
      <c r="V280" s="329"/>
      <c r="W280" s="118"/>
      <c r="X280" s="118"/>
      <c r="Y280" s="352"/>
      <c r="Z280" s="118"/>
      <c r="AA280" s="132">
        <v>75000000</v>
      </c>
      <c r="AB280" s="118"/>
      <c r="AC280" s="118"/>
      <c r="AD280" s="120">
        <f>+Q280+R280+S280+T280+U280+V280+W280+X280+Y280+Z280+AA280+AB280+AC280</f>
        <v>75000000</v>
      </c>
      <c r="AE280" s="120" t="s">
        <v>750</v>
      </c>
      <c r="AF280" s="546" t="s">
        <v>751</v>
      </c>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row>
    <row r="281" spans="1:89" s="9" customFormat="1" ht="27.75" customHeight="1" x14ac:dyDescent="0.25">
      <c r="A281" s="95"/>
      <c r="B281" s="576"/>
      <c r="C281" s="593">
        <v>33</v>
      </c>
      <c r="D281" s="577" t="s">
        <v>1305</v>
      </c>
      <c r="E281" s="592"/>
      <c r="F281" s="579"/>
      <c r="G281" s="580"/>
      <c r="H281" s="581"/>
      <c r="I281" s="582"/>
      <c r="J281" s="583"/>
      <c r="K281" s="584"/>
      <c r="L281" s="585"/>
      <c r="M281" s="583"/>
      <c r="N281" s="587"/>
      <c r="O281" s="588"/>
      <c r="P281" s="588"/>
      <c r="Q281" s="589">
        <f>Q282</f>
        <v>0</v>
      </c>
      <c r="R281" s="589">
        <f t="shared" ref="R281:AD281" si="110">R282</f>
        <v>0</v>
      </c>
      <c r="S281" s="589">
        <f t="shared" si="110"/>
        <v>0</v>
      </c>
      <c r="T281" s="589">
        <f t="shared" si="110"/>
        <v>0</v>
      </c>
      <c r="U281" s="589">
        <f t="shared" si="110"/>
        <v>0</v>
      </c>
      <c r="V281" s="589">
        <f t="shared" si="110"/>
        <v>0</v>
      </c>
      <c r="W281" s="589">
        <f t="shared" si="110"/>
        <v>0</v>
      </c>
      <c r="X281" s="589">
        <f t="shared" si="110"/>
        <v>0</v>
      </c>
      <c r="Y281" s="589">
        <f t="shared" si="110"/>
        <v>0</v>
      </c>
      <c r="Z281" s="589">
        <f t="shared" si="110"/>
        <v>0</v>
      </c>
      <c r="AA281" s="589">
        <f t="shared" si="110"/>
        <v>14250000</v>
      </c>
      <c r="AB281" s="589">
        <f t="shared" si="110"/>
        <v>0</v>
      </c>
      <c r="AC281" s="589">
        <f t="shared" si="110"/>
        <v>0</v>
      </c>
      <c r="AD281" s="589">
        <f t="shared" si="110"/>
        <v>14250000</v>
      </c>
      <c r="AE281" s="589"/>
      <c r="AF281" s="590"/>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c r="CI281" s="8"/>
      <c r="CJ281" s="8"/>
      <c r="CK281" s="8"/>
    </row>
    <row r="282" spans="1:89" s="11" customFormat="1" ht="23.25" customHeight="1" x14ac:dyDescent="0.2">
      <c r="A282" s="133"/>
      <c r="B282" s="104"/>
      <c r="C282" s="104"/>
      <c r="D282" s="104"/>
      <c r="E282" s="74">
        <v>3301</v>
      </c>
      <c r="F282" s="471" t="s">
        <v>159</v>
      </c>
      <c r="G282" s="473"/>
      <c r="H282" s="107"/>
      <c r="I282" s="487"/>
      <c r="J282" s="74"/>
      <c r="K282" s="70"/>
      <c r="L282" s="252"/>
      <c r="M282" s="74"/>
      <c r="N282" s="109"/>
      <c r="O282" s="70"/>
      <c r="P282" s="70"/>
      <c r="Q282" s="130">
        <f>SUM(Q283)</f>
        <v>0</v>
      </c>
      <c r="R282" s="130">
        <f t="shared" ref="R282:AD282" si="111">SUM(R283)</f>
        <v>0</v>
      </c>
      <c r="S282" s="130">
        <f t="shared" si="111"/>
        <v>0</v>
      </c>
      <c r="T282" s="130">
        <f t="shared" si="111"/>
        <v>0</v>
      </c>
      <c r="U282" s="130">
        <f t="shared" si="111"/>
        <v>0</v>
      </c>
      <c r="V282" s="130">
        <f t="shared" si="111"/>
        <v>0</v>
      </c>
      <c r="W282" s="130">
        <f t="shared" si="111"/>
        <v>0</v>
      </c>
      <c r="X282" s="130">
        <f t="shared" si="111"/>
        <v>0</v>
      </c>
      <c r="Y282" s="130">
        <f t="shared" si="111"/>
        <v>0</v>
      </c>
      <c r="Z282" s="130">
        <f t="shared" si="111"/>
        <v>0</v>
      </c>
      <c r="AA282" s="130">
        <f>SUM(AA283)</f>
        <v>14250000</v>
      </c>
      <c r="AB282" s="130">
        <f t="shared" si="111"/>
        <v>0</v>
      </c>
      <c r="AC282" s="130">
        <f t="shared" si="111"/>
        <v>0</v>
      </c>
      <c r="AD282" s="130">
        <f t="shared" si="111"/>
        <v>14250000</v>
      </c>
      <c r="AE282" s="130"/>
      <c r="AF282" s="130"/>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row>
    <row r="283" spans="1:89" s="11" customFormat="1" ht="183" customHeight="1" x14ac:dyDescent="0.2">
      <c r="A283" s="133"/>
      <c r="B283" s="104"/>
      <c r="C283" s="104"/>
      <c r="D283" s="104"/>
      <c r="E283" s="461"/>
      <c r="F283" s="462"/>
      <c r="G283" s="193" t="s">
        <v>755</v>
      </c>
      <c r="H283" s="160">
        <v>3301051</v>
      </c>
      <c r="I283" s="193" t="s">
        <v>756</v>
      </c>
      <c r="J283" s="160">
        <v>330105110</v>
      </c>
      <c r="K283" s="192" t="s">
        <v>757</v>
      </c>
      <c r="L283" s="466" t="s">
        <v>57</v>
      </c>
      <c r="M283" s="470">
        <v>250</v>
      </c>
      <c r="N283" s="454" t="s">
        <v>758</v>
      </c>
      <c r="O283" s="192" t="s">
        <v>759</v>
      </c>
      <c r="P283" s="193" t="s">
        <v>760</v>
      </c>
      <c r="Q283" s="118"/>
      <c r="R283" s="118"/>
      <c r="S283" s="118"/>
      <c r="T283" s="118"/>
      <c r="U283" s="118"/>
      <c r="V283" s="329"/>
      <c r="W283" s="118"/>
      <c r="X283" s="118"/>
      <c r="Y283" s="352"/>
      <c r="Z283" s="118"/>
      <c r="AA283" s="132">
        <v>14250000</v>
      </c>
      <c r="AB283" s="118"/>
      <c r="AC283" s="118"/>
      <c r="AD283" s="120">
        <f>+Q283+R283+S283+T283+U283+V283+W283+X283+Y283+Z283+AA283+AB283+AC283</f>
        <v>14250000</v>
      </c>
      <c r="AE283" s="120" t="s">
        <v>750</v>
      </c>
      <c r="AF283" s="546" t="s">
        <v>751</v>
      </c>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row>
    <row r="284" spans="1:89" s="9" customFormat="1" ht="27.75" customHeight="1" x14ac:dyDescent="0.25">
      <c r="A284" s="95"/>
      <c r="B284" s="576"/>
      <c r="C284" s="593">
        <v>41</v>
      </c>
      <c r="D284" s="592" t="s">
        <v>1308</v>
      </c>
      <c r="E284" s="592"/>
      <c r="F284" s="579"/>
      <c r="G284" s="580"/>
      <c r="H284" s="581"/>
      <c r="I284" s="582"/>
      <c r="J284" s="583"/>
      <c r="K284" s="584"/>
      <c r="L284" s="585"/>
      <c r="M284" s="583"/>
      <c r="N284" s="587"/>
      <c r="O284" s="588"/>
      <c r="P284" s="588"/>
      <c r="Q284" s="589">
        <f>Q285+Q295+Q303</f>
        <v>3526539574</v>
      </c>
      <c r="R284" s="589">
        <f t="shared" ref="R284:AD284" si="112">R285+R295+R303</f>
        <v>0</v>
      </c>
      <c r="S284" s="589">
        <f t="shared" si="112"/>
        <v>0</v>
      </c>
      <c r="T284" s="589">
        <f t="shared" si="112"/>
        <v>0</v>
      </c>
      <c r="U284" s="589">
        <f t="shared" si="112"/>
        <v>0</v>
      </c>
      <c r="V284" s="589">
        <f t="shared" si="112"/>
        <v>0</v>
      </c>
      <c r="W284" s="589">
        <f t="shared" si="112"/>
        <v>0</v>
      </c>
      <c r="X284" s="589">
        <f t="shared" si="112"/>
        <v>0</v>
      </c>
      <c r="Y284" s="589">
        <f t="shared" si="112"/>
        <v>0</v>
      </c>
      <c r="Z284" s="589">
        <f t="shared" si="112"/>
        <v>0</v>
      </c>
      <c r="AA284" s="589">
        <f t="shared" si="112"/>
        <v>1347000000</v>
      </c>
      <c r="AB284" s="589">
        <f t="shared" si="112"/>
        <v>0</v>
      </c>
      <c r="AC284" s="589">
        <f t="shared" si="112"/>
        <v>0</v>
      </c>
      <c r="AD284" s="589">
        <f t="shared" si="112"/>
        <v>4873539574</v>
      </c>
      <c r="AE284" s="589"/>
      <c r="AF284" s="590"/>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c r="CI284" s="8"/>
      <c r="CJ284" s="8"/>
      <c r="CK284" s="8"/>
    </row>
    <row r="285" spans="1:89" s="11" customFormat="1" ht="24.75" customHeight="1" x14ac:dyDescent="0.2">
      <c r="A285" s="133"/>
      <c r="B285" s="104"/>
      <c r="C285" s="104"/>
      <c r="D285" s="104"/>
      <c r="E285" s="74">
        <v>4102</v>
      </c>
      <c r="F285" s="732" t="s">
        <v>761</v>
      </c>
      <c r="G285" s="473"/>
      <c r="H285" s="107"/>
      <c r="I285" s="487"/>
      <c r="J285" s="74"/>
      <c r="K285" s="70"/>
      <c r="L285" s="108"/>
      <c r="M285" s="74"/>
      <c r="N285" s="109"/>
      <c r="O285" s="70"/>
      <c r="P285" s="70"/>
      <c r="Q285" s="130">
        <f>SUM(Q286:Q294)</f>
        <v>0</v>
      </c>
      <c r="R285" s="130">
        <f t="shared" ref="R285:AD285" si="113">SUM(R286:R294)</f>
        <v>0</v>
      </c>
      <c r="S285" s="130">
        <f t="shared" si="113"/>
        <v>0</v>
      </c>
      <c r="T285" s="130">
        <f t="shared" si="113"/>
        <v>0</v>
      </c>
      <c r="U285" s="130">
        <f t="shared" si="113"/>
        <v>0</v>
      </c>
      <c r="V285" s="130">
        <f t="shared" si="113"/>
        <v>0</v>
      </c>
      <c r="W285" s="130">
        <f t="shared" si="113"/>
        <v>0</v>
      </c>
      <c r="X285" s="130">
        <f t="shared" si="113"/>
        <v>0</v>
      </c>
      <c r="Y285" s="130">
        <f t="shared" si="113"/>
        <v>0</v>
      </c>
      <c r="Z285" s="130">
        <f t="shared" si="113"/>
        <v>0</v>
      </c>
      <c r="AA285" s="130">
        <f t="shared" si="113"/>
        <v>748000000</v>
      </c>
      <c r="AB285" s="130">
        <f t="shared" si="113"/>
        <v>0</v>
      </c>
      <c r="AC285" s="130">
        <f t="shared" si="113"/>
        <v>0</v>
      </c>
      <c r="AD285" s="130">
        <f t="shared" si="113"/>
        <v>748000000</v>
      </c>
      <c r="AE285" s="130"/>
      <c r="AF285" s="130"/>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row>
    <row r="286" spans="1:89" s="11" customFormat="1" ht="83.25" customHeight="1" x14ac:dyDescent="0.2">
      <c r="A286" s="133"/>
      <c r="B286" s="104"/>
      <c r="C286" s="104"/>
      <c r="D286" s="104"/>
      <c r="E286" s="111"/>
      <c r="F286" s="462"/>
      <c r="G286" s="193" t="s">
        <v>762</v>
      </c>
      <c r="H286" s="179">
        <v>4102035</v>
      </c>
      <c r="I286" s="193" t="s">
        <v>763</v>
      </c>
      <c r="J286" s="253">
        <v>410203500</v>
      </c>
      <c r="K286" s="185" t="s">
        <v>764</v>
      </c>
      <c r="L286" s="177" t="s">
        <v>45</v>
      </c>
      <c r="M286" s="164">
        <v>1</v>
      </c>
      <c r="N286" s="1523" t="s">
        <v>765</v>
      </c>
      <c r="O286" s="1519" t="s">
        <v>766</v>
      </c>
      <c r="P286" s="1503" t="s">
        <v>767</v>
      </c>
      <c r="Q286" s="118"/>
      <c r="R286" s="118"/>
      <c r="S286" s="118"/>
      <c r="T286" s="118"/>
      <c r="U286" s="118"/>
      <c r="V286" s="329"/>
      <c r="W286" s="118"/>
      <c r="X286" s="118"/>
      <c r="Y286" s="352"/>
      <c r="Z286" s="118"/>
      <c r="AA286" s="132">
        <v>20000000</v>
      </c>
      <c r="AB286" s="118"/>
      <c r="AC286" s="118"/>
      <c r="AD286" s="120">
        <f t="shared" ref="AD286:AD294" si="114">+Q286+R286+S286+T286+U286+V286+W286+X286+Y286+Z286+AA286+AB286+AC286</f>
        <v>20000000</v>
      </c>
      <c r="AE286" s="120" t="s">
        <v>750</v>
      </c>
      <c r="AF286" s="546" t="s">
        <v>751</v>
      </c>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row>
    <row r="287" spans="1:89" s="11" customFormat="1" ht="92.25" customHeight="1" x14ac:dyDescent="0.2">
      <c r="A287" s="254"/>
      <c r="B287" s="104"/>
      <c r="C287" s="104"/>
      <c r="D287" s="104"/>
      <c r="E287" s="209"/>
      <c r="F287" s="204"/>
      <c r="G287" s="205" t="s">
        <v>768</v>
      </c>
      <c r="H287" s="255">
        <v>4102001</v>
      </c>
      <c r="I287" s="193" t="s">
        <v>769</v>
      </c>
      <c r="J287" s="255">
        <v>410200100</v>
      </c>
      <c r="K287" s="185" t="s">
        <v>770</v>
      </c>
      <c r="L287" s="177" t="s">
        <v>45</v>
      </c>
      <c r="M287" s="164">
        <v>12</v>
      </c>
      <c r="N287" s="1523"/>
      <c r="O287" s="1519"/>
      <c r="P287" s="1503"/>
      <c r="Q287" s="118"/>
      <c r="R287" s="118"/>
      <c r="S287" s="118"/>
      <c r="T287" s="118"/>
      <c r="U287" s="118"/>
      <c r="V287" s="329"/>
      <c r="W287" s="118"/>
      <c r="X287" s="118"/>
      <c r="Y287" s="352"/>
      <c r="Z287" s="118"/>
      <c r="AA287" s="132">
        <v>50000000</v>
      </c>
      <c r="AB287" s="118"/>
      <c r="AC287" s="118"/>
      <c r="AD287" s="120">
        <f t="shared" si="114"/>
        <v>50000000</v>
      </c>
      <c r="AE287" s="120" t="s">
        <v>750</v>
      </c>
      <c r="AF287" s="546" t="s">
        <v>751</v>
      </c>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row>
    <row r="288" spans="1:89" s="11" customFormat="1" ht="177.75" customHeight="1" x14ac:dyDescent="0.2">
      <c r="A288" s="133"/>
      <c r="B288" s="104"/>
      <c r="C288" s="104"/>
      <c r="D288" s="104"/>
      <c r="E288" s="461"/>
      <c r="F288" s="457"/>
      <c r="G288" s="193" t="s">
        <v>771</v>
      </c>
      <c r="H288" s="255">
        <v>4102040</v>
      </c>
      <c r="I288" s="193" t="s">
        <v>772</v>
      </c>
      <c r="J288" s="255">
        <v>410204000</v>
      </c>
      <c r="K288" s="185" t="s">
        <v>773</v>
      </c>
      <c r="L288" s="177" t="s">
        <v>45</v>
      </c>
      <c r="M288" s="164">
        <v>1</v>
      </c>
      <c r="N288" s="454" t="s">
        <v>774</v>
      </c>
      <c r="O288" s="192" t="s">
        <v>775</v>
      </c>
      <c r="P288" s="193" t="s">
        <v>776</v>
      </c>
      <c r="Q288" s="118"/>
      <c r="R288" s="118"/>
      <c r="S288" s="118"/>
      <c r="T288" s="118"/>
      <c r="U288" s="118"/>
      <c r="V288" s="329"/>
      <c r="W288" s="118"/>
      <c r="X288" s="118"/>
      <c r="Y288" s="352"/>
      <c r="Z288" s="118"/>
      <c r="AA288" s="132">
        <v>135000000</v>
      </c>
      <c r="AB288" s="118"/>
      <c r="AC288" s="118"/>
      <c r="AD288" s="120">
        <f t="shared" si="114"/>
        <v>135000000</v>
      </c>
      <c r="AE288" s="120" t="s">
        <v>750</v>
      </c>
      <c r="AF288" s="546" t="s">
        <v>751</v>
      </c>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row>
    <row r="289" spans="1:89" s="11" customFormat="1" ht="388.5" customHeight="1" x14ac:dyDescent="0.2">
      <c r="A289" s="133"/>
      <c r="B289" s="104"/>
      <c r="C289" s="104"/>
      <c r="D289" s="104"/>
      <c r="E289" s="461"/>
      <c r="F289" s="462"/>
      <c r="G289" s="140" t="s">
        <v>777</v>
      </c>
      <c r="H289" s="179">
        <v>4102035</v>
      </c>
      <c r="I289" s="193" t="s">
        <v>778</v>
      </c>
      <c r="J289" s="179">
        <v>410203501</v>
      </c>
      <c r="K289" s="192" t="s">
        <v>779</v>
      </c>
      <c r="L289" s="177" t="s">
        <v>45</v>
      </c>
      <c r="M289" s="164">
        <v>1</v>
      </c>
      <c r="N289" s="454" t="s">
        <v>780</v>
      </c>
      <c r="O289" s="192" t="s">
        <v>781</v>
      </c>
      <c r="P289" s="193" t="s">
        <v>782</v>
      </c>
      <c r="Q289" s="118"/>
      <c r="R289" s="118"/>
      <c r="S289" s="118"/>
      <c r="T289" s="118"/>
      <c r="U289" s="118"/>
      <c r="V289" s="329"/>
      <c r="W289" s="118"/>
      <c r="X289" s="118"/>
      <c r="Y289" s="352"/>
      <c r="Z289" s="118"/>
      <c r="AA289" s="132">
        <v>240000000</v>
      </c>
      <c r="AB289" s="118"/>
      <c r="AC289" s="118"/>
      <c r="AD289" s="120">
        <f t="shared" si="114"/>
        <v>240000000</v>
      </c>
      <c r="AE289" s="120" t="s">
        <v>750</v>
      </c>
      <c r="AF289" s="546" t="s">
        <v>751</v>
      </c>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row>
    <row r="290" spans="1:89" s="11" customFormat="1" ht="204" customHeight="1" x14ac:dyDescent="0.2">
      <c r="A290" s="133"/>
      <c r="B290" s="104"/>
      <c r="C290" s="104"/>
      <c r="D290" s="104"/>
      <c r="E290" s="461"/>
      <c r="F290" s="462"/>
      <c r="G290" s="193" t="s">
        <v>783</v>
      </c>
      <c r="H290" s="255">
        <v>4102040</v>
      </c>
      <c r="I290" s="140" t="s">
        <v>784</v>
      </c>
      <c r="J290" s="255">
        <v>410204000</v>
      </c>
      <c r="K290" s="466" t="s">
        <v>785</v>
      </c>
      <c r="L290" s="177" t="s">
        <v>45</v>
      </c>
      <c r="M290" s="164">
        <v>1</v>
      </c>
      <c r="N290" s="454" t="s">
        <v>786</v>
      </c>
      <c r="O290" s="192" t="s">
        <v>787</v>
      </c>
      <c r="P290" s="193" t="s">
        <v>788</v>
      </c>
      <c r="Q290" s="118"/>
      <c r="R290" s="118"/>
      <c r="S290" s="118"/>
      <c r="T290" s="118"/>
      <c r="U290" s="118"/>
      <c r="V290" s="329"/>
      <c r="W290" s="118"/>
      <c r="X290" s="118"/>
      <c r="Y290" s="352"/>
      <c r="Z290" s="118"/>
      <c r="AA290" s="132">
        <v>210000000</v>
      </c>
      <c r="AB290" s="118"/>
      <c r="AC290" s="118"/>
      <c r="AD290" s="120">
        <f t="shared" si="114"/>
        <v>210000000</v>
      </c>
      <c r="AE290" s="120" t="s">
        <v>750</v>
      </c>
      <c r="AF290" s="546" t="s">
        <v>751</v>
      </c>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row>
    <row r="291" spans="1:89" s="11" customFormat="1" ht="189.75" customHeight="1" x14ac:dyDescent="0.2">
      <c r="A291" s="133"/>
      <c r="B291" s="104"/>
      <c r="C291" s="104"/>
      <c r="D291" s="104"/>
      <c r="E291" s="461"/>
      <c r="F291" s="462"/>
      <c r="G291" s="193" t="s">
        <v>789</v>
      </c>
      <c r="H291" s="1418" t="s">
        <v>137</v>
      </c>
      <c r="I291" s="193" t="s">
        <v>790</v>
      </c>
      <c r="J291" s="256" t="s">
        <v>137</v>
      </c>
      <c r="K291" s="192" t="s">
        <v>791</v>
      </c>
      <c r="L291" s="177" t="s">
        <v>45</v>
      </c>
      <c r="M291" s="164">
        <v>12</v>
      </c>
      <c r="N291" s="112" t="s">
        <v>792</v>
      </c>
      <c r="O291" s="251" t="s">
        <v>793</v>
      </c>
      <c r="P291" s="490" t="s">
        <v>794</v>
      </c>
      <c r="Q291" s="118"/>
      <c r="R291" s="118"/>
      <c r="S291" s="118"/>
      <c r="T291" s="118"/>
      <c r="U291" s="118"/>
      <c r="V291" s="329"/>
      <c r="W291" s="118"/>
      <c r="X291" s="118"/>
      <c r="Y291" s="352"/>
      <c r="Z291" s="118"/>
      <c r="AA291" s="132">
        <v>18000000</v>
      </c>
      <c r="AB291" s="118"/>
      <c r="AC291" s="118"/>
      <c r="AD291" s="120">
        <f t="shared" si="114"/>
        <v>18000000</v>
      </c>
      <c r="AE291" s="120" t="s">
        <v>750</v>
      </c>
      <c r="AF291" s="546" t="s">
        <v>751</v>
      </c>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row>
    <row r="292" spans="1:89" s="11" customFormat="1" ht="155.25" customHeight="1" x14ac:dyDescent="0.2">
      <c r="A292" s="133"/>
      <c r="B292" s="104"/>
      <c r="C292" s="104"/>
      <c r="D292" s="104"/>
      <c r="E292" s="461"/>
      <c r="F292" s="462"/>
      <c r="G292" s="193" t="s">
        <v>795</v>
      </c>
      <c r="H292" s="255">
        <v>4102001</v>
      </c>
      <c r="I292" s="257" t="s">
        <v>796</v>
      </c>
      <c r="J292" s="255">
        <v>410200100</v>
      </c>
      <c r="K292" s="174" t="s">
        <v>797</v>
      </c>
      <c r="L292" s="177" t="s">
        <v>45</v>
      </c>
      <c r="M292" s="164">
        <v>1</v>
      </c>
      <c r="N292" s="1550" t="s">
        <v>798</v>
      </c>
      <c r="O292" s="1547" t="s">
        <v>799</v>
      </c>
      <c r="P292" s="1547" t="s">
        <v>800</v>
      </c>
      <c r="Q292" s="118"/>
      <c r="R292" s="118"/>
      <c r="S292" s="118"/>
      <c r="T292" s="118"/>
      <c r="U292" s="118"/>
      <c r="V292" s="329"/>
      <c r="W292" s="118"/>
      <c r="X292" s="118"/>
      <c r="Y292" s="352"/>
      <c r="Z292" s="118"/>
      <c r="AA292" s="132">
        <v>20000000</v>
      </c>
      <c r="AB292" s="118"/>
      <c r="AC292" s="118"/>
      <c r="AD292" s="120">
        <f t="shared" si="114"/>
        <v>20000000</v>
      </c>
      <c r="AE292" s="120" t="s">
        <v>750</v>
      </c>
      <c r="AF292" s="546" t="s">
        <v>751</v>
      </c>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row>
    <row r="293" spans="1:89" s="11" customFormat="1" ht="248.25" customHeight="1" x14ac:dyDescent="0.2">
      <c r="A293" s="133"/>
      <c r="B293" s="104"/>
      <c r="C293" s="104"/>
      <c r="D293" s="104"/>
      <c r="E293" s="461"/>
      <c r="F293" s="462"/>
      <c r="G293" s="193" t="s">
        <v>801</v>
      </c>
      <c r="H293" s="700">
        <v>4102046</v>
      </c>
      <c r="I293" s="490" t="s">
        <v>802</v>
      </c>
      <c r="J293" s="700">
        <v>410204600</v>
      </c>
      <c r="K293" s="251" t="s">
        <v>803</v>
      </c>
      <c r="L293" s="177" t="s">
        <v>57</v>
      </c>
      <c r="M293" s="164">
        <v>16</v>
      </c>
      <c r="N293" s="1524"/>
      <c r="O293" s="1547"/>
      <c r="P293" s="1547"/>
      <c r="Q293" s="118"/>
      <c r="R293" s="118"/>
      <c r="S293" s="118"/>
      <c r="T293" s="118"/>
      <c r="U293" s="118"/>
      <c r="V293" s="329"/>
      <c r="W293" s="118"/>
      <c r="X293" s="118"/>
      <c r="Y293" s="352"/>
      <c r="Z293" s="118"/>
      <c r="AA293" s="132">
        <v>18000000</v>
      </c>
      <c r="AB293" s="118"/>
      <c r="AC293" s="118"/>
      <c r="AD293" s="120">
        <f t="shared" si="114"/>
        <v>18000000</v>
      </c>
      <c r="AE293" s="120" t="s">
        <v>750</v>
      </c>
      <c r="AF293" s="546" t="s">
        <v>751</v>
      </c>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row>
    <row r="294" spans="1:89" s="11" customFormat="1" ht="174" customHeight="1" x14ac:dyDescent="0.2">
      <c r="A294" s="133"/>
      <c r="B294" s="104"/>
      <c r="C294" s="104"/>
      <c r="D294" s="104"/>
      <c r="E294" s="461"/>
      <c r="F294" s="462"/>
      <c r="G294" s="193" t="s">
        <v>804</v>
      </c>
      <c r="H294" s="461">
        <v>4102038</v>
      </c>
      <c r="I294" s="193" t="s">
        <v>805</v>
      </c>
      <c r="J294" s="171">
        <v>410203800</v>
      </c>
      <c r="K294" s="220" t="s">
        <v>806</v>
      </c>
      <c r="L294" s="177" t="s">
        <v>57</v>
      </c>
      <c r="M294" s="164">
        <v>10</v>
      </c>
      <c r="N294" s="112" t="s">
        <v>807</v>
      </c>
      <c r="O294" s="488" t="s">
        <v>808</v>
      </c>
      <c r="P294" s="494" t="s">
        <v>809</v>
      </c>
      <c r="Q294" s="118"/>
      <c r="R294" s="118"/>
      <c r="S294" s="118"/>
      <c r="T294" s="118"/>
      <c r="U294" s="118"/>
      <c r="V294" s="329"/>
      <c r="W294" s="118"/>
      <c r="X294" s="118"/>
      <c r="Y294" s="352"/>
      <c r="Z294" s="118"/>
      <c r="AA294" s="132">
        <v>37000000</v>
      </c>
      <c r="AB294" s="118"/>
      <c r="AC294" s="118"/>
      <c r="AD294" s="120">
        <f t="shared" si="114"/>
        <v>37000000</v>
      </c>
      <c r="AE294" s="120" t="s">
        <v>750</v>
      </c>
      <c r="AF294" s="546" t="s">
        <v>751</v>
      </c>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row>
    <row r="295" spans="1:89" s="11" customFormat="1" ht="24.75" customHeight="1" x14ac:dyDescent="0.2">
      <c r="A295" s="133"/>
      <c r="B295" s="104"/>
      <c r="C295" s="104"/>
      <c r="D295" s="104"/>
      <c r="E295" s="74">
        <v>4103</v>
      </c>
      <c r="F295" s="471" t="s">
        <v>287</v>
      </c>
      <c r="G295" s="473"/>
      <c r="H295" s="107"/>
      <c r="I295" s="487"/>
      <c r="J295" s="74"/>
      <c r="K295" s="70"/>
      <c r="L295" s="108"/>
      <c r="M295" s="74"/>
      <c r="N295" s="109"/>
      <c r="O295" s="70"/>
      <c r="P295" s="70"/>
      <c r="Q295" s="130">
        <f>SUM(Q296:Q302)</f>
        <v>0</v>
      </c>
      <c r="R295" s="130">
        <f t="shared" ref="R295:AC295" si="115">SUM(R296:R302)</f>
        <v>0</v>
      </c>
      <c r="S295" s="130">
        <f t="shared" si="115"/>
        <v>0</v>
      </c>
      <c r="T295" s="130">
        <f t="shared" si="115"/>
        <v>0</v>
      </c>
      <c r="U295" s="130">
        <f t="shared" si="115"/>
        <v>0</v>
      </c>
      <c r="V295" s="333">
        <f t="shared" si="115"/>
        <v>0</v>
      </c>
      <c r="W295" s="130">
        <f t="shared" si="115"/>
        <v>0</v>
      </c>
      <c r="X295" s="130">
        <f t="shared" si="115"/>
        <v>0</v>
      </c>
      <c r="Y295" s="356">
        <f t="shared" si="115"/>
        <v>0</v>
      </c>
      <c r="Z295" s="130">
        <f t="shared" si="115"/>
        <v>0</v>
      </c>
      <c r="AA295" s="130">
        <f>SUM(AA296:AA302)</f>
        <v>175000000</v>
      </c>
      <c r="AB295" s="130">
        <f t="shared" si="115"/>
        <v>0</v>
      </c>
      <c r="AC295" s="130">
        <f t="shared" si="115"/>
        <v>0</v>
      </c>
      <c r="AD295" s="130">
        <f>SUM(AD296:AD302)</f>
        <v>175000000</v>
      </c>
      <c r="AE295" s="130"/>
      <c r="AF295" s="130"/>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row>
    <row r="296" spans="1:89" s="11" customFormat="1" ht="141" customHeight="1" x14ac:dyDescent="0.2">
      <c r="A296" s="133"/>
      <c r="B296" s="258"/>
      <c r="C296" s="258"/>
      <c r="D296" s="258"/>
      <c r="E296" s="461"/>
      <c r="F296" s="462"/>
      <c r="G296" s="193" t="s">
        <v>810</v>
      </c>
      <c r="H296" s="160">
        <v>4103059</v>
      </c>
      <c r="I296" s="193" t="s">
        <v>811</v>
      </c>
      <c r="J296" s="72">
        <v>410305900</v>
      </c>
      <c r="K296" s="220" t="s">
        <v>812</v>
      </c>
      <c r="L296" s="466" t="s">
        <v>57</v>
      </c>
      <c r="M296" s="470">
        <v>10</v>
      </c>
      <c r="N296" s="454" t="s">
        <v>813</v>
      </c>
      <c r="O296" s="140" t="s">
        <v>814</v>
      </c>
      <c r="P296" s="140" t="s">
        <v>815</v>
      </c>
      <c r="Q296" s="118"/>
      <c r="R296" s="118"/>
      <c r="S296" s="118"/>
      <c r="T296" s="118"/>
      <c r="U296" s="118"/>
      <c r="V296" s="329"/>
      <c r="W296" s="118"/>
      <c r="X296" s="118"/>
      <c r="Y296" s="352"/>
      <c r="Z296" s="118"/>
      <c r="AA296" s="132">
        <v>15000000</v>
      </c>
      <c r="AB296" s="118"/>
      <c r="AC296" s="118"/>
      <c r="AD296" s="120">
        <f t="shared" ref="AD296:AD311" si="116">+Q296+R296+S296+T296+U296+V296+W296+X296+Y296+Z296+AA296+AB296+AC296</f>
        <v>15000000</v>
      </c>
      <c r="AE296" s="120" t="s">
        <v>750</v>
      </c>
      <c r="AF296" s="546" t="s">
        <v>751</v>
      </c>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row>
    <row r="297" spans="1:89" s="11" customFormat="1" ht="150.75" customHeight="1" x14ac:dyDescent="0.2">
      <c r="A297" s="133"/>
      <c r="B297" s="104"/>
      <c r="C297" s="104"/>
      <c r="D297" s="104"/>
      <c r="E297" s="461"/>
      <c r="F297" s="462"/>
      <c r="G297" s="140" t="s">
        <v>816</v>
      </c>
      <c r="H297" s="463">
        <v>4103052</v>
      </c>
      <c r="I297" s="140" t="s">
        <v>817</v>
      </c>
      <c r="J297" s="249">
        <v>410305202</v>
      </c>
      <c r="K297" s="185" t="s">
        <v>818</v>
      </c>
      <c r="L297" s="466" t="s">
        <v>45</v>
      </c>
      <c r="M297" s="470">
        <v>1</v>
      </c>
      <c r="N297" s="454" t="s">
        <v>819</v>
      </c>
      <c r="O297" s="140" t="s">
        <v>820</v>
      </c>
      <c r="P297" s="140" t="s">
        <v>821</v>
      </c>
      <c r="Q297" s="118"/>
      <c r="R297" s="118"/>
      <c r="S297" s="118"/>
      <c r="T297" s="118"/>
      <c r="U297" s="118"/>
      <c r="V297" s="329"/>
      <c r="W297" s="118"/>
      <c r="X297" s="118"/>
      <c r="Y297" s="352"/>
      <c r="Z297" s="118"/>
      <c r="AA297" s="132">
        <v>20000000</v>
      </c>
      <c r="AB297" s="118"/>
      <c r="AC297" s="118"/>
      <c r="AD297" s="120">
        <f t="shared" si="116"/>
        <v>20000000</v>
      </c>
      <c r="AE297" s="120" t="s">
        <v>750</v>
      </c>
      <c r="AF297" s="546" t="s">
        <v>751</v>
      </c>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row>
    <row r="298" spans="1:89" s="11" customFormat="1" ht="271.5" customHeight="1" x14ac:dyDescent="0.2">
      <c r="A298" s="133"/>
      <c r="B298" s="104"/>
      <c r="C298" s="104"/>
      <c r="D298" s="104"/>
      <c r="E298" s="461"/>
      <c r="F298" s="462"/>
      <c r="G298" s="193" t="s">
        <v>801</v>
      </c>
      <c r="H298" s="461">
        <v>4103050</v>
      </c>
      <c r="I298" s="193" t="s">
        <v>822</v>
      </c>
      <c r="J298" s="171">
        <v>410305001</v>
      </c>
      <c r="K298" s="220" t="s">
        <v>823</v>
      </c>
      <c r="L298" s="466" t="s">
        <v>45</v>
      </c>
      <c r="M298" s="470">
        <v>12</v>
      </c>
      <c r="N298" s="454" t="s">
        <v>824</v>
      </c>
      <c r="O298" s="140" t="s">
        <v>825</v>
      </c>
      <c r="P298" s="140" t="s">
        <v>826</v>
      </c>
      <c r="Q298" s="118"/>
      <c r="R298" s="118"/>
      <c r="S298" s="118"/>
      <c r="T298" s="118"/>
      <c r="U298" s="118"/>
      <c r="V298" s="329"/>
      <c r="W298" s="118"/>
      <c r="X298" s="118"/>
      <c r="Y298" s="352"/>
      <c r="Z298" s="118"/>
      <c r="AA298" s="132">
        <v>25000000</v>
      </c>
      <c r="AB298" s="118"/>
      <c r="AC298" s="118"/>
      <c r="AD298" s="120">
        <f t="shared" si="116"/>
        <v>25000000</v>
      </c>
      <c r="AE298" s="120" t="s">
        <v>750</v>
      </c>
      <c r="AF298" s="546" t="s">
        <v>751</v>
      </c>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row>
    <row r="299" spans="1:89" s="11" customFormat="1" ht="149.25" customHeight="1" x14ac:dyDescent="0.2">
      <c r="A299" s="133"/>
      <c r="B299" s="104"/>
      <c r="C299" s="104"/>
      <c r="D299" s="104"/>
      <c r="E299" s="461"/>
      <c r="F299" s="462"/>
      <c r="G299" s="193" t="s">
        <v>827</v>
      </c>
      <c r="H299" s="160">
        <v>4103058</v>
      </c>
      <c r="I299" s="193" t="s">
        <v>828</v>
      </c>
      <c r="J299" s="72">
        <v>410305800</v>
      </c>
      <c r="K299" s="220" t="s">
        <v>829</v>
      </c>
      <c r="L299" s="466" t="s">
        <v>57</v>
      </c>
      <c r="M299" s="470">
        <v>2</v>
      </c>
      <c r="N299" s="454" t="s">
        <v>830</v>
      </c>
      <c r="O299" s="140" t="s">
        <v>831</v>
      </c>
      <c r="P299" s="140" t="s">
        <v>832</v>
      </c>
      <c r="Q299" s="118"/>
      <c r="R299" s="118"/>
      <c r="S299" s="118"/>
      <c r="T299" s="118"/>
      <c r="U299" s="118"/>
      <c r="V299" s="329"/>
      <c r="W299" s="118"/>
      <c r="X299" s="118"/>
      <c r="Y299" s="352"/>
      <c r="Z299" s="118"/>
      <c r="AA299" s="132">
        <v>28000000</v>
      </c>
      <c r="AB299" s="118"/>
      <c r="AC299" s="118"/>
      <c r="AD299" s="120">
        <f t="shared" si="116"/>
        <v>28000000</v>
      </c>
      <c r="AE299" s="120" t="s">
        <v>750</v>
      </c>
      <c r="AF299" s="546" t="s">
        <v>751</v>
      </c>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row>
    <row r="300" spans="1:89" s="11" customFormat="1" ht="96" customHeight="1" x14ac:dyDescent="0.2">
      <c r="A300" s="133"/>
      <c r="B300" s="104"/>
      <c r="C300" s="104"/>
      <c r="D300" s="104"/>
      <c r="E300" s="461"/>
      <c r="F300" s="462"/>
      <c r="G300" s="257" t="s">
        <v>833</v>
      </c>
      <c r="H300" s="216">
        <v>4103060</v>
      </c>
      <c r="I300" s="193" t="s">
        <v>834</v>
      </c>
      <c r="J300" s="216">
        <v>410306000</v>
      </c>
      <c r="K300" s="220" t="s">
        <v>835</v>
      </c>
      <c r="L300" s="466" t="s">
        <v>57</v>
      </c>
      <c r="M300" s="470">
        <v>5</v>
      </c>
      <c r="N300" s="1524" t="s">
        <v>836</v>
      </c>
      <c r="O300" s="1531" t="s">
        <v>837</v>
      </c>
      <c r="P300" s="1531" t="s">
        <v>838</v>
      </c>
      <c r="Q300" s="118"/>
      <c r="R300" s="118"/>
      <c r="S300" s="118"/>
      <c r="T300" s="118"/>
      <c r="U300" s="118"/>
      <c r="V300" s="329"/>
      <c r="W300" s="118"/>
      <c r="X300" s="118"/>
      <c r="Y300" s="352"/>
      <c r="Z300" s="118"/>
      <c r="AA300" s="132">
        <v>27000000</v>
      </c>
      <c r="AB300" s="118"/>
      <c r="AC300" s="118"/>
      <c r="AD300" s="120">
        <f t="shared" si="116"/>
        <v>27000000</v>
      </c>
      <c r="AE300" s="120" t="s">
        <v>750</v>
      </c>
      <c r="AF300" s="546" t="s">
        <v>751</v>
      </c>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row>
    <row r="301" spans="1:89" s="11" customFormat="1" ht="87" customHeight="1" x14ac:dyDescent="0.2">
      <c r="A301" s="133"/>
      <c r="B301" s="104"/>
      <c r="C301" s="104"/>
      <c r="D301" s="104"/>
      <c r="E301" s="461"/>
      <c r="F301" s="462"/>
      <c r="G301" s="257" t="s">
        <v>839</v>
      </c>
      <c r="H301" s="216">
        <v>4103060</v>
      </c>
      <c r="I301" s="193" t="s">
        <v>840</v>
      </c>
      <c r="J301" s="216">
        <v>410306000</v>
      </c>
      <c r="K301" s="192" t="s">
        <v>841</v>
      </c>
      <c r="L301" s="466" t="s">
        <v>45</v>
      </c>
      <c r="M301" s="470">
        <v>2</v>
      </c>
      <c r="N301" s="1524"/>
      <c r="O301" s="1531"/>
      <c r="P301" s="1531"/>
      <c r="Q301" s="118"/>
      <c r="R301" s="118"/>
      <c r="S301" s="118"/>
      <c r="T301" s="118"/>
      <c r="U301" s="118"/>
      <c r="V301" s="329"/>
      <c r="W301" s="118"/>
      <c r="X301" s="118"/>
      <c r="Y301" s="352"/>
      <c r="Z301" s="118"/>
      <c r="AA301" s="132">
        <v>20000000</v>
      </c>
      <c r="AB301" s="118"/>
      <c r="AC301" s="118"/>
      <c r="AD301" s="120">
        <f t="shared" si="116"/>
        <v>20000000</v>
      </c>
      <c r="AE301" s="120" t="s">
        <v>750</v>
      </c>
      <c r="AF301" s="546" t="s">
        <v>751</v>
      </c>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row>
    <row r="302" spans="1:89" s="11" customFormat="1" ht="152.25" customHeight="1" x14ac:dyDescent="0.2">
      <c r="A302" s="133"/>
      <c r="B302" s="104"/>
      <c r="C302" s="104"/>
      <c r="D302" s="104"/>
      <c r="E302" s="461"/>
      <c r="F302" s="462"/>
      <c r="G302" s="140" t="s">
        <v>842</v>
      </c>
      <c r="H302" s="216">
        <v>4103060</v>
      </c>
      <c r="I302" s="193" t="s">
        <v>843</v>
      </c>
      <c r="J302" s="216">
        <v>410306000</v>
      </c>
      <c r="K302" s="220" t="s">
        <v>844</v>
      </c>
      <c r="L302" s="466" t="s">
        <v>45</v>
      </c>
      <c r="M302" s="470">
        <v>1</v>
      </c>
      <c r="N302" s="112" t="s">
        <v>845</v>
      </c>
      <c r="O302" s="140" t="s">
        <v>846</v>
      </c>
      <c r="P302" s="140" t="s">
        <v>847</v>
      </c>
      <c r="Q302" s="118"/>
      <c r="R302" s="118"/>
      <c r="S302" s="118"/>
      <c r="T302" s="118"/>
      <c r="U302" s="118"/>
      <c r="V302" s="329"/>
      <c r="W302" s="118"/>
      <c r="X302" s="118"/>
      <c r="Y302" s="352"/>
      <c r="Z302" s="118"/>
      <c r="AA302" s="132">
        <v>40000000</v>
      </c>
      <c r="AB302" s="118"/>
      <c r="AC302" s="118"/>
      <c r="AD302" s="120">
        <f t="shared" si="116"/>
        <v>40000000</v>
      </c>
      <c r="AE302" s="120" t="s">
        <v>750</v>
      </c>
      <c r="AF302" s="546" t="s">
        <v>751</v>
      </c>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row>
    <row r="303" spans="1:89" s="11" customFormat="1" ht="29.25" customHeight="1" x14ac:dyDescent="0.2">
      <c r="A303" s="133"/>
      <c r="B303" s="104"/>
      <c r="C303" s="104"/>
      <c r="D303" s="104"/>
      <c r="E303" s="74">
        <v>4104</v>
      </c>
      <c r="F303" s="732" t="s">
        <v>848</v>
      </c>
      <c r="G303" s="473"/>
      <c r="H303" s="107"/>
      <c r="I303" s="487"/>
      <c r="J303" s="74"/>
      <c r="K303" s="70"/>
      <c r="L303" s="259"/>
      <c r="M303" s="74"/>
      <c r="N303" s="109"/>
      <c r="O303" s="70"/>
      <c r="P303" s="70"/>
      <c r="Q303" s="130">
        <f>SUM(Q304:Q312)</f>
        <v>3526539574</v>
      </c>
      <c r="R303" s="130">
        <f t="shared" ref="R303:AC303" si="117">SUM(R304:R312)</f>
        <v>0</v>
      </c>
      <c r="S303" s="130">
        <f t="shared" si="117"/>
        <v>0</v>
      </c>
      <c r="T303" s="130">
        <f t="shared" si="117"/>
        <v>0</v>
      </c>
      <c r="U303" s="130">
        <f t="shared" si="117"/>
        <v>0</v>
      </c>
      <c r="V303" s="333">
        <f t="shared" si="117"/>
        <v>0</v>
      </c>
      <c r="W303" s="130">
        <f t="shared" si="117"/>
        <v>0</v>
      </c>
      <c r="X303" s="130">
        <f t="shared" si="117"/>
        <v>0</v>
      </c>
      <c r="Y303" s="356">
        <f t="shared" si="117"/>
        <v>0</v>
      </c>
      <c r="Z303" s="130">
        <f t="shared" si="117"/>
        <v>0</v>
      </c>
      <c r="AA303" s="130">
        <f>SUM(AA304:AA312)</f>
        <v>424000000</v>
      </c>
      <c r="AB303" s="130">
        <f t="shared" si="117"/>
        <v>0</v>
      </c>
      <c r="AC303" s="130">
        <f t="shared" si="117"/>
        <v>0</v>
      </c>
      <c r="AD303" s="130">
        <f>SUM(AD304:AD312)</f>
        <v>3950539574</v>
      </c>
      <c r="AE303" s="130"/>
      <c r="AF303" s="130"/>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row>
    <row r="304" spans="1:89" s="11" customFormat="1" ht="152.25" customHeight="1" x14ac:dyDescent="0.2">
      <c r="A304" s="133"/>
      <c r="B304" s="104"/>
      <c r="C304" s="104"/>
      <c r="D304" s="104"/>
      <c r="E304" s="461"/>
      <c r="F304" s="462"/>
      <c r="G304" s="193" t="s">
        <v>849</v>
      </c>
      <c r="H304" s="179">
        <v>4104020</v>
      </c>
      <c r="I304" s="193" t="s">
        <v>850</v>
      </c>
      <c r="J304" s="179">
        <v>410402000</v>
      </c>
      <c r="K304" s="192" t="s">
        <v>851</v>
      </c>
      <c r="L304" s="466" t="s">
        <v>57</v>
      </c>
      <c r="M304" s="470">
        <v>50</v>
      </c>
      <c r="N304" s="1524" t="s">
        <v>852</v>
      </c>
      <c r="O304" s="1519" t="s">
        <v>853</v>
      </c>
      <c r="P304" s="1503" t="s">
        <v>854</v>
      </c>
      <c r="Q304" s="118"/>
      <c r="R304" s="118"/>
      <c r="S304" s="118"/>
      <c r="T304" s="118"/>
      <c r="U304" s="118"/>
      <c r="V304" s="329"/>
      <c r="W304" s="118"/>
      <c r="X304" s="118"/>
      <c r="Y304" s="352"/>
      <c r="Z304" s="118"/>
      <c r="AA304" s="132">
        <v>25000000</v>
      </c>
      <c r="AB304" s="118"/>
      <c r="AC304" s="118"/>
      <c r="AD304" s="120">
        <f t="shared" si="116"/>
        <v>25000000</v>
      </c>
      <c r="AE304" s="120" t="s">
        <v>750</v>
      </c>
      <c r="AF304" s="546" t="s">
        <v>751</v>
      </c>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row>
    <row r="305" spans="1:89" s="11" customFormat="1" ht="134.25" customHeight="1" x14ac:dyDescent="0.2">
      <c r="A305" s="133"/>
      <c r="B305" s="104"/>
      <c r="C305" s="104"/>
      <c r="D305" s="104"/>
      <c r="E305" s="461"/>
      <c r="F305" s="462"/>
      <c r="G305" s="193" t="s">
        <v>855</v>
      </c>
      <c r="H305" s="426">
        <v>4104020</v>
      </c>
      <c r="I305" s="193" t="s">
        <v>850</v>
      </c>
      <c r="J305" s="426">
        <v>410402000</v>
      </c>
      <c r="K305" s="262" t="s">
        <v>856</v>
      </c>
      <c r="L305" s="453" t="s">
        <v>45</v>
      </c>
      <c r="M305" s="470">
        <v>12</v>
      </c>
      <c r="N305" s="1524"/>
      <c r="O305" s="1519"/>
      <c r="P305" s="1503"/>
      <c r="Q305" s="118"/>
      <c r="R305" s="118"/>
      <c r="S305" s="118"/>
      <c r="T305" s="118"/>
      <c r="U305" s="118"/>
      <c r="V305" s="329"/>
      <c r="W305" s="118"/>
      <c r="X305" s="118"/>
      <c r="Y305" s="352"/>
      <c r="Z305" s="118"/>
      <c r="AA305" s="132">
        <v>19000000</v>
      </c>
      <c r="AB305" s="118"/>
      <c r="AC305" s="118"/>
      <c r="AD305" s="120">
        <f t="shared" si="116"/>
        <v>19000000</v>
      </c>
      <c r="AE305" s="120" t="s">
        <v>750</v>
      </c>
      <c r="AF305" s="546" t="s">
        <v>751</v>
      </c>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row>
    <row r="306" spans="1:89" s="11" customFormat="1" ht="108.75" customHeight="1" x14ac:dyDescent="0.2">
      <c r="A306" s="133"/>
      <c r="B306" s="104"/>
      <c r="C306" s="104"/>
      <c r="D306" s="104"/>
      <c r="E306" s="461"/>
      <c r="F306" s="462"/>
      <c r="G306" s="193" t="s">
        <v>857</v>
      </c>
      <c r="H306" s="426">
        <v>4104027</v>
      </c>
      <c r="I306" s="193" t="s">
        <v>858</v>
      </c>
      <c r="J306" s="426">
        <v>410402700</v>
      </c>
      <c r="K306" s="192" t="s">
        <v>859</v>
      </c>
      <c r="L306" s="466" t="s">
        <v>45</v>
      </c>
      <c r="M306" s="470">
        <v>12</v>
      </c>
      <c r="N306" s="465" t="s">
        <v>860</v>
      </c>
      <c r="O306" s="140" t="s">
        <v>861</v>
      </c>
      <c r="P306" s="140" t="s">
        <v>862</v>
      </c>
      <c r="Q306" s="118"/>
      <c r="R306" s="118"/>
      <c r="S306" s="118"/>
      <c r="T306" s="118"/>
      <c r="U306" s="118"/>
      <c r="V306" s="329"/>
      <c r="W306" s="118"/>
      <c r="X306" s="118"/>
      <c r="Y306" s="352"/>
      <c r="Z306" s="118"/>
      <c r="AA306" s="132">
        <v>35000000</v>
      </c>
      <c r="AB306" s="118"/>
      <c r="AC306" s="118"/>
      <c r="AD306" s="120">
        <f t="shared" si="116"/>
        <v>35000000</v>
      </c>
      <c r="AE306" s="120" t="s">
        <v>750</v>
      </c>
      <c r="AF306" s="546" t="s">
        <v>751</v>
      </c>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row>
    <row r="307" spans="1:89" s="11" customFormat="1" ht="216" customHeight="1" x14ac:dyDescent="0.2">
      <c r="A307" s="133"/>
      <c r="B307" s="104"/>
      <c r="C307" s="104"/>
      <c r="D307" s="104"/>
      <c r="E307" s="461"/>
      <c r="F307" s="457"/>
      <c r="G307" s="193" t="s">
        <v>863</v>
      </c>
      <c r="H307" s="260" t="s">
        <v>137</v>
      </c>
      <c r="I307" s="140" t="s">
        <v>864</v>
      </c>
      <c r="J307" s="261" t="s">
        <v>137</v>
      </c>
      <c r="K307" s="185" t="s">
        <v>865</v>
      </c>
      <c r="L307" s="466" t="s">
        <v>45</v>
      </c>
      <c r="M307" s="470">
        <v>1</v>
      </c>
      <c r="N307" s="454" t="s">
        <v>866</v>
      </c>
      <c r="O307" s="140" t="s">
        <v>867</v>
      </c>
      <c r="P307" s="140" t="s">
        <v>868</v>
      </c>
      <c r="Q307" s="118"/>
      <c r="R307" s="118"/>
      <c r="S307" s="118"/>
      <c r="T307" s="118"/>
      <c r="U307" s="118"/>
      <c r="V307" s="329"/>
      <c r="W307" s="118"/>
      <c r="X307" s="118"/>
      <c r="Y307" s="352"/>
      <c r="Z307" s="118"/>
      <c r="AA307" s="132">
        <v>90000000</v>
      </c>
      <c r="AB307" s="118"/>
      <c r="AC307" s="118"/>
      <c r="AD307" s="120">
        <f t="shared" si="116"/>
        <v>90000000</v>
      </c>
      <c r="AE307" s="120" t="s">
        <v>750</v>
      </c>
      <c r="AF307" s="546" t="s">
        <v>751</v>
      </c>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row>
    <row r="308" spans="1:89" s="11" customFormat="1" ht="237" customHeight="1" x14ac:dyDescent="0.2">
      <c r="A308" s="133"/>
      <c r="B308" s="104"/>
      <c r="C308" s="104"/>
      <c r="D308" s="104"/>
      <c r="E308" s="461"/>
      <c r="F308" s="457"/>
      <c r="G308" s="193" t="s">
        <v>869</v>
      </c>
      <c r="H308" s="260" t="s">
        <v>137</v>
      </c>
      <c r="I308" s="140" t="s">
        <v>870</v>
      </c>
      <c r="J308" s="261" t="s">
        <v>137</v>
      </c>
      <c r="K308" s="185" t="s">
        <v>871</v>
      </c>
      <c r="L308" s="466" t="s">
        <v>45</v>
      </c>
      <c r="M308" s="470">
        <v>1</v>
      </c>
      <c r="N308" s="454" t="s">
        <v>872</v>
      </c>
      <c r="O308" s="140" t="s">
        <v>873</v>
      </c>
      <c r="P308" s="140" t="s">
        <v>874</v>
      </c>
      <c r="Q308" s="118"/>
      <c r="R308" s="118"/>
      <c r="S308" s="118"/>
      <c r="T308" s="118"/>
      <c r="U308" s="118"/>
      <c r="V308" s="329"/>
      <c r="W308" s="118"/>
      <c r="X308" s="118"/>
      <c r="Y308" s="352"/>
      <c r="Z308" s="118"/>
      <c r="AA308" s="132">
        <v>95000000</v>
      </c>
      <c r="AB308" s="118"/>
      <c r="AC308" s="118"/>
      <c r="AD308" s="120">
        <f t="shared" si="116"/>
        <v>95000000</v>
      </c>
      <c r="AE308" s="120" t="s">
        <v>750</v>
      </c>
      <c r="AF308" s="546" t="s">
        <v>751</v>
      </c>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row>
    <row r="309" spans="1:89" s="11" customFormat="1" ht="241.5" customHeight="1" x14ac:dyDescent="0.2">
      <c r="A309" s="133"/>
      <c r="B309" s="104"/>
      <c r="C309" s="104"/>
      <c r="D309" s="104"/>
      <c r="E309" s="461"/>
      <c r="F309" s="457"/>
      <c r="G309" s="193" t="s">
        <v>875</v>
      </c>
      <c r="H309" s="260" t="s">
        <v>137</v>
      </c>
      <c r="I309" s="490" t="s">
        <v>876</v>
      </c>
      <c r="J309" s="157" t="s">
        <v>137</v>
      </c>
      <c r="K309" s="262" t="s">
        <v>877</v>
      </c>
      <c r="L309" s="466" t="s">
        <v>45</v>
      </c>
      <c r="M309" s="470">
        <v>1</v>
      </c>
      <c r="N309" s="1523" t="s">
        <v>878</v>
      </c>
      <c r="O309" s="1519" t="s">
        <v>879</v>
      </c>
      <c r="P309" s="1540" t="s">
        <v>880</v>
      </c>
      <c r="Q309" s="118"/>
      <c r="R309" s="118"/>
      <c r="S309" s="118"/>
      <c r="T309" s="118"/>
      <c r="U309" s="118"/>
      <c r="V309" s="329"/>
      <c r="W309" s="118"/>
      <c r="X309" s="118"/>
      <c r="Y309" s="352"/>
      <c r="Z309" s="118"/>
      <c r="AA309" s="132">
        <v>50000000</v>
      </c>
      <c r="AB309" s="118"/>
      <c r="AC309" s="118"/>
      <c r="AD309" s="120">
        <f t="shared" si="116"/>
        <v>50000000</v>
      </c>
      <c r="AE309" s="120" t="s">
        <v>750</v>
      </c>
      <c r="AF309" s="546" t="s">
        <v>751</v>
      </c>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row>
    <row r="310" spans="1:89" s="11" customFormat="1" ht="131.25" customHeight="1" x14ac:dyDescent="0.2">
      <c r="A310" s="133"/>
      <c r="B310" s="104"/>
      <c r="C310" s="104"/>
      <c r="D310" s="104"/>
      <c r="E310" s="461"/>
      <c r="F310" s="457"/>
      <c r="G310" s="193" t="s">
        <v>881</v>
      </c>
      <c r="H310" s="263">
        <v>4104015</v>
      </c>
      <c r="I310" s="490" t="s">
        <v>882</v>
      </c>
      <c r="J310" s="72">
        <v>410401500</v>
      </c>
      <c r="K310" s="220" t="s">
        <v>883</v>
      </c>
      <c r="L310" s="466" t="s">
        <v>45</v>
      </c>
      <c r="M310" s="75">
        <v>7500</v>
      </c>
      <c r="N310" s="1523"/>
      <c r="O310" s="1519"/>
      <c r="P310" s="1540"/>
      <c r="Q310" s="118"/>
      <c r="R310" s="118"/>
      <c r="S310" s="118"/>
      <c r="T310" s="118"/>
      <c r="U310" s="118"/>
      <c r="V310" s="329"/>
      <c r="W310" s="118"/>
      <c r="X310" s="118"/>
      <c r="Y310" s="352"/>
      <c r="Z310" s="118"/>
      <c r="AA310" s="132">
        <v>20000000</v>
      </c>
      <c r="AB310" s="118"/>
      <c r="AC310" s="118"/>
      <c r="AD310" s="120">
        <f t="shared" si="116"/>
        <v>20000000</v>
      </c>
      <c r="AE310" s="120" t="s">
        <v>750</v>
      </c>
      <c r="AF310" s="546" t="s">
        <v>751</v>
      </c>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row>
    <row r="311" spans="1:89" s="11" customFormat="1" ht="203.25" customHeight="1" x14ac:dyDescent="0.2">
      <c r="A311" s="133"/>
      <c r="B311" s="104"/>
      <c r="C311" s="104"/>
      <c r="D311" s="104"/>
      <c r="E311" s="461"/>
      <c r="F311" s="457"/>
      <c r="G311" s="193" t="s">
        <v>884</v>
      </c>
      <c r="H311" s="264">
        <v>4104008</v>
      </c>
      <c r="I311" s="490" t="s">
        <v>885</v>
      </c>
      <c r="J311" s="264">
        <v>410400800</v>
      </c>
      <c r="K311" s="262" t="s">
        <v>886</v>
      </c>
      <c r="L311" s="457" t="s">
        <v>45</v>
      </c>
      <c r="M311" s="470">
        <v>12</v>
      </c>
      <c r="N311" s="1523"/>
      <c r="O311" s="1519"/>
      <c r="P311" s="1540"/>
      <c r="Q311" s="215">
        <f>1057961872+2468577702</f>
        <v>3526539574</v>
      </c>
      <c r="R311" s="265"/>
      <c r="S311" s="118"/>
      <c r="T311" s="118"/>
      <c r="U311" s="118"/>
      <c r="V311" s="329"/>
      <c r="W311" s="118"/>
      <c r="X311" s="118"/>
      <c r="Y311" s="352"/>
      <c r="Z311" s="118"/>
      <c r="AA311" s="132">
        <v>0</v>
      </c>
      <c r="AB311" s="118"/>
      <c r="AC311" s="118"/>
      <c r="AD311" s="120">
        <f t="shared" si="116"/>
        <v>3526539574</v>
      </c>
      <c r="AE311" s="120" t="s">
        <v>750</v>
      </c>
      <c r="AF311" s="546" t="s">
        <v>751</v>
      </c>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row>
    <row r="312" spans="1:89" s="11" customFormat="1" ht="189" customHeight="1" x14ac:dyDescent="0.2">
      <c r="A312" s="133"/>
      <c r="B312" s="104"/>
      <c r="C312" s="104"/>
      <c r="D312" s="104"/>
      <c r="E312" s="461"/>
      <c r="F312" s="457"/>
      <c r="G312" s="193" t="s">
        <v>887</v>
      </c>
      <c r="H312" s="260" t="s">
        <v>137</v>
      </c>
      <c r="I312" s="490" t="s">
        <v>888</v>
      </c>
      <c r="J312" s="261" t="s">
        <v>137</v>
      </c>
      <c r="K312" s="185" t="s">
        <v>889</v>
      </c>
      <c r="L312" s="457" t="s">
        <v>45</v>
      </c>
      <c r="M312" s="470">
        <v>1</v>
      </c>
      <c r="N312" s="454" t="s">
        <v>890</v>
      </c>
      <c r="O312" s="140" t="s">
        <v>891</v>
      </c>
      <c r="P312" s="140" t="s">
        <v>892</v>
      </c>
      <c r="Q312" s="118"/>
      <c r="R312" s="118"/>
      <c r="S312" s="118"/>
      <c r="T312" s="118"/>
      <c r="U312" s="118"/>
      <c r="V312" s="329"/>
      <c r="W312" s="118"/>
      <c r="X312" s="118"/>
      <c r="Y312" s="352"/>
      <c r="Z312" s="118"/>
      <c r="AA312" s="132">
        <v>90000000</v>
      </c>
      <c r="AB312" s="118"/>
      <c r="AC312" s="118"/>
      <c r="AD312" s="120">
        <f>+Q312+R312+S312+T312+U312+V312+W312+X312+Y312+Z312+AA312+AB312+AC312</f>
        <v>90000000</v>
      </c>
      <c r="AE312" s="120" t="s">
        <v>750</v>
      </c>
      <c r="AF312" s="546" t="s">
        <v>751</v>
      </c>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row>
    <row r="313" spans="1:89" s="11" customFormat="1" ht="24.75" customHeight="1" x14ac:dyDescent="0.2">
      <c r="A313" s="133"/>
      <c r="B313" s="99">
        <v>2</v>
      </c>
      <c r="C313" s="365" t="s">
        <v>379</v>
      </c>
      <c r="D313" s="96"/>
      <c r="E313" s="365"/>
      <c r="F313" s="365"/>
      <c r="G313" s="365"/>
      <c r="H313" s="97"/>
      <c r="I313" s="489"/>
      <c r="J313" s="99"/>
      <c r="K313" s="98"/>
      <c r="L313" s="100"/>
      <c r="M313" s="99"/>
      <c r="N313" s="101"/>
      <c r="O313" s="489"/>
      <c r="P313" s="489"/>
      <c r="Q313" s="102">
        <f>Q314+Q317</f>
        <v>0</v>
      </c>
      <c r="R313" s="102">
        <f t="shared" ref="R313:AC313" si="118">R314+R317</f>
        <v>0</v>
      </c>
      <c r="S313" s="102">
        <f t="shared" si="118"/>
        <v>0</v>
      </c>
      <c r="T313" s="102">
        <f t="shared" si="118"/>
        <v>0</v>
      </c>
      <c r="U313" s="102">
        <f t="shared" si="118"/>
        <v>0</v>
      </c>
      <c r="V313" s="102">
        <f t="shared" si="118"/>
        <v>0</v>
      </c>
      <c r="W313" s="102">
        <f t="shared" si="118"/>
        <v>0</v>
      </c>
      <c r="X313" s="102">
        <f t="shared" si="118"/>
        <v>0</v>
      </c>
      <c r="Y313" s="102">
        <f t="shared" si="118"/>
        <v>0</v>
      </c>
      <c r="Z313" s="102">
        <f t="shared" si="118"/>
        <v>0</v>
      </c>
      <c r="AA313" s="102">
        <f t="shared" si="118"/>
        <v>36000000</v>
      </c>
      <c r="AB313" s="102">
        <f t="shared" si="118"/>
        <v>0</v>
      </c>
      <c r="AC313" s="102">
        <f t="shared" si="118"/>
        <v>0</v>
      </c>
      <c r="AD313" s="102">
        <f>AD314+AD317</f>
        <v>36000000</v>
      </c>
      <c r="AE313" s="102"/>
      <c r="AF313" s="543"/>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row>
    <row r="314" spans="1:89" s="9" customFormat="1" ht="27.75" customHeight="1" x14ac:dyDescent="0.25">
      <c r="A314" s="95"/>
      <c r="B314" s="576"/>
      <c r="C314" s="593">
        <v>17</v>
      </c>
      <c r="D314" s="578" t="s">
        <v>1311</v>
      </c>
      <c r="E314" s="592"/>
      <c r="F314" s="579"/>
      <c r="G314" s="580"/>
      <c r="H314" s="581"/>
      <c r="I314" s="582"/>
      <c r="J314" s="583"/>
      <c r="K314" s="584"/>
      <c r="L314" s="585"/>
      <c r="M314" s="583"/>
      <c r="N314" s="587"/>
      <c r="O314" s="588"/>
      <c r="P314" s="588"/>
      <c r="Q314" s="589">
        <f>Q315</f>
        <v>0</v>
      </c>
      <c r="R314" s="589">
        <f t="shared" ref="R314:AD314" si="119">R315</f>
        <v>0</v>
      </c>
      <c r="S314" s="589">
        <f t="shared" si="119"/>
        <v>0</v>
      </c>
      <c r="T314" s="589">
        <f t="shared" si="119"/>
        <v>0</v>
      </c>
      <c r="U314" s="589">
        <f t="shared" si="119"/>
        <v>0</v>
      </c>
      <c r="V314" s="589">
        <f t="shared" si="119"/>
        <v>0</v>
      </c>
      <c r="W314" s="589">
        <f t="shared" si="119"/>
        <v>0</v>
      </c>
      <c r="X314" s="589">
        <f t="shared" si="119"/>
        <v>0</v>
      </c>
      <c r="Y314" s="589">
        <f t="shared" si="119"/>
        <v>0</v>
      </c>
      <c r="Z314" s="589">
        <f t="shared" si="119"/>
        <v>0</v>
      </c>
      <c r="AA314" s="589">
        <f t="shared" si="119"/>
        <v>18000000</v>
      </c>
      <c r="AB314" s="589">
        <f t="shared" si="119"/>
        <v>0</v>
      </c>
      <c r="AC314" s="589">
        <f t="shared" si="119"/>
        <v>0</v>
      </c>
      <c r="AD314" s="589">
        <f t="shared" si="119"/>
        <v>18000000</v>
      </c>
      <c r="AE314" s="589"/>
      <c r="AF314" s="590"/>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c r="CI314" s="8"/>
      <c r="CJ314" s="8"/>
      <c r="CK314" s="8"/>
    </row>
    <row r="315" spans="1:89" s="11" customFormat="1" ht="25.5" customHeight="1" x14ac:dyDescent="0.2">
      <c r="A315" s="133"/>
      <c r="B315" s="104"/>
      <c r="C315" s="104"/>
      <c r="D315" s="104"/>
      <c r="E315" s="74">
        <v>1702</v>
      </c>
      <c r="F315" s="471" t="s">
        <v>431</v>
      </c>
      <c r="G315" s="473"/>
      <c r="H315" s="107"/>
      <c r="I315" s="487"/>
      <c r="J315" s="74"/>
      <c r="K315" s="70"/>
      <c r="L315" s="108"/>
      <c r="M315" s="74"/>
      <c r="N315" s="109"/>
      <c r="O315" s="487"/>
      <c r="P315" s="487"/>
      <c r="Q315" s="130">
        <f t="shared" ref="Q315:AD315" si="120">+Q316</f>
        <v>0</v>
      </c>
      <c r="R315" s="130">
        <f t="shared" si="120"/>
        <v>0</v>
      </c>
      <c r="S315" s="130">
        <f t="shared" si="120"/>
        <v>0</v>
      </c>
      <c r="T315" s="130">
        <f t="shared" si="120"/>
        <v>0</v>
      </c>
      <c r="U315" s="130">
        <f t="shared" si="120"/>
        <v>0</v>
      </c>
      <c r="V315" s="130">
        <f t="shared" si="120"/>
        <v>0</v>
      </c>
      <c r="W315" s="130">
        <f t="shared" si="120"/>
        <v>0</v>
      </c>
      <c r="X315" s="130">
        <f t="shared" si="120"/>
        <v>0</v>
      </c>
      <c r="Y315" s="130">
        <f t="shared" si="120"/>
        <v>0</v>
      </c>
      <c r="Z315" s="130">
        <f t="shared" si="120"/>
        <v>0</v>
      </c>
      <c r="AA315" s="130">
        <f t="shared" si="120"/>
        <v>18000000</v>
      </c>
      <c r="AB315" s="130">
        <f t="shared" si="120"/>
        <v>0</v>
      </c>
      <c r="AC315" s="130">
        <f t="shared" si="120"/>
        <v>0</v>
      </c>
      <c r="AD315" s="130">
        <f t="shared" si="120"/>
        <v>18000000</v>
      </c>
      <c r="AE315" s="130"/>
      <c r="AF315" s="130"/>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row>
    <row r="316" spans="1:89" s="11" customFormat="1" ht="112.5" customHeight="1" x14ac:dyDescent="0.2">
      <c r="A316" s="133"/>
      <c r="B316" s="104"/>
      <c r="C316" s="104"/>
      <c r="D316" s="104"/>
      <c r="E316" s="461"/>
      <c r="F316" s="462"/>
      <c r="G316" s="140" t="s">
        <v>902</v>
      </c>
      <c r="H316" s="266">
        <v>1702011</v>
      </c>
      <c r="I316" s="140" t="s">
        <v>903</v>
      </c>
      <c r="J316" s="73" t="s">
        <v>904</v>
      </c>
      <c r="K316" s="185" t="s">
        <v>905</v>
      </c>
      <c r="L316" s="453" t="s">
        <v>57</v>
      </c>
      <c r="M316" s="470">
        <v>4</v>
      </c>
      <c r="N316" s="454" t="s">
        <v>906</v>
      </c>
      <c r="O316" s="193" t="s">
        <v>907</v>
      </c>
      <c r="P316" s="193" t="s">
        <v>908</v>
      </c>
      <c r="Q316" s="118"/>
      <c r="R316" s="118"/>
      <c r="S316" s="118"/>
      <c r="T316" s="118"/>
      <c r="U316" s="118"/>
      <c r="V316" s="329"/>
      <c r="W316" s="118"/>
      <c r="X316" s="118"/>
      <c r="Y316" s="352"/>
      <c r="Z316" s="118"/>
      <c r="AA316" s="132">
        <v>18000000</v>
      </c>
      <c r="AB316" s="118"/>
      <c r="AC316" s="118"/>
      <c r="AD316" s="120">
        <f>+Q316+R316+S316+T316+U316+V316+W316+X316+Y316+Z316+AA316+AB316+AC316</f>
        <v>18000000</v>
      </c>
      <c r="AE316" s="120" t="s">
        <v>750</v>
      </c>
      <c r="AF316" s="546" t="s">
        <v>751</v>
      </c>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row>
    <row r="317" spans="1:89" s="9" customFormat="1" ht="27.75" customHeight="1" x14ac:dyDescent="0.25">
      <c r="A317" s="95"/>
      <c r="B317" s="576"/>
      <c r="C317" s="593">
        <v>36</v>
      </c>
      <c r="D317" s="578" t="s">
        <v>1310</v>
      </c>
      <c r="E317" s="592"/>
      <c r="F317" s="579"/>
      <c r="G317" s="580"/>
      <c r="H317" s="581"/>
      <c r="I317" s="582"/>
      <c r="J317" s="583"/>
      <c r="K317" s="584"/>
      <c r="L317" s="585"/>
      <c r="M317" s="583"/>
      <c r="N317" s="587"/>
      <c r="O317" s="588"/>
      <c r="P317" s="588"/>
      <c r="Q317" s="589">
        <f>Q318</f>
        <v>0</v>
      </c>
      <c r="R317" s="589">
        <f t="shared" ref="R317:AD317" si="121">R318</f>
        <v>0</v>
      </c>
      <c r="S317" s="589">
        <f t="shared" si="121"/>
        <v>0</v>
      </c>
      <c r="T317" s="589">
        <f t="shared" si="121"/>
        <v>0</v>
      </c>
      <c r="U317" s="589">
        <f t="shared" si="121"/>
        <v>0</v>
      </c>
      <c r="V317" s="589">
        <f t="shared" si="121"/>
        <v>0</v>
      </c>
      <c r="W317" s="589">
        <f t="shared" si="121"/>
        <v>0</v>
      </c>
      <c r="X317" s="589">
        <f t="shared" si="121"/>
        <v>0</v>
      </c>
      <c r="Y317" s="589">
        <f t="shared" si="121"/>
        <v>0</v>
      </c>
      <c r="Z317" s="589">
        <f t="shared" si="121"/>
        <v>0</v>
      </c>
      <c r="AA317" s="589">
        <f t="shared" si="121"/>
        <v>18000000</v>
      </c>
      <c r="AB317" s="589">
        <f t="shared" si="121"/>
        <v>0</v>
      </c>
      <c r="AC317" s="589">
        <f t="shared" si="121"/>
        <v>0</v>
      </c>
      <c r="AD317" s="589">
        <f t="shared" si="121"/>
        <v>18000000</v>
      </c>
      <c r="AE317" s="589"/>
      <c r="AF317" s="590"/>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c r="CI317" s="8"/>
      <c r="CJ317" s="8"/>
      <c r="CK317" s="8"/>
    </row>
    <row r="318" spans="1:89" s="11" customFormat="1" ht="27" customHeight="1" x14ac:dyDescent="0.2">
      <c r="A318" s="133"/>
      <c r="B318" s="104"/>
      <c r="C318" s="104"/>
      <c r="D318" s="104"/>
      <c r="E318" s="74">
        <v>3604</v>
      </c>
      <c r="F318" s="471" t="s">
        <v>909</v>
      </c>
      <c r="G318" s="473"/>
      <c r="H318" s="107"/>
      <c r="I318" s="487"/>
      <c r="J318" s="74"/>
      <c r="K318" s="70"/>
      <c r="L318" s="108"/>
      <c r="M318" s="74"/>
      <c r="N318" s="109"/>
      <c r="O318" s="487"/>
      <c r="P318" s="487"/>
      <c r="Q318" s="130">
        <f t="shared" ref="Q318:AD318" si="122">+Q319</f>
        <v>0</v>
      </c>
      <c r="R318" s="130">
        <f t="shared" si="122"/>
        <v>0</v>
      </c>
      <c r="S318" s="130">
        <f t="shared" si="122"/>
        <v>0</v>
      </c>
      <c r="T318" s="130">
        <f t="shared" si="122"/>
        <v>0</v>
      </c>
      <c r="U318" s="130">
        <f t="shared" si="122"/>
        <v>0</v>
      </c>
      <c r="V318" s="130">
        <f t="shared" si="122"/>
        <v>0</v>
      </c>
      <c r="W318" s="130">
        <f t="shared" si="122"/>
        <v>0</v>
      </c>
      <c r="X318" s="130">
        <f t="shared" si="122"/>
        <v>0</v>
      </c>
      <c r="Y318" s="130">
        <f t="shared" si="122"/>
        <v>0</v>
      </c>
      <c r="Z318" s="130">
        <f t="shared" si="122"/>
        <v>0</v>
      </c>
      <c r="AA318" s="130">
        <f t="shared" si="122"/>
        <v>18000000</v>
      </c>
      <c r="AB318" s="130">
        <f t="shared" si="122"/>
        <v>0</v>
      </c>
      <c r="AC318" s="130">
        <f t="shared" si="122"/>
        <v>0</v>
      </c>
      <c r="AD318" s="130">
        <f t="shared" si="122"/>
        <v>18000000</v>
      </c>
      <c r="AE318" s="130"/>
      <c r="AF318" s="130"/>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row>
    <row r="319" spans="1:89" s="11" customFormat="1" ht="131.25" customHeight="1" x14ac:dyDescent="0.2">
      <c r="A319" s="133"/>
      <c r="B319" s="104"/>
      <c r="C319" s="104"/>
      <c r="D319" s="104"/>
      <c r="E319" s="461"/>
      <c r="F319" s="462"/>
      <c r="G319" s="140" t="s">
        <v>910</v>
      </c>
      <c r="H319" s="463">
        <v>3604006</v>
      </c>
      <c r="I319" s="140" t="s">
        <v>911</v>
      </c>
      <c r="J319" s="72" t="s">
        <v>912</v>
      </c>
      <c r="K319" s="126" t="s">
        <v>320</v>
      </c>
      <c r="L319" s="231" t="s">
        <v>57</v>
      </c>
      <c r="M319" s="562">
        <v>200</v>
      </c>
      <c r="N319" s="454" t="s">
        <v>913</v>
      </c>
      <c r="O319" s="490" t="s">
        <v>914</v>
      </c>
      <c r="P319" s="490" t="s">
        <v>915</v>
      </c>
      <c r="Q319" s="118"/>
      <c r="R319" s="118"/>
      <c r="S319" s="118"/>
      <c r="T319" s="118"/>
      <c r="U319" s="118"/>
      <c r="V319" s="329"/>
      <c r="W319" s="118"/>
      <c r="X319" s="118"/>
      <c r="Y319" s="352"/>
      <c r="Z319" s="118"/>
      <c r="AA319" s="132">
        <v>18000000</v>
      </c>
      <c r="AB319" s="118"/>
      <c r="AC319" s="118"/>
      <c r="AD319" s="120">
        <f>+Q319+R319+S319+T319+U319+V319+W319+X319+Y319+Z319+AA319+AB319+AC319</f>
        <v>18000000</v>
      </c>
      <c r="AE319" s="120" t="s">
        <v>750</v>
      </c>
      <c r="AF319" s="546" t="s">
        <v>751</v>
      </c>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row>
    <row r="320" spans="1:89" s="11" customFormat="1" ht="25.5" customHeight="1" x14ac:dyDescent="0.2">
      <c r="A320" s="133"/>
      <c r="B320" s="99">
        <v>4</v>
      </c>
      <c r="C320" s="365" t="s">
        <v>39</v>
      </c>
      <c r="D320" s="96"/>
      <c r="E320" s="365"/>
      <c r="F320" s="365"/>
      <c r="G320" s="365"/>
      <c r="H320" s="97"/>
      <c r="I320" s="489"/>
      <c r="J320" s="99"/>
      <c r="K320" s="98"/>
      <c r="L320" s="100"/>
      <c r="M320" s="99"/>
      <c r="N320" s="101"/>
      <c r="O320" s="489"/>
      <c r="P320" s="489"/>
      <c r="Q320" s="129">
        <f>Q321</f>
        <v>0</v>
      </c>
      <c r="R320" s="129">
        <f t="shared" ref="R320:AD321" si="123">R321</f>
        <v>0</v>
      </c>
      <c r="S320" s="129">
        <f t="shared" si="123"/>
        <v>0</v>
      </c>
      <c r="T320" s="129">
        <f t="shared" si="123"/>
        <v>0</v>
      </c>
      <c r="U320" s="129">
        <f t="shared" si="123"/>
        <v>0</v>
      </c>
      <c r="V320" s="129">
        <f t="shared" si="123"/>
        <v>0</v>
      </c>
      <c r="W320" s="129">
        <f t="shared" si="123"/>
        <v>0</v>
      </c>
      <c r="X320" s="129">
        <f t="shared" si="123"/>
        <v>0</v>
      </c>
      <c r="Y320" s="129">
        <f t="shared" si="123"/>
        <v>0</v>
      </c>
      <c r="Z320" s="129">
        <f t="shared" si="123"/>
        <v>0</v>
      </c>
      <c r="AA320" s="129">
        <f t="shared" si="123"/>
        <v>84000000</v>
      </c>
      <c r="AB320" s="129">
        <f t="shared" si="123"/>
        <v>0</v>
      </c>
      <c r="AC320" s="129">
        <f t="shared" si="123"/>
        <v>0</v>
      </c>
      <c r="AD320" s="129">
        <f>AD321</f>
        <v>84000000</v>
      </c>
      <c r="AE320" s="129"/>
      <c r="AF320" s="129"/>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row>
    <row r="321" spans="1:89" s="9" customFormat="1" ht="27.75" customHeight="1" x14ac:dyDescent="0.25">
      <c r="A321" s="95"/>
      <c r="B321" s="576"/>
      <c r="C321" s="593">
        <v>45</v>
      </c>
      <c r="D321" s="578" t="s">
        <v>1313</v>
      </c>
      <c r="E321" s="592"/>
      <c r="F321" s="579"/>
      <c r="G321" s="580"/>
      <c r="H321" s="581"/>
      <c r="I321" s="582"/>
      <c r="J321" s="583"/>
      <c r="K321" s="584"/>
      <c r="L321" s="585"/>
      <c r="M321" s="583"/>
      <c r="N321" s="587"/>
      <c r="O321" s="588"/>
      <c r="P321" s="588"/>
      <c r="Q321" s="589">
        <f>Q322</f>
        <v>0</v>
      </c>
      <c r="R321" s="589">
        <f t="shared" si="123"/>
        <v>0</v>
      </c>
      <c r="S321" s="589">
        <f t="shared" si="123"/>
        <v>0</v>
      </c>
      <c r="T321" s="589">
        <f t="shared" si="123"/>
        <v>0</v>
      </c>
      <c r="U321" s="589">
        <f t="shared" si="123"/>
        <v>0</v>
      </c>
      <c r="V321" s="589">
        <f t="shared" si="123"/>
        <v>0</v>
      </c>
      <c r="W321" s="589">
        <f t="shared" si="123"/>
        <v>0</v>
      </c>
      <c r="X321" s="589">
        <f t="shared" si="123"/>
        <v>0</v>
      </c>
      <c r="Y321" s="589">
        <f t="shared" si="123"/>
        <v>0</v>
      </c>
      <c r="Z321" s="589">
        <f t="shared" si="123"/>
        <v>0</v>
      </c>
      <c r="AA321" s="589">
        <f t="shared" si="123"/>
        <v>84000000</v>
      </c>
      <c r="AB321" s="589">
        <f t="shared" si="123"/>
        <v>0</v>
      </c>
      <c r="AC321" s="589">
        <f t="shared" si="123"/>
        <v>0</v>
      </c>
      <c r="AD321" s="589">
        <f t="shared" si="123"/>
        <v>84000000</v>
      </c>
      <c r="AE321" s="589"/>
      <c r="AF321" s="590"/>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c r="CI321" s="8"/>
      <c r="CJ321" s="8"/>
      <c r="CK321" s="8"/>
    </row>
    <row r="322" spans="1:89" s="11" customFormat="1" ht="24.75" customHeight="1" x14ac:dyDescent="0.2">
      <c r="A322" s="1314"/>
      <c r="B322" s="1315"/>
      <c r="C322" s="1315"/>
      <c r="D322" s="1315"/>
      <c r="E322" s="389">
        <v>4502</v>
      </c>
      <c r="F322" s="1337" t="s">
        <v>61</v>
      </c>
      <c r="G322" s="1316"/>
      <c r="H322" s="1317"/>
      <c r="I322" s="1318"/>
      <c r="J322" s="389"/>
      <c r="K322" s="1288"/>
      <c r="L322" s="1319"/>
      <c r="M322" s="389"/>
      <c r="N322" s="1320"/>
      <c r="O322" s="1318"/>
      <c r="P322" s="1318"/>
      <c r="Q322" s="1321">
        <f t="shared" ref="Q322:Z322" si="124">+Q323</f>
        <v>0</v>
      </c>
      <c r="R322" s="1321">
        <f t="shared" si="124"/>
        <v>0</v>
      </c>
      <c r="S322" s="1321">
        <f t="shared" si="124"/>
        <v>0</v>
      </c>
      <c r="T322" s="1321">
        <f t="shared" si="124"/>
        <v>0</v>
      </c>
      <c r="U322" s="1321">
        <f t="shared" si="124"/>
        <v>0</v>
      </c>
      <c r="V322" s="1321">
        <f t="shared" si="124"/>
        <v>0</v>
      </c>
      <c r="W322" s="1321">
        <f t="shared" si="124"/>
        <v>0</v>
      </c>
      <c r="X322" s="1321">
        <f t="shared" si="124"/>
        <v>0</v>
      </c>
      <c r="Y322" s="1321">
        <f t="shared" si="124"/>
        <v>0</v>
      </c>
      <c r="Z322" s="1321">
        <f t="shared" si="124"/>
        <v>0</v>
      </c>
      <c r="AA322" s="1321">
        <f>SUM(AA323:AA325)</f>
        <v>84000000</v>
      </c>
      <c r="AB322" s="1321">
        <f t="shared" ref="AB322:AF322" si="125">SUM(AB323:AB325)</f>
        <v>0</v>
      </c>
      <c r="AC322" s="1321">
        <f t="shared" si="125"/>
        <v>0</v>
      </c>
      <c r="AD322" s="1321">
        <f t="shared" si="125"/>
        <v>84000000</v>
      </c>
      <c r="AE322" s="1321">
        <f t="shared" si="125"/>
        <v>0</v>
      </c>
      <c r="AF322" s="1321">
        <f t="shared" si="125"/>
        <v>0</v>
      </c>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row>
    <row r="323" spans="1:89" s="11" customFormat="1" ht="105.75" customHeight="1" x14ac:dyDescent="0.2">
      <c r="A323" s="1322"/>
      <c r="B323" s="1323"/>
      <c r="C323" s="1323"/>
      <c r="D323" s="1323"/>
      <c r="E323" s="386"/>
      <c r="F323" s="1324"/>
      <c r="G323" s="1259" t="s">
        <v>916</v>
      </c>
      <c r="H323" s="1325">
        <v>4502001</v>
      </c>
      <c r="I323" s="1326" t="s">
        <v>71</v>
      </c>
      <c r="J323" s="1327">
        <v>450200108</v>
      </c>
      <c r="K323" s="1328" t="s">
        <v>917</v>
      </c>
      <c r="L323" s="1329" t="s">
        <v>57</v>
      </c>
      <c r="M323" s="558">
        <v>1</v>
      </c>
      <c r="N323" s="1330" t="s">
        <v>918</v>
      </c>
      <c r="O323" s="1259" t="s">
        <v>919</v>
      </c>
      <c r="P323" s="1259" t="s">
        <v>920</v>
      </c>
      <c r="Q323" s="1331"/>
      <c r="R323" s="1331"/>
      <c r="S323" s="1331"/>
      <c r="T323" s="1331"/>
      <c r="U323" s="1331"/>
      <c r="V323" s="1332"/>
      <c r="W323" s="1331"/>
      <c r="X323" s="1331"/>
      <c r="Y323" s="1333"/>
      <c r="Z323" s="1331"/>
      <c r="AA323" s="1334">
        <v>18000000</v>
      </c>
      <c r="AB323" s="1331"/>
      <c r="AC323" s="1331"/>
      <c r="AD323" s="1335">
        <f>+Q323+R323+S323+T323+U323+V323+W323+X323+Y323+Z323+AA323+AB323+AC323</f>
        <v>18000000</v>
      </c>
      <c r="AE323" s="1335" t="s">
        <v>750</v>
      </c>
      <c r="AF323" s="1336" t="s">
        <v>751</v>
      </c>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row>
    <row r="324" spans="1:89" s="18" customFormat="1" ht="181.5" customHeight="1" x14ac:dyDescent="0.2">
      <c r="A324" s="254"/>
      <c r="B324" s="258"/>
      <c r="C324" s="258"/>
      <c r="D324" s="258"/>
      <c r="E324" s="135"/>
      <c r="F324" s="204"/>
      <c r="G324" s="1469" t="s">
        <v>893</v>
      </c>
      <c r="H324" s="210">
        <v>4502024</v>
      </c>
      <c r="I324" s="1469" t="s">
        <v>303</v>
      </c>
      <c r="J324" s="216">
        <v>450202401</v>
      </c>
      <c r="K324" s="1470" t="s">
        <v>894</v>
      </c>
      <c r="L324" s="566" t="s">
        <v>45</v>
      </c>
      <c r="M324" s="566">
        <v>1</v>
      </c>
      <c r="N324" s="178" t="s">
        <v>895</v>
      </c>
      <c r="O324" s="272" t="s">
        <v>896</v>
      </c>
      <c r="P324" s="272" t="s">
        <v>897</v>
      </c>
      <c r="Q324" s="212">
        <v>0</v>
      </c>
      <c r="R324" s="212">
        <v>0</v>
      </c>
      <c r="S324" s="212">
        <v>0</v>
      </c>
      <c r="T324" s="212">
        <v>0</v>
      </c>
      <c r="U324" s="212">
        <v>0</v>
      </c>
      <c r="V324" s="330">
        <v>0</v>
      </c>
      <c r="W324" s="212">
        <v>0</v>
      </c>
      <c r="X324" s="212">
        <v>0</v>
      </c>
      <c r="Y324" s="353">
        <v>0</v>
      </c>
      <c r="Z324" s="212">
        <v>0</v>
      </c>
      <c r="AA324" s="197">
        <v>33000000</v>
      </c>
      <c r="AB324" s="212"/>
      <c r="AC324" s="212"/>
      <c r="AD324" s="213">
        <f>+Q324+R324+S324+T324+U324+V324+W324+X324+Y324+Z324+AA324+AB324+AC324</f>
        <v>33000000</v>
      </c>
      <c r="AE324" s="213" t="s">
        <v>750</v>
      </c>
      <c r="AF324" s="1267" t="s">
        <v>751</v>
      </c>
    </row>
    <row r="325" spans="1:89" s="18" customFormat="1" ht="105" x14ac:dyDescent="0.2">
      <c r="A325" s="254"/>
      <c r="B325" s="258"/>
      <c r="C325" s="258"/>
      <c r="D325" s="258"/>
      <c r="E325" s="135"/>
      <c r="F325" s="204"/>
      <c r="G325" s="1469" t="s">
        <v>893</v>
      </c>
      <c r="H325" s="210">
        <v>4502024</v>
      </c>
      <c r="I325" s="1469" t="s">
        <v>303</v>
      </c>
      <c r="J325" s="1263">
        <v>450202401</v>
      </c>
      <c r="K325" s="1470" t="s">
        <v>898</v>
      </c>
      <c r="L325" s="566" t="s">
        <v>45</v>
      </c>
      <c r="M325" s="566">
        <v>1</v>
      </c>
      <c r="N325" s="178" t="s">
        <v>899</v>
      </c>
      <c r="O325" s="1469" t="s">
        <v>900</v>
      </c>
      <c r="P325" s="1469" t="s">
        <v>901</v>
      </c>
      <c r="Q325" s="212"/>
      <c r="R325" s="212"/>
      <c r="S325" s="212"/>
      <c r="T325" s="212"/>
      <c r="U325" s="212"/>
      <c r="V325" s="330"/>
      <c r="W325" s="212"/>
      <c r="X325" s="212"/>
      <c r="Y325" s="353"/>
      <c r="Z325" s="212"/>
      <c r="AA325" s="197">
        <v>33000000</v>
      </c>
      <c r="AB325" s="212"/>
      <c r="AC325" s="212"/>
      <c r="AD325" s="213">
        <f>+Q325+R325+S325+T325+U325+V325+W325+X325+Y325+Z325+AA325+AB325+AC325</f>
        <v>33000000</v>
      </c>
      <c r="AE325" s="213" t="s">
        <v>750</v>
      </c>
      <c r="AF325" s="1267" t="s">
        <v>751</v>
      </c>
    </row>
    <row r="327" spans="1:89" s="437" customFormat="1" ht="28.5" customHeight="1" x14ac:dyDescent="0.2">
      <c r="A327" s="648"/>
      <c r="B327" s="652"/>
      <c r="C327" s="652"/>
      <c r="D327" s="652"/>
      <c r="E327" s="653"/>
      <c r="F327" s="650"/>
      <c r="G327" s="654"/>
      <c r="H327" s="653"/>
      <c r="I327" s="654"/>
      <c r="J327" s="655"/>
      <c r="K327" s="656"/>
      <c r="L327" s="650"/>
      <c r="M327" s="655"/>
      <c r="N327" s="650"/>
      <c r="O327" s="656"/>
      <c r="P327" s="656"/>
      <c r="Q327" s="648"/>
      <c r="R327" s="648"/>
      <c r="S327" s="648"/>
      <c r="T327" s="648"/>
      <c r="U327" s="657"/>
      <c r="V327" s="657"/>
      <c r="W327" s="648"/>
      <c r="X327" s="648"/>
      <c r="Y327" s="648"/>
      <c r="Z327" s="648"/>
      <c r="AA327" s="658"/>
      <c r="AB327" s="648"/>
      <c r="AC327" s="648"/>
      <c r="AD327" s="648"/>
      <c r="AE327" s="648"/>
      <c r="AF327" s="650"/>
    </row>
    <row r="328" spans="1:89" ht="21.75" customHeight="1" x14ac:dyDescent="0.2">
      <c r="A328" s="86" t="s">
        <v>921</v>
      </c>
      <c r="B328" s="86"/>
      <c r="C328" s="86"/>
      <c r="D328" s="86"/>
      <c r="E328" s="87"/>
      <c r="F328" s="88"/>
      <c r="G328" s="89"/>
      <c r="H328" s="90"/>
      <c r="I328" s="89"/>
      <c r="J328" s="92"/>
      <c r="K328" s="91"/>
      <c r="L328" s="93"/>
      <c r="M328" s="92"/>
      <c r="N328" s="88"/>
      <c r="O328" s="91"/>
      <c r="P328" s="91"/>
      <c r="Q328" s="144">
        <f>+Q329</f>
        <v>0</v>
      </c>
      <c r="R328" s="144">
        <f t="shared" ref="R328:AD328" si="126">+R329</f>
        <v>0</v>
      </c>
      <c r="S328" s="144">
        <f t="shared" si="126"/>
        <v>0</v>
      </c>
      <c r="T328" s="144">
        <f t="shared" si="126"/>
        <v>0</v>
      </c>
      <c r="U328" s="144">
        <f t="shared" si="126"/>
        <v>6460193577</v>
      </c>
      <c r="V328" s="144">
        <f t="shared" si="126"/>
        <v>35242837560</v>
      </c>
      <c r="W328" s="144">
        <f t="shared" si="126"/>
        <v>0</v>
      </c>
      <c r="X328" s="144">
        <f t="shared" si="126"/>
        <v>0</v>
      </c>
      <c r="Y328" s="144">
        <f t="shared" si="126"/>
        <v>0</v>
      </c>
      <c r="Z328" s="144">
        <f t="shared" si="126"/>
        <v>0</v>
      </c>
      <c r="AA328" s="144">
        <f t="shared" si="126"/>
        <v>1321980000</v>
      </c>
      <c r="AB328" s="144">
        <f t="shared" si="126"/>
        <v>0</v>
      </c>
      <c r="AC328" s="144">
        <f t="shared" si="126"/>
        <v>2599166997</v>
      </c>
      <c r="AD328" s="144">
        <f t="shared" si="126"/>
        <v>45624178134</v>
      </c>
      <c r="AE328" s="144"/>
      <c r="AF328" s="94"/>
      <c r="AG328" s="4">
        <v>45624178134</v>
      </c>
    </row>
    <row r="329" spans="1:89" ht="26.25" customHeight="1" x14ac:dyDescent="0.2">
      <c r="A329" s="103"/>
      <c r="B329" s="99">
        <v>1</v>
      </c>
      <c r="C329" s="594" t="s">
        <v>134</v>
      </c>
      <c r="D329" s="96"/>
      <c r="E329" s="591"/>
      <c r="F329" s="365"/>
      <c r="G329" s="365"/>
      <c r="H329" s="97"/>
      <c r="I329" s="489"/>
      <c r="J329" s="99"/>
      <c r="K329" s="98"/>
      <c r="L329" s="100"/>
      <c r="M329" s="99"/>
      <c r="N329" s="101"/>
      <c r="O329" s="98"/>
      <c r="P329" s="98"/>
      <c r="Q329" s="102">
        <f>Q330</f>
        <v>0</v>
      </c>
      <c r="R329" s="102">
        <f t="shared" ref="R329:AC329" si="127">R330</f>
        <v>0</v>
      </c>
      <c r="S329" s="102">
        <f t="shared" si="127"/>
        <v>0</v>
      </c>
      <c r="T329" s="102">
        <f t="shared" si="127"/>
        <v>0</v>
      </c>
      <c r="U329" s="102">
        <f t="shared" si="127"/>
        <v>6460193577</v>
      </c>
      <c r="V329" s="102">
        <f t="shared" si="127"/>
        <v>35242837560</v>
      </c>
      <c r="W329" s="102">
        <f t="shared" si="127"/>
        <v>0</v>
      </c>
      <c r="X329" s="102">
        <f t="shared" si="127"/>
        <v>0</v>
      </c>
      <c r="Y329" s="102">
        <f t="shared" si="127"/>
        <v>0</v>
      </c>
      <c r="Z329" s="102">
        <f t="shared" si="127"/>
        <v>0</v>
      </c>
      <c r="AA329" s="102">
        <f t="shared" si="127"/>
        <v>1321980000</v>
      </c>
      <c r="AB329" s="102">
        <f t="shared" si="127"/>
        <v>0</v>
      </c>
      <c r="AC329" s="102">
        <f t="shared" si="127"/>
        <v>2599166997</v>
      </c>
      <c r="AD329" s="102">
        <f>AD330</f>
        <v>45624178134</v>
      </c>
      <c r="AE329" s="102"/>
      <c r="AF329" s="543"/>
    </row>
    <row r="330" spans="1:89" s="9" customFormat="1" ht="27.75" customHeight="1" x14ac:dyDescent="0.25">
      <c r="A330" s="95"/>
      <c r="B330" s="576"/>
      <c r="C330" s="593">
        <v>19</v>
      </c>
      <c r="D330" s="578" t="s">
        <v>1304</v>
      </c>
      <c r="E330" s="592"/>
      <c r="F330" s="579"/>
      <c r="G330" s="580"/>
      <c r="H330" s="581"/>
      <c r="I330" s="582"/>
      <c r="J330" s="583"/>
      <c r="K330" s="584"/>
      <c r="L330" s="585"/>
      <c r="M330" s="583"/>
      <c r="N330" s="587"/>
      <c r="O330" s="588"/>
      <c r="P330" s="588"/>
      <c r="Q330" s="589">
        <f>Q331+Q354+Q384</f>
        <v>0</v>
      </c>
      <c r="R330" s="589">
        <f t="shared" ref="R330:AD330" si="128">R331+R354+R384</f>
        <v>0</v>
      </c>
      <c r="S330" s="589">
        <f t="shared" si="128"/>
        <v>0</v>
      </c>
      <c r="T330" s="589">
        <f t="shared" si="128"/>
        <v>0</v>
      </c>
      <c r="U330" s="589">
        <f t="shared" si="128"/>
        <v>6460193577</v>
      </c>
      <c r="V330" s="589">
        <f t="shared" si="128"/>
        <v>35242837560</v>
      </c>
      <c r="W330" s="589">
        <f t="shared" si="128"/>
        <v>0</v>
      </c>
      <c r="X330" s="589">
        <f t="shared" si="128"/>
        <v>0</v>
      </c>
      <c r="Y330" s="589">
        <f t="shared" si="128"/>
        <v>0</v>
      </c>
      <c r="Z330" s="589">
        <f t="shared" si="128"/>
        <v>0</v>
      </c>
      <c r="AA330" s="589">
        <f t="shared" si="128"/>
        <v>1321980000</v>
      </c>
      <c r="AB330" s="589">
        <f t="shared" si="128"/>
        <v>0</v>
      </c>
      <c r="AC330" s="589">
        <f t="shared" si="128"/>
        <v>2599166997</v>
      </c>
      <c r="AD330" s="589">
        <f t="shared" si="128"/>
        <v>45624178134</v>
      </c>
      <c r="AE330" s="589"/>
      <c r="AF330" s="590"/>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c r="CI330" s="8"/>
      <c r="CJ330" s="8"/>
      <c r="CK330" s="8"/>
    </row>
    <row r="331" spans="1:89" ht="22.5" customHeight="1" x14ac:dyDescent="0.2">
      <c r="A331" s="103"/>
      <c r="B331" s="104"/>
      <c r="C331" s="104"/>
      <c r="D331" s="104"/>
      <c r="E331" s="74">
        <v>1903</v>
      </c>
      <c r="F331" s="471" t="s">
        <v>922</v>
      </c>
      <c r="G331" s="473"/>
      <c r="H331" s="107"/>
      <c r="I331" s="487"/>
      <c r="J331" s="74"/>
      <c r="K331" s="70"/>
      <c r="L331" s="108"/>
      <c r="M331" s="74"/>
      <c r="N331" s="109"/>
      <c r="O331" s="70"/>
      <c r="P331" s="70"/>
      <c r="Q331" s="110">
        <f>SUM(Q332:Q353)</f>
        <v>0</v>
      </c>
      <c r="R331" s="110">
        <f t="shared" ref="R331:AD331" si="129">SUM(R332:R353)</f>
        <v>0</v>
      </c>
      <c r="S331" s="110">
        <f t="shared" si="129"/>
        <v>0</v>
      </c>
      <c r="T331" s="110">
        <f t="shared" si="129"/>
        <v>0</v>
      </c>
      <c r="U331" s="110">
        <f t="shared" si="129"/>
        <v>1389901448</v>
      </c>
      <c r="V331" s="110">
        <f t="shared" si="129"/>
        <v>150000000</v>
      </c>
      <c r="W331" s="110">
        <f t="shared" si="129"/>
        <v>0</v>
      </c>
      <c r="X331" s="110">
        <f t="shared" si="129"/>
        <v>0</v>
      </c>
      <c r="Y331" s="110">
        <f t="shared" si="129"/>
        <v>0</v>
      </c>
      <c r="Z331" s="110">
        <f t="shared" si="129"/>
        <v>0</v>
      </c>
      <c r="AA331" s="110">
        <f t="shared" si="129"/>
        <v>161590000</v>
      </c>
      <c r="AB331" s="110">
        <f t="shared" si="129"/>
        <v>0</v>
      </c>
      <c r="AC331" s="110">
        <f t="shared" si="129"/>
        <v>844700000</v>
      </c>
      <c r="AD331" s="110">
        <f t="shared" si="129"/>
        <v>2546191448</v>
      </c>
      <c r="AE331" s="110"/>
      <c r="AF331" s="544"/>
    </row>
    <row r="332" spans="1:89" ht="66" customHeight="1" x14ac:dyDescent="0.2">
      <c r="A332" s="103"/>
      <c r="B332" s="104"/>
      <c r="C332" s="104"/>
      <c r="D332" s="104"/>
      <c r="E332" s="111"/>
      <c r="F332" s="172"/>
      <c r="G332" s="140" t="s">
        <v>923</v>
      </c>
      <c r="H332" s="461">
        <v>1903009</v>
      </c>
      <c r="I332" s="205" t="s">
        <v>924</v>
      </c>
      <c r="J332" s="75">
        <v>190300900</v>
      </c>
      <c r="K332" s="228" t="s">
        <v>925</v>
      </c>
      <c r="L332" s="466" t="s">
        <v>45</v>
      </c>
      <c r="M332" s="470">
        <v>2900</v>
      </c>
      <c r="N332" s="1523" t="s">
        <v>926</v>
      </c>
      <c r="O332" s="1525" t="s">
        <v>927</v>
      </c>
      <c r="P332" s="1525" t="s">
        <v>928</v>
      </c>
      <c r="Q332" s="118"/>
      <c r="R332" s="118"/>
      <c r="S332" s="118"/>
      <c r="T332" s="118"/>
      <c r="U332" s="212">
        <v>38000000</v>
      </c>
      <c r="V332" s="329"/>
      <c r="W332" s="118"/>
      <c r="X332" s="118"/>
      <c r="Y332" s="352"/>
      <c r="Z332" s="118"/>
      <c r="AA332" s="132">
        <f>40000000-40000000</f>
        <v>0</v>
      </c>
      <c r="AB332" s="118"/>
      <c r="AC332" s="118"/>
      <c r="AD332" s="120">
        <f t="shared" ref="AD332:AD390" si="130">+Q332+R332+S332+T332+U332+V332+W332+X332+Y332+Z332+AA332+AB332+AC332</f>
        <v>38000000</v>
      </c>
      <c r="AE332" s="120" t="s">
        <v>929</v>
      </c>
      <c r="AF332" s="546" t="s">
        <v>930</v>
      </c>
      <c r="AG332" s="1"/>
    </row>
    <row r="333" spans="1:89" s="4" customFormat="1" ht="47.25" customHeight="1" x14ac:dyDescent="0.2">
      <c r="A333" s="203"/>
      <c r="B333" s="258"/>
      <c r="C333" s="258"/>
      <c r="D333" s="258"/>
      <c r="E333" s="209"/>
      <c r="F333" s="271"/>
      <c r="G333" s="272" t="s">
        <v>931</v>
      </c>
      <c r="H333" s="135">
        <v>1903031</v>
      </c>
      <c r="I333" s="205" t="s">
        <v>932</v>
      </c>
      <c r="J333" s="75">
        <v>190303100</v>
      </c>
      <c r="K333" s="273" t="s">
        <v>933</v>
      </c>
      <c r="L333" s="460" t="s">
        <v>45</v>
      </c>
      <c r="M333" s="470">
        <v>12</v>
      </c>
      <c r="N333" s="1523"/>
      <c r="O333" s="1525"/>
      <c r="P333" s="1525"/>
      <c r="Q333" s="212"/>
      <c r="R333" s="212"/>
      <c r="S333" s="212"/>
      <c r="T333" s="212"/>
      <c r="U333" s="215">
        <v>74000000</v>
      </c>
      <c r="V333" s="330"/>
      <c r="W333" s="212"/>
      <c r="X333" s="212"/>
      <c r="Y333" s="353"/>
      <c r="Z333" s="212"/>
      <c r="AA333" s="197"/>
      <c r="AB333" s="212"/>
      <c r="AC333" s="212"/>
      <c r="AD333" s="213">
        <f>+Q333+R333+S333+T333+U333+V333+W333+X333+Y333+Z333+AA333+AB333+AC333</f>
        <v>74000000</v>
      </c>
      <c r="AE333" s="120" t="s">
        <v>929</v>
      </c>
      <c r="AF333" s="546" t="s">
        <v>930</v>
      </c>
    </row>
    <row r="334" spans="1:89" ht="83.25" customHeight="1" x14ac:dyDescent="0.2">
      <c r="A334" s="103"/>
      <c r="B334" s="104"/>
      <c r="C334" s="104"/>
      <c r="D334" s="104"/>
      <c r="E334" s="111"/>
      <c r="F334" s="172"/>
      <c r="G334" s="140" t="s">
        <v>934</v>
      </c>
      <c r="H334" s="461">
        <v>1903023</v>
      </c>
      <c r="I334" s="205" t="s">
        <v>935</v>
      </c>
      <c r="J334" s="75">
        <v>190302300</v>
      </c>
      <c r="K334" s="228" t="s">
        <v>936</v>
      </c>
      <c r="L334" s="466" t="s">
        <v>45</v>
      </c>
      <c r="M334" s="470">
        <v>12</v>
      </c>
      <c r="N334" s="1523"/>
      <c r="O334" s="1525"/>
      <c r="P334" s="1525"/>
      <c r="Q334" s="118"/>
      <c r="R334" s="118"/>
      <c r="S334" s="118"/>
      <c r="T334" s="118"/>
      <c r="U334" s="212">
        <v>28000000</v>
      </c>
      <c r="V334" s="329"/>
      <c r="W334" s="118"/>
      <c r="X334" s="118"/>
      <c r="Y334" s="352"/>
      <c r="Z334" s="118"/>
      <c r="AA334" s="274"/>
      <c r="AB334" s="118"/>
      <c r="AC334" s="118"/>
      <c r="AD334" s="120">
        <f t="shared" si="130"/>
        <v>28000000</v>
      </c>
      <c r="AE334" s="120" t="s">
        <v>929</v>
      </c>
      <c r="AF334" s="546" t="s">
        <v>930</v>
      </c>
      <c r="AG334" s="1"/>
    </row>
    <row r="335" spans="1:89" ht="175.5" customHeight="1" x14ac:dyDescent="0.2">
      <c r="A335" s="103"/>
      <c r="B335" s="104"/>
      <c r="C335" s="104"/>
      <c r="D335" s="104"/>
      <c r="E335" s="111"/>
      <c r="F335" s="172"/>
      <c r="G335" s="140" t="s">
        <v>937</v>
      </c>
      <c r="H335" s="114">
        <v>1903050</v>
      </c>
      <c r="I335" s="205" t="s">
        <v>938</v>
      </c>
      <c r="J335" s="76">
        <v>190305000</v>
      </c>
      <c r="K335" s="228" t="s">
        <v>939</v>
      </c>
      <c r="L335" s="466" t="s">
        <v>45</v>
      </c>
      <c r="M335" s="470">
        <v>12</v>
      </c>
      <c r="N335" s="1523"/>
      <c r="O335" s="1525"/>
      <c r="P335" s="1525"/>
      <c r="Q335" s="118"/>
      <c r="R335" s="118"/>
      <c r="S335" s="118"/>
      <c r="T335" s="118"/>
      <c r="U335" s="212">
        <v>28000000</v>
      </c>
      <c r="V335" s="335"/>
      <c r="W335" s="118"/>
      <c r="X335" s="118"/>
      <c r="Y335" s="352"/>
      <c r="Z335" s="118"/>
      <c r="AA335" s="274"/>
      <c r="AB335" s="118"/>
      <c r="AC335" s="118"/>
      <c r="AD335" s="120">
        <f t="shared" si="130"/>
        <v>28000000</v>
      </c>
      <c r="AE335" s="120" t="s">
        <v>929</v>
      </c>
      <c r="AF335" s="546" t="s">
        <v>930</v>
      </c>
      <c r="AG335" s="1"/>
    </row>
    <row r="336" spans="1:89" ht="113.25" customHeight="1" x14ac:dyDescent="0.2">
      <c r="A336" s="103"/>
      <c r="B336" s="104"/>
      <c r="C336" s="104"/>
      <c r="D336" s="104"/>
      <c r="E336" s="111"/>
      <c r="F336" s="172"/>
      <c r="G336" s="140" t="s">
        <v>923</v>
      </c>
      <c r="H336" s="275">
        <v>1903038</v>
      </c>
      <c r="I336" s="205" t="s">
        <v>940</v>
      </c>
      <c r="J336" s="275">
        <v>190303801</v>
      </c>
      <c r="K336" s="173" t="s">
        <v>941</v>
      </c>
      <c r="L336" s="466" t="s">
        <v>45</v>
      </c>
      <c r="M336" s="135">
        <v>1</v>
      </c>
      <c r="N336" s="1523"/>
      <c r="O336" s="1525"/>
      <c r="P336" s="1525"/>
      <c r="Q336" s="118"/>
      <c r="R336" s="118"/>
      <c r="S336" s="118"/>
      <c r="T336" s="118"/>
      <c r="U336" s="212">
        <v>48000000</v>
      </c>
      <c r="V336" s="329"/>
      <c r="W336" s="118"/>
      <c r="X336" s="118"/>
      <c r="Y336" s="352"/>
      <c r="Z336" s="118"/>
      <c r="AA336" s="274"/>
      <c r="AB336" s="118"/>
      <c r="AC336" s="661">
        <f>842700000+2000000</f>
        <v>844700000</v>
      </c>
      <c r="AD336" s="120">
        <f t="shared" si="130"/>
        <v>892700000</v>
      </c>
      <c r="AE336" s="120" t="s">
        <v>929</v>
      </c>
      <c r="AF336" s="546" t="s">
        <v>930</v>
      </c>
      <c r="AG336" s="1"/>
    </row>
    <row r="337" spans="1:33" ht="120.75" customHeight="1" x14ac:dyDescent="0.2">
      <c r="A337" s="103"/>
      <c r="B337" s="104"/>
      <c r="C337" s="104"/>
      <c r="D337" s="104"/>
      <c r="E337" s="111"/>
      <c r="F337" s="172"/>
      <c r="G337" s="140" t="s">
        <v>942</v>
      </c>
      <c r="H337" s="461">
        <v>1903038</v>
      </c>
      <c r="I337" s="205" t="s">
        <v>943</v>
      </c>
      <c r="J337" s="75">
        <v>190303801</v>
      </c>
      <c r="K337" s="173" t="s">
        <v>944</v>
      </c>
      <c r="L337" s="466" t="s">
        <v>45</v>
      </c>
      <c r="M337" s="470">
        <v>11</v>
      </c>
      <c r="N337" s="1523"/>
      <c r="O337" s="1525"/>
      <c r="P337" s="1525"/>
      <c r="Q337" s="118"/>
      <c r="R337" s="118"/>
      <c r="S337" s="118"/>
      <c r="T337" s="118"/>
      <c r="U337" s="276">
        <v>19000000</v>
      </c>
      <c r="V337" s="329"/>
      <c r="W337" s="118"/>
      <c r="X337" s="118"/>
      <c r="Y337" s="352"/>
      <c r="Z337" s="118"/>
      <c r="AA337" s="274"/>
      <c r="AB337" s="118"/>
      <c r="AC337" s="118"/>
      <c r="AD337" s="120">
        <f t="shared" si="130"/>
        <v>19000000</v>
      </c>
      <c r="AE337" s="120" t="s">
        <v>929</v>
      </c>
      <c r="AF337" s="546" t="s">
        <v>930</v>
      </c>
      <c r="AG337" s="1"/>
    </row>
    <row r="338" spans="1:33" ht="129" customHeight="1" x14ac:dyDescent="0.2">
      <c r="A338" s="103"/>
      <c r="B338" s="104"/>
      <c r="C338" s="104"/>
      <c r="D338" s="104"/>
      <c r="E338" s="111"/>
      <c r="F338" s="172"/>
      <c r="G338" s="140" t="s">
        <v>931</v>
      </c>
      <c r="H338" s="461">
        <v>1903027</v>
      </c>
      <c r="I338" s="205" t="s">
        <v>945</v>
      </c>
      <c r="J338" s="75">
        <v>190302700</v>
      </c>
      <c r="K338" s="273" t="s">
        <v>946</v>
      </c>
      <c r="L338" s="466" t="s">
        <v>45</v>
      </c>
      <c r="M338" s="470">
        <v>5</v>
      </c>
      <c r="N338" s="1523"/>
      <c r="O338" s="1525"/>
      <c r="P338" s="1525"/>
      <c r="Q338" s="118"/>
      <c r="R338" s="118"/>
      <c r="S338" s="118"/>
      <c r="T338" s="118"/>
      <c r="U338" s="276">
        <v>19000000</v>
      </c>
      <c r="V338" s="329"/>
      <c r="W338" s="118"/>
      <c r="X338" s="118"/>
      <c r="Y338" s="352"/>
      <c r="Z338" s="118"/>
      <c r="AA338" s="274"/>
      <c r="AB338" s="118"/>
      <c r="AC338" s="118"/>
      <c r="AD338" s="120">
        <f t="shared" si="130"/>
        <v>19000000</v>
      </c>
      <c r="AE338" s="120" t="s">
        <v>929</v>
      </c>
      <c r="AF338" s="546" t="s">
        <v>930</v>
      </c>
      <c r="AG338" s="1"/>
    </row>
    <row r="339" spans="1:33" ht="69" customHeight="1" x14ac:dyDescent="0.2">
      <c r="A339" s="103"/>
      <c r="B339" s="104"/>
      <c r="C339" s="104"/>
      <c r="D339" s="104"/>
      <c r="E339" s="111"/>
      <c r="F339" s="172"/>
      <c r="G339" s="140" t="s">
        <v>947</v>
      </c>
      <c r="H339" s="461">
        <v>1903011</v>
      </c>
      <c r="I339" s="205" t="s">
        <v>948</v>
      </c>
      <c r="J339" s="75">
        <v>190301100</v>
      </c>
      <c r="K339" s="273" t="s">
        <v>949</v>
      </c>
      <c r="L339" s="466" t="s">
        <v>45</v>
      </c>
      <c r="M339" s="470">
        <v>140</v>
      </c>
      <c r="N339" s="1523"/>
      <c r="O339" s="1525"/>
      <c r="P339" s="1525"/>
      <c r="Q339" s="118"/>
      <c r="R339" s="118"/>
      <c r="S339" s="118"/>
      <c r="T339" s="118"/>
      <c r="U339" s="212">
        <v>19000000</v>
      </c>
      <c r="V339" s="329"/>
      <c r="W339" s="118"/>
      <c r="X339" s="118"/>
      <c r="Y339" s="352"/>
      <c r="Z339" s="118"/>
      <c r="AA339" s="274"/>
      <c r="AB339" s="118"/>
      <c r="AC339" s="118"/>
      <c r="AD339" s="120">
        <f t="shared" si="130"/>
        <v>19000000</v>
      </c>
      <c r="AE339" s="120" t="s">
        <v>929</v>
      </c>
      <c r="AF339" s="546" t="s">
        <v>930</v>
      </c>
      <c r="AG339" s="1"/>
    </row>
    <row r="340" spans="1:33" ht="110.25" customHeight="1" x14ac:dyDescent="0.2">
      <c r="A340" s="103"/>
      <c r="B340" s="104"/>
      <c r="C340" s="104"/>
      <c r="D340" s="104"/>
      <c r="E340" s="111"/>
      <c r="F340" s="457"/>
      <c r="G340" s="140" t="s">
        <v>950</v>
      </c>
      <c r="H340" s="461">
        <v>1903001</v>
      </c>
      <c r="I340" s="193" t="s">
        <v>85</v>
      </c>
      <c r="J340" s="171">
        <v>190300100</v>
      </c>
      <c r="K340" s="220" t="s">
        <v>951</v>
      </c>
      <c r="L340" s="466" t="s">
        <v>45</v>
      </c>
      <c r="M340" s="470">
        <v>2</v>
      </c>
      <c r="N340" s="1523" t="s">
        <v>952</v>
      </c>
      <c r="O340" s="1519" t="s">
        <v>953</v>
      </c>
      <c r="P340" s="1519" t="s">
        <v>954</v>
      </c>
      <c r="Q340" s="118"/>
      <c r="R340" s="118"/>
      <c r="S340" s="118"/>
      <c r="T340" s="118"/>
      <c r="U340" s="212">
        <v>81470000</v>
      </c>
      <c r="V340" s="329"/>
      <c r="W340" s="118"/>
      <c r="X340" s="118"/>
      <c r="Y340" s="352"/>
      <c r="Z340" s="118"/>
      <c r="AA340" s="132"/>
      <c r="AB340" s="118"/>
      <c r="AC340" s="118"/>
      <c r="AD340" s="120">
        <f t="shared" si="130"/>
        <v>81470000</v>
      </c>
      <c r="AE340" s="120" t="s">
        <v>929</v>
      </c>
      <c r="AF340" s="546" t="s">
        <v>930</v>
      </c>
      <c r="AG340" s="1"/>
    </row>
    <row r="341" spans="1:33" ht="81.75" customHeight="1" x14ac:dyDescent="0.2">
      <c r="A341" s="103"/>
      <c r="B341" s="104"/>
      <c r="C341" s="104"/>
      <c r="D341" s="104"/>
      <c r="E341" s="111"/>
      <c r="F341" s="457"/>
      <c r="G341" s="140" t="s">
        <v>955</v>
      </c>
      <c r="H341" s="461">
        <v>1903015</v>
      </c>
      <c r="I341" s="193" t="s">
        <v>956</v>
      </c>
      <c r="J341" s="171">
        <v>190301500</v>
      </c>
      <c r="K341" s="192" t="s">
        <v>957</v>
      </c>
      <c r="L341" s="466" t="s">
        <v>45</v>
      </c>
      <c r="M341" s="470">
        <v>12</v>
      </c>
      <c r="N341" s="1523"/>
      <c r="O341" s="1519"/>
      <c r="P341" s="1519"/>
      <c r="Q341" s="118"/>
      <c r="R341" s="118"/>
      <c r="S341" s="118"/>
      <c r="T341" s="118"/>
      <c r="U341" s="212">
        <v>211530000</v>
      </c>
      <c r="V341" s="329"/>
      <c r="W341" s="118"/>
      <c r="X341" s="118"/>
      <c r="Y341" s="352"/>
      <c r="Z341" s="118"/>
      <c r="AA341" s="132"/>
      <c r="AB341" s="118"/>
      <c r="AC341" s="118"/>
      <c r="AD341" s="120">
        <f t="shared" si="130"/>
        <v>211530000</v>
      </c>
      <c r="AE341" s="120" t="s">
        <v>929</v>
      </c>
      <c r="AF341" s="546" t="s">
        <v>930</v>
      </c>
      <c r="AG341" s="1"/>
    </row>
    <row r="342" spans="1:33" ht="75.75" customHeight="1" x14ac:dyDescent="0.2">
      <c r="A342" s="103"/>
      <c r="B342" s="104"/>
      <c r="C342" s="104"/>
      <c r="D342" s="104"/>
      <c r="E342" s="111"/>
      <c r="F342" s="457"/>
      <c r="G342" s="140" t="s">
        <v>958</v>
      </c>
      <c r="H342" s="461">
        <v>1903012</v>
      </c>
      <c r="I342" s="193" t="s">
        <v>959</v>
      </c>
      <c r="J342" s="171">
        <v>190301200</v>
      </c>
      <c r="K342" s="192" t="s">
        <v>960</v>
      </c>
      <c r="L342" s="466" t="s">
        <v>45</v>
      </c>
      <c r="M342" s="470">
        <v>4000</v>
      </c>
      <c r="N342" s="1523" t="s">
        <v>961</v>
      </c>
      <c r="O342" s="1519" t="s">
        <v>962</v>
      </c>
      <c r="P342" s="1519" t="s">
        <v>963</v>
      </c>
      <c r="Q342" s="118"/>
      <c r="R342" s="118"/>
      <c r="S342" s="118"/>
      <c r="T342" s="118"/>
      <c r="U342" s="215">
        <f>610901448+25000000</f>
        <v>635901448</v>
      </c>
      <c r="V342" s="336"/>
      <c r="W342" s="118"/>
      <c r="X342" s="118"/>
      <c r="Y342" s="352"/>
      <c r="Z342" s="118"/>
      <c r="AA342" s="132">
        <f>243062000-243062000</f>
        <v>0</v>
      </c>
      <c r="AB342" s="118"/>
      <c r="AC342" s="118"/>
      <c r="AD342" s="120">
        <f t="shared" si="130"/>
        <v>635901448</v>
      </c>
      <c r="AE342" s="120" t="s">
        <v>929</v>
      </c>
      <c r="AF342" s="546" t="s">
        <v>930</v>
      </c>
      <c r="AG342" s="1"/>
    </row>
    <row r="343" spans="1:33" ht="77.25" customHeight="1" x14ac:dyDescent="0.2">
      <c r="A343" s="103"/>
      <c r="B343" s="104"/>
      <c r="C343" s="104"/>
      <c r="D343" s="104"/>
      <c r="E343" s="111"/>
      <c r="F343" s="457"/>
      <c r="G343" s="140" t="s">
        <v>964</v>
      </c>
      <c r="H343" s="461">
        <v>1903016</v>
      </c>
      <c r="I343" s="193" t="s">
        <v>965</v>
      </c>
      <c r="J343" s="171">
        <v>190301600</v>
      </c>
      <c r="K343" s="220" t="s">
        <v>966</v>
      </c>
      <c r="L343" s="466" t="s">
        <v>45</v>
      </c>
      <c r="M343" s="470">
        <v>240</v>
      </c>
      <c r="N343" s="1523"/>
      <c r="O343" s="1519"/>
      <c r="P343" s="1519"/>
      <c r="Q343" s="118"/>
      <c r="R343" s="118"/>
      <c r="S343" s="118"/>
      <c r="T343" s="118"/>
      <c r="U343" s="215">
        <v>94000000</v>
      </c>
      <c r="V343" s="329"/>
      <c r="W343" s="118"/>
      <c r="X343" s="118"/>
      <c r="Y343" s="352"/>
      <c r="Z343" s="118"/>
      <c r="AA343" s="132"/>
      <c r="AB343" s="118"/>
      <c r="AC343" s="118"/>
      <c r="AD343" s="120">
        <f t="shared" si="130"/>
        <v>94000000</v>
      </c>
      <c r="AE343" s="120" t="s">
        <v>929</v>
      </c>
      <c r="AF343" s="546" t="s">
        <v>930</v>
      </c>
      <c r="AG343" s="1"/>
    </row>
    <row r="344" spans="1:33" ht="75" customHeight="1" x14ac:dyDescent="0.2">
      <c r="A344" s="103"/>
      <c r="B344" s="104"/>
      <c r="C344" s="104"/>
      <c r="D344" s="104"/>
      <c r="E344" s="111"/>
      <c r="F344" s="457"/>
      <c r="G344" s="140" t="s">
        <v>947</v>
      </c>
      <c r="H344" s="461">
        <v>1903011</v>
      </c>
      <c r="I344" s="193" t="s">
        <v>948</v>
      </c>
      <c r="J344" s="171">
        <v>190301101</v>
      </c>
      <c r="K344" s="192" t="s">
        <v>967</v>
      </c>
      <c r="L344" s="466" t="s">
        <v>45</v>
      </c>
      <c r="M344" s="470">
        <v>12</v>
      </c>
      <c r="N344" s="1523"/>
      <c r="O344" s="1519"/>
      <c r="P344" s="1519"/>
      <c r="Q344" s="118"/>
      <c r="R344" s="118"/>
      <c r="S344" s="118"/>
      <c r="T344" s="118"/>
      <c r="U344" s="215">
        <v>94000000</v>
      </c>
      <c r="V344" s="329"/>
      <c r="W344" s="118"/>
      <c r="X344" s="118"/>
      <c r="Y344" s="352"/>
      <c r="Z344" s="118"/>
      <c r="AA344" s="132"/>
      <c r="AB344" s="118"/>
      <c r="AC344" s="118"/>
      <c r="AD344" s="120">
        <f t="shared" si="130"/>
        <v>94000000</v>
      </c>
      <c r="AE344" s="120" t="s">
        <v>929</v>
      </c>
      <c r="AF344" s="546" t="s">
        <v>930</v>
      </c>
      <c r="AG344" s="1"/>
    </row>
    <row r="345" spans="1:33" ht="86.25" customHeight="1" x14ac:dyDescent="0.2">
      <c r="A345" s="103"/>
      <c r="B345" s="104"/>
      <c r="C345" s="104"/>
      <c r="D345" s="104"/>
      <c r="E345" s="461"/>
      <c r="F345" s="457"/>
      <c r="G345" s="140" t="s">
        <v>947</v>
      </c>
      <c r="H345" s="461">
        <v>1903034</v>
      </c>
      <c r="I345" s="193" t="s">
        <v>102</v>
      </c>
      <c r="J345" s="171">
        <v>190303400</v>
      </c>
      <c r="K345" s="192" t="s">
        <v>968</v>
      </c>
      <c r="L345" s="466" t="s">
        <v>45</v>
      </c>
      <c r="M345" s="470">
        <v>12</v>
      </c>
      <c r="N345" s="454" t="s">
        <v>969</v>
      </c>
      <c r="O345" s="192" t="s">
        <v>970</v>
      </c>
      <c r="P345" s="192" t="s">
        <v>971</v>
      </c>
      <c r="Q345" s="118"/>
      <c r="R345" s="118"/>
      <c r="S345" s="118"/>
      <c r="T345" s="118"/>
      <c r="U345" s="118"/>
      <c r="V345" s="336"/>
      <c r="W345" s="118"/>
      <c r="X345" s="118"/>
      <c r="Y345" s="352"/>
      <c r="Z345" s="118"/>
      <c r="AA345" s="197">
        <v>96954000</v>
      </c>
      <c r="AB345" s="118"/>
      <c r="AC345" s="118"/>
      <c r="AD345" s="120">
        <f t="shared" si="130"/>
        <v>96954000</v>
      </c>
      <c r="AE345" s="120" t="s">
        <v>929</v>
      </c>
      <c r="AF345" s="546" t="s">
        <v>930</v>
      </c>
      <c r="AG345" s="1"/>
    </row>
    <row r="346" spans="1:33" ht="75" customHeight="1" x14ac:dyDescent="0.2">
      <c r="A346" s="103"/>
      <c r="B346" s="104"/>
      <c r="C346" s="104"/>
      <c r="D346" s="104"/>
      <c r="E346" s="461"/>
      <c r="F346" s="457"/>
      <c r="G346" s="140" t="s">
        <v>972</v>
      </c>
      <c r="H346" s="461">
        <v>1903045</v>
      </c>
      <c r="I346" s="193" t="s">
        <v>973</v>
      </c>
      <c r="J346" s="171">
        <v>190304500</v>
      </c>
      <c r="K346" s="220" t="s">
        <v>974</v>
      </c>
      <c r="L346" s="466" t="s">
        <v>57</v>
      </c>
      <c r="M346" s="470">
        <v>725</v>
      </c>
      <c r="N346" s="1523" t="s">
        <v>975</v>
      </c>
      <c r="O346" s="1519" t="s">
        <v>976</v>
      </c>
      <c r="P346" s="1519" t="s">
        <v>977</v>
      </c>
      <c r="Q346" s="118"/>
      <c r="R346" s="118"/>
      <c r="S346" s="118"/>
      <c r="T346" s="118"/>
      <c r="U346" s="118"/>
      <c r="V346" s="336"/>
      <c r="W346" s="118"/>
      <c r="X346" s="118"/>
      <c r="Y346" s="352"/>
      <c r="Z346" s="118"/>
      <c r="AA346" s="197">
        <v>19636000</v>
      </c>
      <c r="AB346" s="118"/>
      <c r="AC346" s="118"/>
      <c r="AD346" s="120">
        <f t="shared" si="130"/>
        <v>19636000</v>
      </c>
      <c r="AE346" s="120" t="s">
        <v>929</v>
      </c>
      <c r="AF346" s="546" t="s">
        <v>930</v>
      </c>
      <c r="AG346" s="1"/>
    </row>
    <row r="347" spans="1:33" ht="95.25" customHeight="1" x14ac:dyDescent="0.2">
      <c r="A347" s="103"/>
      <c r="B347" s="104"/>
      <c r="C347" s="104"/>
      <c r="D347" s="104"/>
      <c r="E347" s="461"/>
      <c r="F347" s="457"/>
      <c r="G347" s="140" t="s">
        <v>950</v>
      </c>
      <c r="H347" s="461">
        <v>1903001</v>
      </c>
      <c r="I347" s="193" t="s">
        <v>85</v>
      </c>
      <c r="J347" s="171">
        <v>190300100</v>
      </c>
      <c r="K347" s="220" t="s">
        <v>951</v>
      </c>
      <c r="L347" s="466" t="s">
        <v>45</v>
      </c>
      <c r="M347" s="135">
        <v>2</v>
      </c>
      <c r="N347" s="1523"/>
      <c r="O347" s="1519"/>
      <c r="P347" s="1519"/>
      <c r="Q347" s="118"/>
      <c r="R347" s="118"/>
      <c r="S347" s="118"/>
      <c r="T347" s="118"/>
      <c r="U347" s="118"/>
      <c r="V347" s="336"/>
      <c r="W347" s="118"/>
      <c r="X347" s="118"/>
      <c r="Y347" s="352"/>
      <c r="Z347" s="118"/>
      <c r="AA347" s="197">
        <v>15000000</v>
      </c>
      <c r="AB347" s="118"/>
      <c r="AC347" s="118"/>
      <c r="AD347" s="120">
        <f t="shared" si="130"/>
        <v>15000000</v>
      </c>
      <c r="AE347" s="120" t="s">
        <v>929</v>
      </c>
      <c r="AF347" s="546" t="s">
        <v>930</v>
      </c>
      <c r="AG347" s="1"/>
    </row>
    <row r="348" spans="1:33" ht="71.25" customHeight="1" x14ac:dyDescent="0.2">
      <c r="A348" s="103"/>
      <c r="B348" s="104"/>
      <c r="C348" s="104"/>
      <c r="D348" s="104"/>
      <c r="E348" s="461"/>
      <c r="F348" s="457"/>
      <c r="G348" s="185" t="s">
        <v>978</v>
      </c>
      <c r="H348" s="171">
        <v>1903010</v>
      </c>
      <c r="I348" s="506" t="s">
        <v>979</v>
      </c>
      <c r="J348" s="171">
        <v>190301000</v>
      </c>
      <c r="K348" s="185" t="s">
        <v>980</v>
      </c>
      <c r="L348" s="466" t="s">
        <v>45</v>
      </c>
      <c r="M348" s="470">
        <v>12</v>
      </c>
      <c r="N348" s="1523"/>
      <c r="O348" s="1519"/>
      <c r="P348" s="1519"/>
      <c r="Q348" s="118"/>
      <c r="R348" s="118"/>
      <c r="S348" s="118"/>
      <c r="T348" s="118"/>
      <c r="U348" s="118"/>
      <c r="V348" s="336"/>
      <c r="W348" s="118"/>
      <c r="X348" s="118"/>
      <c r="Y348" s="352"/>
      <c r="Z348" s="118"/>
      <c r="AA348" s="197">
        <v>15000000</v>
      </c>
      <c r="AB348" s="118"/>
      <c r="AC348" s="118"/>
      <c r="AD348" s="120">
        <f t="shared" si="130"/>
        <v>15000000</v>
      </c>
      <c r="AE348" s="120" t="s">
        <v>929</v>
      </c>
      <c r="AF348" s="546" t="s">
        <v>930</v>
      </c>
      <c r="AG348" s="1"/>
    </row>
    <row r="349" spans="1:33" ht="76.5" customHeight="1" x14ac:dyDescent="0.2">
      <c r="A349" s="103"/>
      <c r="B349" s="104"/>
      <c r="C349" s="104"/>
      <c r="D349" s="104"/>
      <c r="E349" s="461"/>
      <c r="F349" s="457"/>
      <c r="G349" s="140" t="s">
        <v>981</v>
      </c>
      <c r="H349" s="461">
        <v>1903011</v>
      </c>
      <c r="I349" s="193" t="s">
        <v>948</v>
      </c>
      <c r="J349" s="171">
        <v>190301101</v>
      </c>
      <c r="K349" s="192" t="s">
        <v>967</v>
      </c>
      <c r="L349" s="466" t="s">
        <v>45</v>
      </c>
      <c r="M349" s="57">
        <v>12</v>
      </c>
      <c r="N349" s="1523"/>
      <c r="O349" s="1519"/>
      <c r="P349" s="1519"/>
      <c r="Q349" s="118"/>
      <c r="R349" s="118"/>
      <c r="S349" s="118"/>
      <c r="T349" s="118"/>
      <c r="U349" s="118"/>
      <c r="V349" s="336"/>
      <c r="W349" s="118"/>
      <c r="X349" s="118"/>
      <c r="Y349" s="352"/>
      <c r="Z349" s="118"/>
      <c r="AA349" s="197">
        <v>15000000</v>
      </c>
      <c r="AB349" s="118"/>
      <c r="AC349" s="118"/>
      <c r="AD349" s="120">
        <f t="shared" si="130"/>
        <v>15000000</v>
      </c>
      <c r="AE349" s="120" t="s">
        <v>929</v>
      </c>
      <c r="AF349" s="546" t="s">
        <v>930</v>
      </c>
      <c r="AG349" s="1"/>
    </row>
    <row r="350" spans="1:33" ht="58.5" customHeight="1" x14ac:dyDescent="0.2">
      <c r="A350" s="103"/>
      <c r="B350" s="104"/>
      <c r="C350" s="104"/>
      <c r="D350" s="104"/>
      <c r="E350" s="461"/>
      <c r="F350" s="457"/>
      <c r="G350" s="140" t="s">
        <v>982</v>
      </c>
      <c r="H350" s="461">
        <v>1903047</v>
      </c>
      <c r="I350" s="193" t="s">
        <v>983</v>
      </c>
      <c r="J350" s="171">
        <v>190304701</v>
      </c>
      <c r="K350" s="220" t="s">
        <v>984</v>
      </c>
      <c r="L350" s="466" t="s">
        <v>45</v>
      </c>
      <c r="M350" s="470">
        <v>1</v>
      </c>
      <c r="N350" s="1523" t="s">
        <v>985</v>
      </c>
      <c r="O350" s="1519" t="s">
        <v>986</v>
      </c>
      <c r="P350" s="1519" t="s">
        <v>987</v>
      </c>
      <c r="Q350" s="118"/>
      <c r="R350" s="118"/>
      <c r="S350" s="118"/>
      <c r="T350" s="118"/>
      <c r="U350" s="118"/>
      <c r="V350" s="337">
        <v>15000000</v>
      </c>
      <c r="W350" s="118"/>
      <c r="X350" s="118"/>
      <c r="Y350" s="352"/>
      <c r="Z350" s="118"/>
      <c r="AA350" s="132"/>
      <c r="AB350" s="118"/>
      <c r="AC350" s="118"/>
      <c r="AD350" s="120">
        <f t="shared" si="130"/>
        <v>15000000</v>
      </c>
      <c r="AE350" s="120" t="s">
        <v>929</v>
      </c>
      <c r="AF350" s="546" t="s">
        <v>930</v>
      </c>
      <c r="AG350" s="1"/>
    </row>
    <row r="351" spans="1:33" ht="90.75" customHeight="1" x14ac:dyDescent="0.2">
      <c r="A351" s="103"/>
      <c r="B351" s="104"/>
      <c r="C351" s="104"/>
      <c r="D351" s="104"/>
      <c r="E351" s="461"/>
      <c r="F351" s="457"/>
      <c r="G351" s="140" t="s">
        <v>988</v>
      </c>
      <c r="H351" s="461">
        <v>1903019</v>
      </c>
      <c r="I351" s="193" t="s">
        <v>989</v>
      </c>
      <c r="J351" s="171">
        <v>190301900</v>
      </c>
      <c r="K351" s="185" t="s">
        <v>990</v>
      </c>
      <c r="L351" s="466" t="s">
        <v>45</v>
      </c>
      <c r="M351" s="470">
        <v>75</v>
      </c>
      <c r="N351" s="1523"/>
      <c r="O351" s="1519"/>
      <c r="P351" s="1519"/>
      <c r="Q351" s="118"/>
      <c r="R351" s="118"/>
      <c r="S351" s="118"/>
      <c r="T351" s="118"/>
      <c r="U351" s="118"/>
      <c r="V351" s="337">
        <v>55000000</v>
      </c>
      <c r="W351" s="118"/>
      <c r="X351" s="118"/>
      <c r="Y351" s="352"/>
      <c r="Z351" s="118"/>
      <c r="AA351" s="132"/>
      <c r="AB351" s="118"/>
      <c r="AC351" s="118"/>
      <c r="AD351" s="120">
        <f t="shared" si="130"/>
        <v>55000000</v>
      </c>
      <c r="AE351" s="120" t="s">
        <v>929</v>
      </c>
      <c r="AF351" s="546" t="s">
        <v>930</v>
      </c>
      <c r="AG351" s="1"/>
    </row>
    <row r="352" spans="1:33" ht="88.5" customHeight="1" x14ac:dyDescent="0.2">
      <c r="A352" s="103"/>
      <c r="B352" s="104"/>
      <c r="C352" s="104"/>
      <c r="D352" s="104"/>
      <c r="E352" s="461"/>
      <c r="F352" s="457"/>
      <c r="G352" s="140" t="s">
        <v>991</v>
      </c>
      <c r="H352" s="461">
        <v>1903028</v>
      </c>
      <c r="I352" s="193" t="s">
        <v>992</v>
      </c>
      <c r="J352" s="171">
        <v>190302800</v>
      </c>
      <c r="K352" s="192" t="s">
        <v>993</v>
      </c>
      <c r="L352" s="466" t="s">
        <v>45</v>
      </c>
      <c r="M352" s="470">
        <v>250</v>
      </c>
      <c r="N352" s="1523"/>
      <c r="O352" s="1519"/>
      <c r="P352" s="1519"/>
      <c r="Q352" s="118"/>
      <c r="R352" s="118"/>
      <c r="S352" s="118"/>
      <c r="T352" s="118"/>
      <c r="U352" s="118"/>
      <c r="V352" s="337">
        <v>40000000</v>
      </c>
      <c r="W352" s="118"/>
      <c r="X352" s="118"/>
      <c r="Y352" s="352"/>
      <c r="Z352" s="118"/>
      <c r="AA352" s="132"/>
      <c r="AB352" s="118"/>
      <c r="AC352" s="118"/>
      <c r="AD352" s="120">
        <f t="shared" si="130"/>
        <v>40000000</v>
      </c>
      <c r="AE352" s="120" t="s">
        <v>929</v>
      </c>
      <c r="AF352" s="546" t="s">
        <v>930</v>
      </c>
      <c r="AG352" s="1"/>
    </row>
    <row r="353" spans="1:33" ht="85.5" customHeight="1" x14ac:dyDescent="0.2">
      <c r="A353" s="103"/>
      <c r="B353" s="104"/>
      <c r="C353" s="104"/>
      <c r="D353" s="104"/>
      <c r="E353" s="461"/>
      <c r="F353" s="457"/>
      <c r="G353" s="140" t="s">
        <v>955</v>
      </c>
      <c r="H353" s="461">
        <v>1903025</v>
      </c>
      <c r="I353" s="193" t="s">
        <v>994</v>
      </c>
      <c r="J353" s="171">
        <v>190302500</v>
      </c>
      <c r="K353" s="220" t="s">
        <v>995</v>
      </c>
      <c r="L353" s="453" t="s">
        <v>45</v>
      </c>
      <c r="M353" s="470">
        <v>12</v>
      </c>
      <c r="N353" s="1523"/>
      <c r="O353" s="1519"/>
      <c r="P353" s="1519"/>
      <c r="Q353" s="118"/>
      <c r="R353" s="118"/>
      <c r="S353" s="118"/>
      <c r="T353" s="118"/>
      <c r="U353" s="118"/>
      <c r="V353" s="337">
        <v>40000000</v>
      </c>
      <c r="W353" s="118"/>
      <c r="X353" s="118"/>
      <c r="Y353" s="352"/>
      <c r="Z353" s="118"/>
      <c r="AA353" s="132"/>
      <c r="AB353" s="118"/>
      <c r="AC353" s="118"/>
      <c r="AD353" s="120">
        <f t="shared" si="130"/>
        <v>40000000</v>
      </c>
      <c r="AE353" s="120" t="s">
        <v>929</v>
      </c>
      <c r="AF353" s="546" t="s">
        <v>930</v>
      </c>
      <c r="AG353" s="1"/>
    </row>
    <row r="354" spans="1:33" ht="31.5" customHeight="1" x14ac:dyDescent="0.2">
      <c r="A354" s="103"/>
      <c r="B354" s="104"/>
      <c r="C354" s="104"/>
      <c r="D354" s="104"/>
      <c r="E354" s="74">
        <v>1905</v>
      </c>
      <c r="F354" s="1498" t="s">
        <v>743</v>
      </c>
      <c r="G354" s="1499"/>
      <c r="H354" s="107"/>
      <c r="I354" s="487"/>
      <c r="J354" s="74"/>
      <c r="K354" s="70"/>
      <c r="L354" s="108"/>
      <c r="M354" s="74"/>
      <c r="N354" s="109"/>
      <c r="O354" s="70"/>
      <c r="P354" s="70"/>
      <c r="Q354" s="277">
        <f>SUM(Q355:Q383)</f>
        <v>0</v>
      </c>
      <c r="R354" s="277">
        <f t="shared" ref="R354:AC354" si="131">SUM(R355:R383)</f>
        <v>0</v>
      </c>
      <c r="S354" s="277">
        <f t="shared" si="131"/>
        <v>0</v>
      </c>
      <c r="T354" s="277">
        <f t="shared" si="131"/>
        <v>0</v>
      </c>
      <c r="U354" s="277">
        <f t="shared" si="131"/>
        <v>2846264100</v>
      </c>
      <c r="V354" s="338">
        <f t="shared" si="131"/>
        <v>0</v>
      </c>
      <c r="W354" s="277">
        <f t="shared" si="131"/>
        <v>0</v>
      </c>
      <c r="X354" s="277">
        <f t="shared" si="131"/>
        <v>0</v>
      </c>
      <c r="Y354" s="358">
        <f t="shared" si="131"/>
        <v>0</v>
      </c>
      <c r="Z354" s="277">
        <f t="shared" si="131"/>
        <v>0</v>
      </c>
      <c r="AA354" s="277">
        <f>SUM(AA355:AA383)</f>
        <v>930000000</v>
      </c>
      <c r="AB354" s="277">
        <f t="shared" si="131"/>
        <v>0</v>
      </c>
      <c r="AC354" s="277">
        <f t="shared" si="131"/>
        <v>392854357</v>
      </c>
      <c r="AD354" s="277">
        <f>SUM(AD355:AD383)</f>
        <v>4169118457</v>
      </c>
      <c r="AE354" s="277"/>
      <c r="AF354" s="548"/>
    </row>
    <row r="355" spans="1:33" ht="159.75" customHeight="1" x14ac:dyDescent="0.2">
      <c r="A355" s="103"/>
      <c r="B355" s="104"/>
      <c r="C355" s="104"/>
      <c r="D355" s="104"/>
      <c r="E355" s="111"/>
      <c r="F355" s="457"/>
      <c r="G355" s="140" t="s">
        <v>934</v>
      </c>
      <c r="H355" s="461">
        <v>1905028</v>
      </c>
      <c r="I355" s="193" t="s">
        <v>996</v>
      </c>
      <c r="J355" s="171">
        <v>190502800</v>
      </c>
      <c r="K355" s="455" t="s">
        <v>997</v>
      </c>
      <c r="L355" s="457" t="s">
        <v>45</v>
      </c>
      <c r="M355" s="470">
        <v>12</v>
      </c>
      <c r="N355" s="1523" t="s">
        <v>998</v>
      </c>
      <c r="O355" s="1519" t="s">
        <v>999</v>
      </c>
      <c r="P355" s="1519" t="s">
        <v>1000</v>
      </c>
      <c r="Q355" s="118"/>
      <c r="R355" s="118"/>
      <c r="S355" s="118"/>
      <c r="T355" s="118"/>
      <c r="U355" s="212">
        <v>38000000</v>
      </c>
      <c r="V355" s="329"/>
      <c r="W355" s="118"/>
      <c r="X355" s="118"/>
      <c r="Y355" s="352"/>
      <c r="Z355" s="118"/>
      <c r="AA355" s="132"/>
      <c r="AB355" s="118"/>
      <c r="AC355" s="118"/>
      <c r="AD355" s="120">
        <f t="shared" si="130"/>
        <v>38000000</v>
      </c>
      <c r="AE355" s="120" t="s">
        <v>929</v>
      </c>
      <c r="AF355" s="546" t="s">
        <v>930</v>
      </c>
      <c r="AG355" s="1"/>
    </row>
    <row r="356" spans="1:33" ht="114.75" customHeight="1" x14ac:dyDescent="0.2">
      <c r="A356" s="103"/>
      <c r="B356" s="104"/>
      <c r="C356" s="104"/>
      <c r="D356" s="104"/>
      <c r="E356" s="111"/>
      <c r="F356" s="457"/>
      <c r="G356" s="140" t="s">
        <v>934</v>
      </c>
      <c r="H356" s="461">
        <v>1905031</v>
      </c>
      <c r="I356" s="193" t="s">
        <v>1001</v>
      </c>
      <c r="J356" s="461">
        <v>190503100</v>
      </c>
      <c r="K356" s="455" t="s">
        <v>1002</v>
      </c>
      <c r="L356" s="466" t="s">
        <v>45</v>
      </c>
      <c r="M356" s="470">
        <v>12</v>
      </c>
      <c r="N356" s="1523"/>
      <c r="O356" s="1519"/>
      <c r="P356" s="1519"/>
      <c r="Q356" s="118"/>
      <c r="R356" s="118"/>
      <c r="S356" s="118"/>
      <c r="T356" s="118"/>
      <c r="U356" s="212">
        <v>38000000</v>
      </c>
      <c r="V356" s="329"/>
      <c r="W356" s="118"/>
      <c r="X356" s="118"/>
      <c r="Y356" s="352"/>
      <c r="Z356" s="118"/>
      <c r="AA356" s="132"/>
      <c r="AB356" s="118"/>
      <c r="AC356" s="118"/>
      <c r="AD356" s="120">
        <f t="shared" si="130"/>
        <v>38000000</v>
      </c>
      <c r="AE356" s="120" t="s">
        <v>929</v>
      </c>
      <c r="AF356" s="546" t="s">
        <v>930</v>
      </c>
      <c r="AG356" s="1"/>
    </row>
    <row r="357" spans="1:33" ht="56.25" customHeight="1" x14ac:dyDescent="0.2">
      <c r="A357" s="103"/>
      <c r="B357" s="104"/>
      <c r="C357" s="104"/>
      <c r="D357" s="104"/>
      <c r="E357" s="111"/>
      <c r="F357" s="457"/>
      <c r="G357" s="140" t="s">
        <v>1003</v>
      </c>
      <c r="H357" s="461">
        <v>1905019</v>
      </c>
      <c r="I357" s="193" t="s">
        <v>1004</v>
      </c>
      <c r="J357" s="461">
        <v>190501900</v>
      </c>
      <c r="K357" s="192" t="s">
        <v>320</v>
      </c>
      <c r="L357" s="466" t="s">
        <v>45</v>
      </c>
      <c r="M357" s="470">
        <v>60</v>
      </c>
      <c r="N357" s="1523" t="s">
        <v>1005</v>
      </c>
      <c r="O357" s="1519" t="s">
        <v>1006</v>
      </c>
      <c r="P357" s="1519" t="s">
        <v>1007</v>
      </c>
      <c r="Q357" s="118"/>
      <c r="R357" s="118"/>
      <c r="S357" s="118"/>
      <c r="T357" s="118"/>
      <c r="U357" s="278">
        <v>20000000</v>
      </c>
      <c r="V357" s="329"/>
      <c r="W357" s="118"/>
      <c r="X357" s="118"/>
      <c r="Y357" s="352"/>
      <c r="Z357" s="118"/>
      <c r="AA357" s="132"/>
      <c r="AB357" s="118"/>
      <c r="AC357" s="118"/>
      <c r="AD357" s="120">
        <f t="shared" si="130"/>
        <v>20000000</v>
      </c>
      <c r="AE357" s="120" t="s">
        <v>929</v>
      </c>
      <c r="AF357" s="546" t="s">
        <v>930</v>
      </c>
      <c r="AG357" s="1"/>
    </row>
    <row r="358" spans="1:33" ht="152.25" customHeight="1" x14ac:dyDescent="0.2">
      <c r="A358" s="103"/>
      <c r="B358" s="104"/>
      <c r="C358" s="104"/>
      <c r="D358" s="104"/>
      <c r="E358" s="111"/>
      <c r="F358" s="457"/>
      <c r="G358" s="193" t="s">
        <v>1008</v>
      </c>
      <c r="H358" s="699">
        <v>1905021</v>
      </c>
      <c r="I358" s="193" t="s">
        <v>1009</v>
      </c>
      <c r="J358" s="699">
        <v>190502101</v>
      </c>
      <c r="K358" s="192" t="s">
        <v>1010</v>
      </c>
      <c r="L358" s="457" t="s">
        <v>45</v>
      </c>
      <c r="M358" s="470">
        <v>11</v>
      </c>
      <c r="N358" s="1523"/>
      <c r="O358" s="1519"/>
      <c r="P358" s="1519"/>
      <c r="Q358" s="118"/>
      <c r="R358" s="118"/>
      <c r="S358" s="118"/>
      <c r="T358" s="118"/>
      <c r="U358" s="278">
        <v>20000000</v>
      </c>
      <c r="V358" s="329"/>
      <c r="W358" s="118"/>
      <c r="X358" s="118"/>
      <c r="Y358" s="352"/>
      <c r="Z358" s="118"/>
      <c r="AA358" s="132"/>
      <c r="AB358" s="118"/>
      <c r="AC358" s="118"/>
      <c r="AD358" s="120">
        <f t="shared" si="130"/>
        <v>20000000</v>
      </c>
      <c r="AE358" s="120" t="s">
        <v>929</v>
      </c>
      <c r="AF358" s="546" t="s">
        <v>930</v>
      </c>
      <c r="AG358" s="1"/>
    </row>
    <row r="359" spans="1:33" ht="102.75" customHeight="1" x14ac:dyDescent="0.2">
      <c r="A359" s="103"/>
      <c r="B359" s="104"/>
      <c r="C359" s="104"/>
      <c r="D359" s="104"/>
      <c r="E359" s="111"/>
      <c r="F359" s="457"/>
      <c r="G359" s="193" t="s">
        <v>1011</v>
      </c>
      <c r="H359" s="275">
        <v>1905015</v>
      </c>
      <c r="I359" s="193" t="s">
        <v>1012</v>
      </c>
      <c r="J359" s="275">
        <v>190501501</v>
      </c>
      <c r="K359" s="220" t="s">
        <v>1013</v>
      </c>
      <c r="L359" s="466" t="s">
        <v>45</v>
      </c>
      <c r="M359" s="470">
        <v>1</v>
      </c>
      <c r="N359" s="1523"/>
      <c r="O359" s="1519"/>
      <c r="P359" s="1519"/>
      <c r="Q359" s="118"/>
      <c r="R359" s="118"/>
      <c r="S359" s="118"/>
      <c r="T359" s="118"/>
      <c r="U359" s="278">
        <v>20000000</v>
      </c>
      <c r="V359" s="329"/>
      <c r="W359" s="118"/>
      <c r="X359" s="118"/>
      <c r="Y359" s="352"/>
      <c r="Z359" s="118"/>
      <c r="AA359" s="132"/>
      <c r="AB359" s="118"/>
      <c r="AC359" s="118"/>
      <c r="AD359" s="120">
        <f t="shared" si="130"/>
        <v>20000000</v>
      </c>
      <c r="AE359" s="120" t="s">
        <v>929</v>
      </c>
      <c r="AF359" s="546" t="s">
        <v>930</v>
      </c>
      <c r="AG359" s="1"/>
    </row>
    <row r="360" spans="1:33" ht="132" customHeight="1" x14ac:dyDescent="0.2">
      <c r="A360" s="103"/>
      <c r="B360" s="104"/>
      <c r="C360" s="104"/>
      <c r="D360" s="104"/>
      <c r="E360" s="111"/>
      <c r="F360" s="457"/>
      <c r="G360" s="140" t="s">
        <v>937</v>
      </c>
      <c r="H360" s="275">
        <v>1905014</v>
      </c>
      <c r="I360" s="193" t="s">
        <v>1014</v>
      </c>
      <c r="J360" s="275">
        <v>190501400</v>
      </c>
      <c r="K360" s="220" t="s">
        <v>1015</v>
      </c>
      <c r="L360" s="466" t="s">
        <v>57</v>
      </c>
      <c r="M360" s="470">
        <v>3</v>
      </c>
      <c r="N360" s="1523"/>
      <c r="O360" s="1519"/>
      <c r="P360" s="1519"/>
      <c r="Q360" s="118"/>
      <c r="R360" s="118"/>
      <c r="S360" s="118"/>
      <c r="T360" s="118"/>
      <c r="U360" s="278">
        <v>64000000</v>
      </c>
      <c r="V360" s="329"/>
      <c r="W360" s="118"/>
      <c r="X360" s="118"/>
      <c r="Y360" s="352"/>
      <c r="Z360" s="118"/>
      <c r="AA360" s="132"/>
      <c r="AB360" s="118"/>
      <c r="AC360" s="118"/>
      <c r="AD360" s="120">
        <f t="shared" si="130"/>
        <v>64000000</v>
      </c>
      <c r="AE360" s="120" t="s">
        <v>929</v>
      </c>
      <c r="AF360" s="546" t="s">
        <v>930</v>
      </c>
      <c r="AG360" s="1"/>
    </row>
    <row r="361" spans="1:33" ht="99.75" customHeight="1" x14ac:dyDescent="0.2">
      <c r="A361" s="103"/>
      <c r="B361" s="104"/>
      <c r="C361" s="104"/>
      <c r="D361" s="104"/>
      <c r="E361" s="111"/>
      <c r="F361" s="457"/>
      <c r="G361" s="140" t="s">
        <v>1016</v>
      </c>
      <c r="H361" s="275">
        <v>1905015</v>
      </c>
      <c r="I361" s="193" t="s">
        <v>1017</v>
      </c>
      <c r="J361" s="275">
        <v>190501500</v>
      </c>
      <c r="K361" s="220" t="s">
        <v>1018</v>
      </c>
      <c r="L361" s="457" t="s">
        <v>57</v>
      </c>
      <c r="M361" s="470">
        <v>4</v>
      </c>
      <c r="N361" s="1523"/>
      <c r="O361" s="1519"/>
      <c r="P361" s="1519"/>
      <c r="Q361" s="118"/>
      <c r="R361" s="118"/>
      <c r="S361" s="118"/>
      <c r="T361" s="118"/>
      <c r="U361" s="278">
        <v>20000000</v>
      </c>
      <c r="V361" s="329"/>
      <c r="W361" s="118"/>
      <c r="X361" s="118"/>
      <c r="Y361" s="352"/>
      <c r="Z361" s="118"/>
      <c r="AA361" s="197"/>
      <c r="AB361" s="118"/>
      <c r="AC361" s="118"/>
      <c r="AD361" s="120">
        <f t="shared" si="130"/>
        <v>20000000</v>
      </c>
      <c r="AE361" s="120" t="s">
        <v>929</v>
      </c>
      <c r="AF361" s="546" t="s">
        <v>930</v>
      </c>
      <c r="AG361" s="1"/>
    </row>
    <row r="362" spans="1:33" ht="130.5" customHeight="1" x14ac:dyDescent="0.2">
      <c r="A362" s="103"/>
      <c r="B362" s="104"/>
      <c r="C362" s="104"/>
      <c r="D362" s="104"/>
      <c r="E362" s="111"/>
      <c r="F362" s="457"/>
      <c r="G362" s="140" t="s">
        <v>937</v>
      </c>
      <c r="H362" s="275">
        <v>1905024</v>
      </c>
      <c r="I362" s="193" t="s">
        <v>1019</v>
      </c>
      <c r="J362" s="701">
        <v>190502400</v>
      </c>
      <c r="K362" s="220" t="s">
        <v>1020</v>
      </c>
      <c r="L362" s="466" t="s">
        <v>57</v>
      </c>
      <c r="M362" s="470">
        <v>4</v>
      </c>
      <c r="N362" s="1523"/>
      <c r="O362" s="1519"/>
      <c r="P362" s="1519"/>
      <c r="Q362" s="118"/>
      <c r="R362" s="118"/>
      <c r="S362" s="118"/>
      <c r="T362" s="118"/>
      <c r="U362" s="278">
        <v>28000000</v>
      </c>
      <c r="V362" s="329"/>
      <c r="W362" s="118"/>
      <c r="X362" s="118"/>
      <c r="Y362" s="352"/>
      <c r="Z362" s="118"/>
      <c r="AA362" s="132"/>
      <c r="AB362" s="118"/>
      <c r="AC362" s="118"/>
      <c r="AD362" s="120">
        <f t="shared" si="130"/>
        <v>28000000</v>
      </c>
      <c r="AE362" s="120" t="s">
        <v>929</v>
      </c>
      <c r="AF362" s="546" t="s">
        <v>930</v>
      </c>
      <c r="AG362" s="1"/>
    </row>
    <row r="363" spans="1:33" ht="87" customHeight="1" x14ac:dyDescent="0.2">
      <c r="A363" s="103"/>
      <c r="B363" s="104"/>
      <c r="C363" s="104"/>
      <c r="D363" s="104"/>
      <c r="E363" s="111"/>
      <c r="F363" s="457"/>
      <c r="G363" s="140" t="s">
        <v>972</v>
      </c>
      <c r="H363" s="275">
        <v>1905024</v>
      </c>
      <c r="I363" s="193" t="s">
        <v>1021</v>
      </c>
      <c r="J363" s="701">
        <v>190502401</v>
      </c>
      <c r="K363" s="220" t="s">
        <v>1022</v>
      </c>
      <c r="L363" s="466" t="s">
        <v>57</v>
      </c>
      <c r="M363" s="470">
        <v>4</v>
      </c>
      <c r="N363" s="1523"/>
      <c r="O363" s="1519"/>
      <c r="P363" s="1519"/>
      <c r="Q363" s="118"/>
      <c r="R363" s="118"/>
      <c r="S363" s="118"/>
      <c r="T363" s="118"/>
      <c r="U363" s="278">
        <v>28000000</v>
      </c>
      <c r="V363" s="329"/>
      <c r="W363" s="118"/>
      <c r="X363" s="118"/>
      <c r="Y363" s="352"/>
      <c r="Z363" s="118"/>
      <c r="AA363" s="132"/>
      <c r="AB363" s="118"/>
      <c r="AC363" s="118"/>
      <c r="AD363" s="120">
        <f t="shared" si="130"/>
        <v>28000000</v>
      </c>
      <c r="AE363" s="120" t="s">
        <v>929</v>
      </c>
      <c r="AF363" s="546" t="s">
        <v>930</v>
      </c>
      <c r="AG363" s="1"/>
    </row>
    <row r="364" spans="1:33" ht="91.5" customHeight="1" x14ac:dyDescent="0.2">
      <c r="A364" s="103"/>
      <c r="B364" s="104"/>
      <c r="C364" s="104"/>
      <c r="D364" s="104"/>
      <c r="E364" s="111"/>
      <c r="F364" s="462"/>
      <c r="G364" s="193" t="s">
        <v>744</v>
      </c>
      <c r="H364" s="461">
        <v>1905021</v>
      </c>
      <c r="I364" s="193" t="s">
        <v>745</v>
      </c>
      <c r="J364" s="171">
        <v>190502100</v>
      </c>
      <c r="K364" s="220" t="s">
        <v>746</v>
      </c>
      <c r="L364" s="457" t="s">
        <v>45</v>
      </c>
      <c r="M364" s="470">
        <v>12</v>
      </c>
      <c r="N364" s="1523" t="s">
        <v>1023</v>
      </c>
      <c r="O364" s="1519" t="s">
        <v>1024</v>
      </c>
      <c r="P364" s="1519" t="s">
        <v>1025</v>
      </c>
      <c r="Q364" s="118"/>
      <c r="R364" s="118"/>
      <c r="S364" s="118"/>
      <c r="T364" s="118"/>
      <c r="U364" s="278">
        <v>105000000</v>
      </c>
      <c r="V364" s="329"/>
      <c r="W364" s="118"/>
      <c r="X364" s="118"/>
      <c r="Y364" s="352"/>
      <c r="Z364" s="118"/>
      <c r="AA364" s="132"/>
      <c r="AB364" s="118"/>
      <c r="AC364" s="118"/>
      <c r="AD364" s="120">
        <f t="shared" si="130"/>
        <v>105000000</v>
      </c>
      <c r="AE364" s="120" t="s">
        <v>929</v>
      </c>
      <c r="AF364" s="546" t="s">
        <v>930</v>
      </c>
      <c r="AG364" s="1"/>
    </row>
    <row r="365" spans="1:33" ht="149.25" customHeight="1" x14ac:dyDescent="0.2">
      <c r="A365" s="103"/>
      <c r="B365" s="104"/>
      <c r="C365" s="104"/>
      <c r="D365" s="104"/>
      <c r="E365" s="111"/>
      <c r="F365" s="457"/>
      <c r="G365" s="193" t="s">
        <v>1008</v>
      </c>
      <c r="H365" s="699">
        <v>1905021</v>
      </c>
      <c r="I365" s="193" t="s">
        <v>1026</v>
      </c>
      <c r="J365" s="699">
        <v>1905021</v>
      </c>
      <c r="K365" s="192" t="s">
        <v>1010</v>
      </c>
      <c r="L365" s="457" t="s">
        <v>45</v>
      </c>
      <c r="M365" s="466">
        <v>11</v>
      </c>
      <c r="N365" s="1523"/>
      <c r="O365" s="1519"/>
      <c r="P365" s="1519"/>
      <c r="Q365" s="118"/>
      <c r="R365" s="118"/>
      <c r="S365" s="118"/>
      <c r="T365" s="118"/>
      <c r="U365" s="278">
        <v>56000000</v>
      </c>
      <c r="V365" s="329"/>
      <c r="W365" s="118"/>
      <c r="X365" s="118"/>
      <c r="Y365" s="352"/>
      <c r="Z365" s="118"/>
      <c r="AA365" s="132"/>
      <c r="AB365" s="118"/>
      <c r="AC365" s="118"/>
      <c r="AD365" s="120">
        <f t="shared" si="130"/>
        <v>56000000</v>
      </c>
      <c r="AE365" s="120" t="s">
        <v>929</v>
      </c>
      <c r="AF365" s="546" t="s">
        <v>930</v>
      </c>
      <c r="AG365" s="1"/>
    </row>
    <row r="366" spans="1:33" ht="129.75" customHeight="1" x14ac:dyDescent="0.2">
      <c r="A366" s="103"/>
      <c r="B366" s="104"/>
      <c r="C366" s="104"/>
      <c r="D366" s="104"/>
      <c r="E366" s="111"/>
      <c r="F366" s="457"/>
      <c r="G366" s="140" t="s">
        <v>955</v>
      </c>
      <c r="H366" s="142">
        <v>1905020</v>
      </c>
      <c r="I366" s="193" t="s">
        <v>1027</v>
      </c>
      <c r="J366" s="171">
        <v>190502000</v>
      </c>
      <c r="K366" s="220" t="s">
        <v>1028</v>
      </c>
      <c r="L366" s="466" t="s">
        <v>45</v>
      </c>
      <c r="M366" s="470">
        <v>12</v>
      </c>
      <c r="N366" s="1526" t="s">
        <v>1029</v>
      </c>
      <c r="O366" s="1520" t="s">
        <v>1030</v>
      </c>
      <c r="P366" s="1520" t="s">
        <v>1031</v>
      </c>
      <c r="Q366" s="118"/>
      <c r="R366" s="118"/>
      <c r="S366" s="118"/>
      <c r="T366" s="118"/>
      <c r="U366" s="279">
        <v>38000000</v>
      </c>
      <c r="V366" s="329"/>
      <c r="W366" s="118"/>
      <c r="X366" s="118"/>
      <c r="Y366" s="352"/>
      <c r="Z366" s="118"/>
      <c r="AA366" s="132"/>
      <c r="AB366" s="118"/>
      <c r="AC366" s="118"/>
      <c r="AD366" s="120">
        <f t="shared" si="130"/>
        <v>38000000</v>
      </c>
      <c r="AE366" s="120" t="s">
        <v>929</v>
      </c>
      <c r="AF366" s="546" t="s">
        <v>930</v>
      </c>
      <c r="AG366" s="1"/>
    </row>
    <row r="367" spans="1:33" ht="183" customHeight="1" x14ac:dyDescent="0.2">
      <c r="A367" s="103"/>
      <c r="B367" s="104"/>
      <c r="C367" s="104"/>
      <c r="D367" s="104"/>
      <c r="E367" s="111"/>
      <c r="F367" s="462"/>
      <c r="G367" s="193" t="s">
        <v>752</v>
      </c>
      <c r="H367" s="142">
        <v>1905022</v>
      </c>
      <c r="I367" s="193" t="s">
        <v>753</v>
      </c>
      <c r="J367" s="171">
        <v>190502200</v>
      </c>
      <c r="K367" s="220" t="s">
        <v>754</v>
      </c>
      <c r="L367" s="466" t="s">
        <v>45</v>
      </c>
      <c r="M367" s="470">
        <v>12</v>
      </c>
      <c r="N367" s="1526"/>
      <c r="O367" s="1520"/>
      <c r="P367" s="1520"/>
      <c r="Q367" s="118"/>
      <c r="R367" s="118"/>
      <c r="S367" s="118"/>
      <c r="T367" s="118"/>
      <c r="U367" s="279">
        <v>57000000</v>
      </c>
      <c r="V367" s="329"/>
      <c r="W367" s="118"/>
      <c r="X367" s="118"/>
      <c r="Y367" s="352"/>
      <c r="Z367" s="118"/>
      <c r="AA367" s="132"/>
      <c r="AB367" s="118"/>
      <c r="AC367" s="118"/>
      <c r="AD367" s="120">
        <f t="shared" si="130"/>
        <v>57000000</v>
      </c>
      <c r="AE367" s="120" t="s">
        <v>929</v>
      </c>
      <c r="AF367" s="546" t="s">
        <v>930</v>
      </c>
      <c r="AG367" s="1"/>
    </row>
    <row r="368" spans="1:33" ht="96" customHeight="1" x14ac:dyDescent="0.2">
      <c r="A368" s="103"/>
      <c r="B368" s="104"/>
      <c r="C368" s="104"/>
      <c r="D368" s="104"/>
      <c r="E368" s="111"/>
      <c r="F368" s="462"/>
      <c r="G368" s="140" t="s">
        <v>955</v>
      </c>
      <c r="H368" s="699">
        <v>1905015</v>
      </c>
      <c r="I368" s="193" t="s">
        <v>1032</v>
      </c>
      <c r="J368" s="699" t="s">
        <v>1316</v>
      </c>
      <c r="K368" s="220" t="s">
        <v>1033</v>
      </c>
      <c r="L368" s="466" t="s">
        <v>45</v>
      </c>
      <c r="M368" s="566">
        <v>1</v>
      </c>
      <c r="N368" s="1526"/>
      <c r="O368" s="1520"/>
      <c r="P368" s="1520"/>
      <c r="Q368" s="118"/>
      <c r="R368" s="118"/>
      <c r="S368" s="118"/>
      <c r="T368" s="118"/>
      <c r="U368" s="279">
        <v>58000000</v>
      </c>
      <c r="V368" s="329"/>
      <c r="W368" s="118"/>
      <c r="X368" s="118"/>
      <c r="Y368" s="352"/>
      <c r="Z368" s="118"/>
      <c r="AA368" s="132"/>
      <c r="AB368" s="118"/>
      <c r="AC368" s="118"/>
      <c r="AD368" s="120">
        <f t="shared" si="130"/>
        <v>58000000</v>
      </c>
      <c r="AE368" s="120" t="s">
        <v>929</v>
      </c>
      <c r="AF368" s="546" t="s">
        <v>930</v>
      </c>
      <c r="AG368" s="1"/>
    </row>
    <row r="369" spans="1:33" ht="120" customHeight="1" x14ac:dyDescent="0.2">
      <c r="A369" s="103"/>
      <c r="B369" s="104"/>
      <c r="C369" s="104"/>
      <c r="D369" s="104"/>
      <c r="E369" s="111"/>
      <c r="F369" s="462"/>
      <c r="G369" s="193" t="s">
        <v>1034</v>
      </c>
      <c r="H369" s="461">
        <v>1905023</v>
      </c>
      <c r="I369" s="193" t="s">
        <v>1035</v>
      </c>
      <c r="J369" s="171">
        <v>190502300</v>
      </c>
      <c r="K369" s="220" t="s">
        <v>1036</v>
      </c>
      <c r="L369" s="466" t="s">
        <v>45</v>
      </c>
      <c r="M369" s="566">
        <v>12</v>
      </c>
      <c r="N369" s="1526" t="s">
        <v>1037</v>
      </c>
      <c r="O369" s="1520" t="s">
        <v>1038</v>
      </c>
      <c r="P369" s="1520" t="s">
        <v>1039</v>
      </c>
      <c r="Q369" s="118"/>
      <c r="R369" s="118"/>
      <c r="S369" s="118"/>
      <c r="T369" s="118"/>
      <c r="U369" s="279">
        <v>105000000</v>
      </c>
      <c r="V369" s="329"/>
      <c r="W369" s="118"/>
      <c r="X369" s="118"/>
      <c r="Y369" s="352"/>
      <c r="Z369" s="118"/>
      <c r="AA369" s="132"/>
      <c r="AB369" s="118"/>
      <c r="AC369" s="118"/>
      <c r="AD369" s="120">
        <f t="shared" si="130"/>
        <v>105000000</v>
      </c>
      <c r="AE369" s="120" t="s">
        <v>929</v>
      </c>
      <c r="AF369" s="546" t="s">
        <v>930</v>
      </c>
      <c r="AG369" s="1"/>
    </row>
    <row r="370" spans="1:33" ht="134.25" customHeight="1" x14ac:dyDescent="0.2">
      <c r="A370" s="103"/>
      <c r="B370" s="104"/>
      <c r="C370" s="104"/>
      <c r="D370" s="104"/>
      <c r="E370" s="111"/>
      <c r="F370" s="172"/>
      <c r="G370" s="140" t="s">
        <v>934</v>
      </c>
      <c r="H370" s="461">
        <v>1905031</v>
      </c>
      <c r="I370" s="193" t="s">
        <v>1001</v>
      </c>
      <c r="J370" s="461">
        <v>190503100</v>
      </c>
      <c r="K370" s="192" t="s">
        <v>1002</v>
      </c>
      <c r="L370" s="466" t="s">
        <v>45</v>
      </c>
      <c r="M370" s="566">
        <v>12</v>
      </c>
      <c r="N370" s="1526"/>
      <c r="O370" s="1520"/>
      <c r="P370" s="1520"/>
      <c r="Q370" s="118"/>
      <c r="R370" s="118"/>
      <c r="S370" s="118"/>
      <c r="T370" s="118"/>
      <c r="U370" s="279">
        <v>76000000</v>
      </c>
      <c r="V370" s="329"/>
      <c r="W370" s="118"/>
      <c r="X370" s="118"/>
      <c r="Y370" s="352"/>
      <c r="Z370" s="118"/>
      <c r="AA370" s="132"/>
      <c r="AB370" s="118"/>
      <c r="AC370" s="118"/>
      <c r="AD370" s="120">
        <f t="shared" si="130"/>
        <v>76000000</v>
      </c>
      <c r="AE370" s="120" t="s">
        <v>929</v>
      </c>
      <c r="AF370" s="546" t="s">
        <v>930</v>
      </c>
      <c r="AG370" s="1"/>
    </row>
    <row r="371" spans="1:33" ht="122.25" customHeight="1" x14ac:dyDescent="0.2">
      <c r="A371" s="103"/>
      <c r="B371" s="104"/>
      <c r="C371" s="104"/>
      <c r="D371" s="104"/>
      <c r="E371" s="111"/>
      <c r="F371" s="462"/>
      <c r="G371" s="193" t="s">
        <v>1040</v>
      </c>
      <c r="H371" s="461">
        <v>1905012</v>
      </c>
      <c r="I371" s="193" t="s">
        <v>1041</v>
      </c>
      <c r="J371" s="171">
        <v>190501200</v>
      </c>
      <c r="K371" s="220" t="s">
        <v>1041</v>
      </c>
      <c r="L371" s="466" t="s">
        <v>45</v>
      </c>
      <c r="M371" s="470">
        <v>1</v>
      </c>
      <c r="N371" s="1526" t="s">
        <v>1042</v>
      </c>
      <c r="O371" s="1520" t="s">
        <v>1043</v>
      </c>
      <c r="P371" s="1520" t="s">
        <v>1044</v>
      </c>
      <c r="Q371" s="118"/>
      <c r="R371" s="118"/>
      <c r="S371" s="118"/>
      <c r="T371" s="118"/>
      <c r="U371" s="212">
        <v>20000000</v>
      </c>
      <c r="V371" s="329"/>
      <c r="W371" s="118"/>
      <c r="X371" s="118"/>
      <c r="Y371" s="352"/>
      <c r="Z371" s="118"/>
      <c r="AA371" s="132"/>
      <c r="AB371" s="118"/>
      <c r="AC371" s="187"/>
      <c r="AD371" s="120">
        <f t="shared" si="130"/>
        <v>20000000</v>
      </c>
      <c r="AE371" s="120" t="s">
        <v>929</v>
      </c>
      <c r="AF371" s="546" t="s">
        <v>930</v>
      </c>
      <c r="AG371" s="1"/>
    </row>
    <row r="372" spans="1:33" ht="180" customHeight="1" x14ac:dyDescent="0.2">
      <c r="A372" s="103"/>
      <c r="B372" s="104"/>
      <c r="C372" s="104"/>
      <c r="D372" s="104"/>
      <c r="E372" s="111"/>
      <c r="F372" s="462"/>
      <c r="G372" s="193" t="s">
        <v>1045</v>
      </c>
      <c r="H372" s="461">
        <v>1905026</v>
      </c>
      <c r="I372" s="193" t="s">
        <v>1046</v>
      </c>
      <c r="J372" s="171">
        <v>190502600</v>
      </c>
      <c r="K372" s="220" t="s">
        <v>1047</v>
      </c>
      <c r="L372" s="457" t="s">
        <v>45</v>
      </c>
      <c r="M372" s="470">
        <v>12</v>
      </c>
      <c r="N372" s="1526"/>
      <c r="O372" s="1520"/>
      <c r="P372" s="1520"/>
      <c r="Q372" s="118"/>
      <c r="R372" s="118"/>
      <c r="S372" s="118"/>
      <c r="T372" s="118"/>
      <c r="U372" s="212">
        <v>58000000</v>
      </c>
      <c r="V372" s="329"/>
      <c r="W372" s="118"/>
      <c r="X372" s="118"/>
      <c r="Y372" s="352"/>
      <c r="Z372" s="118"/>
      <c r="AA372" s="197"/>
      <c r="AB372" s="118"/>
      <c r="AC372" s="187"/>
      <c r="AD372" s="120">
        <f t="shared" si="130"/>
        <v>58000000</v>
      </c>
      <c r="AE372" s="120" t="s">
        <v>929</v>
      </c>
      <c r="AF372" s="546" t="s">
        <v>930</v>
      </c>
      <c r="AG372" s="1"/>
    </row>
    <row r="373" spans="1:33" ht="150" customHeight="1" x14ac:dyDescent="0.2">
      <c r="A373" s="103"/>
      <c r="B373" s="104"/>
      <c r="C373" s="104"/>
      <c r="D373" s="104"/>
      <c r="E373" s="111"/>
      <c r="F373" s="457"/>
      <c r="G373" s="193" t="s">
        <v>1040</v>
      </c>
      <c r="H373" s="461">
        <v>1905027</v>
      </c>
      <c r="I373" s="193" t="s">
        <v>1048</v>
      </c>
      <c r="J373" s="171">
        <v>190502700</v>
      </c>
      <c r="K373" s="192" t="s">
        <v>1049</v>
      </c>
      <c r="L373" s="466" t="s">
        <v>45</v>
      </c>
      <c r="M373" s="470">
        <v>12</v>
      </c>
      <c r="N373" s="1526"/>
      <c r="O373" s="1520"/>
      <c r="P373" s="1520"/>
      <c r="Q373" s="118"/>
      <c r="R373" s="118"/>
      <c r="S373" s="118"/>
      <c r="T373" s="118"/>
      <c r="U373" s="212">
        <v>75000000</v>
      </c>
      <c r="V373" s="332"/>
      <c r="W373" s="118"/>
      <c r="X373" s="118"/>
      <c r="Y373" s="352"/>
      <c r="Z373" s="118"/>
      <c r="AA373" s="197">
        <f>20000000-13438000-6562000</f>
        <v>0</v>
      </c>
      <c r="AB373" s="118"/>
      <c r="AC373" s="118"/>
      <c r="AD373" s="120">
        <f t="shared" si="130"/>
        <v>75000000</v>
      </c>
      <c r="AE373" s="120" t="s">
        <v>929</v>
      </c>
      <c r="AF373" s="546" t="s">
        <v>930</v>
      </c>
      <c r="AG373" s="1"/>
    </row>
    <row r="374" spans="1:33" ht="108.75" customHeight="1" x14ac:dyDescent="0.2">
      <c r="A374" s="103"/>
      <c r="B374" s="104"/>
      <c r="C374" s="104"/>
      <c r="D374" s="104"/>
      <c r="E374" s="111"/>
      <c r="F374" s="462"/>
      <c r="G374" s="140" t="s">
        <v>1050</v>
      </c>
      <c r="H374" s="699" t="s">
        <v>1318</v>
      </c>
      <c r="I374" s="193" t="s">
        <v>1051</v>
      </c>
      <c r="J374" s="701" t="s">
        <v>1317</v>
      </c>
      <c r="K374" s="220" t="s">
        <v>1018</v>
      </c>
      <c r="L374" s="178" t="s">
        <v>57</v>
      </c>
      <c r="M374" s="564">
        <v>4</v>
      </c>
      <c r="N374" s="1523" t="s">
        <v>1052</v>
      </c>
      <c r="O374" s="1520" t="s">
        <v>1053</v>
      </c>
      <c r="P374" s="1520" t="s">
        <v>1054</v>
      </c>
      <c r="Q374" s="118"/>
      <c r="R374" s="118"/>
      <c r="S374" s="118"/>
      <c r="T374" s="118"/>
      <c r="U374" s="212">
        <v>95000000</v>
      </c>
      <c r="V374" s="329"/>
      <c r="W374" s="118"/>
      <c r="X374" s="118"/>
      <c r="Y374" s="352"/>
      <c r="Z374" s="118"/>
      <c r="AA374" s="197"/>
      <c r="AB374" s="118"/>
      <c r="AC374" s="118"/>
      <c r="AD374" s="120">
        <f t="shared" si="130"/>
        <v>95000000</v>
      </c>
      <c r="AE374" s="120" t="s">
        <v>929</v>
      </c>
      <c r="AF374" s="546" t="s">
        <v>930</v>
      </c>
      <c r="AG374" s="1"/>
    </row>
    <row r="375" spans="1:33" ht="187.5" customHeight="1" x14ac:dyDescent="0.2">
      <c r="A375" s="103"/>
      <c r="B375" s="104"/>
      <c r="C375" s="104"/>
      <c r="D375" s="104"/>
      <c r="E375" s="111"/>
      <c r="F375" s="457"/>
      <c r="G375" s="193" t="s">
        <v>1045</v>
      </c>
      <c r="H375" s="698">
        <v>1905026</v>
      </c>
      <c r="I375" s="193" t="s">
        <v>1046</v>
      </c>
      <c r="J375" s="171">
        <v>190502600</v>
      </c>
      <c r="K375" s="220" t="s">
        <v>1047</v>
      </c>
      <c r="L375" s="457" t="s">
        <v>45</v>
      </c>
      <c r="M375" s="135">
        <v>12</v>
      </c>
      <c r="N375" s="1523"/>
      <c r="O375" s="1520"/>
      <c r="P375" s="1520"/>
      <c r="Q375" s="118"/>
      <c r="R375" s="118"/>
      <c r="S375" s="118"/>
      <c r="T375" s="118"/>
      <c r="U375" s="212">
        <v>96000000</v>
      </c>
      <c r="V375" s="329"/>
      <c r="W375" s="103"/>
      <c r="X375" s="118"/>
      <c r="Y375" s="352"/>
      <c r="Z375" s="118"/>
      <c r="AA375" s="212">
        <v>130000000</v>
      </c>
      <c r="AB375" s="118"/>
      <c r="AC375" s="212">
        <v>210707393</v>
      </c>
      <c r="AD375" s="120">
        <f t="shared" si="130"/>
        <v>436707393</v>
      </c>
      <c r="AE375" s="120" t="s">
        <v>929</v>
      </c>
      <c r="AF375" s="556" t="s">
        <v>930</v>
      </c>
      <c r="AG375" s="25"/>
    </row>
    <row r="376" spans="1:33" ht="79.5" customHeight="1" x14ac:dyDescent="0.2">
      <c r="A376" s="103"/>
      <c r="B376" s="104"/>
      <c r="C376" s="104"/>
      <c r="D376" s="104"/>
      <c r="E376" s="111"/>
      <c r="F376" s="457"/>
      <c r="G376" s="140" t="s">
        <v>937</v>
      </c>
      <c r="H376" s="461">
        <v>1905014</v>
      </c>
      <c r="I376" s="193" t="s">
        <v>85</v>
      </c>
      <c r="J376" s="461">
        <v>190501400</v>
      </c>
      <c r="K376" s="192" t="s">
        <v>513</v>
      </c>
      <c r="L376" s="466" t="s">
        <v>45</v>
      </c>
      <c r="M376" s="470">
        <v>12</v>
      </c>
      <c r="N376" s="1526" t="s">
        <v>1055</v>
      </c>
      <c r="O376" s="1521" t="s">
        <v>1056</v>
      </c>
      <c r="P376" s="1521" t="s">
        <v>1057</v>
      </c>
      <c r="Q376" s="118"/>
      <c r="R376" s="118"/>
      <c r="S376" s="118"/>
      <c r="T376" s="118"/>
      <c r="U376" s="212">
        <v>43000000</v>
      </c>
      <c r="V376" s="329"/>
      <c r="W376" s="118"/>
      <c r="X376" s="118"/>
      <c r="Y376" s="352"/>
      <c r="Z376" s="118"/>
      <c r="AA376" s="132"/>
      <c r="AB376" s="118"/>
      <c r="AC376" s="118"/>
      <c r="AD376" s="120">
        <f t="shared" si="130"/>
        <v>43000000</v>
      </c>
      <c r="AE376" s="120" t="s">
        <v>929</v>
      </c>
      <c r="AF376" s="546" t="s">
        <v>930</v>
      </c>
      <c r="AG376" s="1"/>
    </row>
    <row r="377" spans="1:33" ht="166.5" customHeight="1" x14ac:dyDescent="0.2">
      <c r="A377" s="103"/>
      <c r="B377" s="104"/>
      <c r="C377" s="104"/>
      <c r="D377" s="104"/>
      <c r="E377" s="111"/>
      <c r="F377" s="457"/>
      <c r="G377" s="140" t="s">
        <v>1045</v>
      </c>
      <c r="H377" s="461">
        <v>1905026</v>
      </c>
      <c r="I377" s="193" t="s">
        <v>1058</v>
      </c>
      <c r="J377" s="171">
        <v>190502600</v>
      </c>
      <c r="K377" s="220" t="s">
        <v>1047</v>
      </c>
      <c r="L377" s="457" t="s">
        <v>45</v>
      </c>
      <c r="M377" s="135">
        <v>12</v>
      </c>
      <c r="N377" s="1526"/>
      <c r="O377" s="1521"/>
      <c r="P377" s="1521"/>
      <c r="Q377" s="118"/>
      <c r="R377" s="118"/>
      <c r="S377" s="118"/>
      <c r="T377" s="118"/>
      <c r="U377" s="118"/>
      <c r="V377" s="329"/>
      <c r="W377" s="118"/>
      <c r="X377" s="118"/>
      <c r="Y377" s="352"/>
      <c r="Z377" s="118"/>
      <c r="AA377" s="132"/>
      <c r="AB377" s="118"/>
      <c r="AC377" s="197">
        <v>182146964</v>
      </c>
      <c r="AD377" s="120">
        <f t="shared" si="130"/>
        <v>182146964</v>
      </c>
      <c r="AE377" s="120" t="s">
        <v>929</v>
      </c>
      <c r="AF377" s="546" t="s">
        <v>930</v>
      </c>
      <c r="AG377" s="1"/>
    </row>
    <row r="378" spans="1:33" ht="188.25" customHeight="1" x14ac:dyDescent="0.2">
      <c r="A378" s="103"/>
      <c r="B378" s="104"/>
      <c r="C378" s="104"/>
      <c r="D378" s="104"/>
      <c r="E378" s="111"/>
      <c r="F378" s="172"/>
      <c r="G378" s="140" t="s">
        <v>1045</v>
      </c>
      <c r="H378" s="461">
        <v>1905026</v>
      </c>
      <c r="I378" s="193" t="s">
        <v>1046</v>
      </c>
      <c r="J378" s="171">
        <v>190502600</v>
      </c>
      <c r="K378" s="220" t="s">
        <v>1047</v>
      </c>
      <c r="L378" s="457" t="s">
        <v>45</v>
      </c>
      <c r="M378" s="135">
        <v>12</v>
      </c>
      <c r="N378" s="454" t="s">
        <v>1059</v>
      </c>
      <c r="O378" s="199" t="s">
        <v>1060</v>
      </c>
      <c r="P378" s="199" t="s">
        <v>1061</v>
      </c>
      <c r="Q378" s="118"/>
      <c r="R378" s="118"/>
      <c r="S378" s="118"/>
      <c r="T378" s="118"/>
      <c r="U378" s="118"/>
      <c r="V378" s="339"/>
      <c r="W378" s="118"/>
      <c r="X378" s="118"/>
      <c r="Y378" s="352"/>
      <c r="Z378" s="118"/>
      <c r="AA378" s="197">
        <f>500000000-398675151+36000000+100000000+10000000+252675151</f>
        <v>500000000</v>
      </c>
      <c r="AB378" s="118"/>
      <c r="AC378" s="118">
        <v>0</v>
      </c>
      <c r="AD378" s="120">
        <f t="shared" si="130"/>
        <v>500000000</v>
      </c>
      <c r="AE378" s="120" t="s">
        <v>929</v>
      </c>
      <c r="AF378" s="546" t="s">
        <v>930</v>
      </c>
      <c r="AG378" s="1"/>
    </row>
    <row r="379" spans="1:33" ht="120" customHeight="1" x14ac:dyDescent="0.2">
      <c r="A379" s="103"/>
      <c r="B379" s="104"/>
      <c r="C379" s="104"/>
      <c r="D379" s="104"/>
      <c r="E379" s="111"/>
      <c r="F379" s="457"/>
      <c r="G379" s="140" t="s">
        <v>942</v>
      </c>
      <c r="H379" s="124">
        <v>1905030</v>
      </c>
      <c r="I379" s="193" t="s">
        <v>1062</v>
      </c>
      <c r="J379" s="195">
        <v>190503000</v>
      </c>
      <c r="K379" s="220" t="s">
        <v>1063</v>
      </c>
      <c r="L379" s="466" t="s">
        <v>45</v>
      </c>
      <c r="M379" s="470">
        <v>60</v>
      </c>
      <c r="N379" s="454" t="s">
        <v>1064</v>
      </c>
      <c r="O379" s="199" t="s">
        <v>1065</v>
      </c>
      <c r="P379" s="199" t="s">
        <v>1066</v>
      </c>
      <c r="Q379" s="118"/>
      <c r="R379" s="118"/>
      <c r="S379" s="118"/>
      <c r="T379" s="118"/>
      <c r="U379" s="212">
        <v>20000000</v>
      </c>
      <c r="V379" s="329"/>
      <c r="W379" s="118"/>
      <c r="X379" s="118"/>
      <c r="Y379" s="352"/>
      <c r="Z379" s="118"/>
      <c r="AA379" s="132"/>
      <c r="AB379" s="118"/>
      <c r="AC379" s="118"/>
      <c r="AD379" s="120">
        <f t="shared" si="130"/>
        <v>20000000</v>
      </c>
      <c r="AE379" s="120" t="s">
        <v>929</v>
      </c>
      <c r="AF379" s="546" t="s">
        <v>930</v>
      </c>
      <c r="AG379" s="1"/>
    </row>
    <row r="380" spans="1:33" ht="93.75" customHeight="1" x14ac:dyDescent="0.2">
      <c r="A380" s="103"/>
      <c r="B380" s="104"/>
      <c r="C380" s="104"/>
      <c r="D380" s="104"/>
      <c r="E380" s="111"/>
      <c r="F380" s="457"/>
      <c r="G380" s="140" t="s">
        <v>982</v>
      </c>
      <c r="H380" s="461">
        <v>1905025</v>
      </c>
      <c r="I380" s="193" t="s">
        <v>1067</v>
      </c>
      <c r="J380" s="171">
        <v>190502500</v>
      </c>
      <c r="K380" s="220" t="s">
        <v>1068</v>
      </c>
      <c r="L380" s="466" t="s">
        <v>45</v>
      </c>
      <c r="M380" s="470">
        <v>12</v>
      </c>
      <c r="N380" s="454" t="s">
        <v>1069</v>
      </c>
      <c r="O380" s="199" t="s">
        <v>1070</v>
      </c>
      <c r="P380" s="199" t="s">
        <v>1071</v>
      </c>
      <c r="Q380" s="118"/>
      <c r="R380" s="118"/>
      <c r="S380" s="118"/>
      <c r="T380" s="118"/>
      <c r="U380" s="212">
        <v>84414100</v>
      </c>
      <c r="V380" s="329"/>
      <c r="W380" s="118"/>
      <c r="X380" s="118"/>
      <c r="Y380" s="352"/>
      <c r="Z380" s="118"/>
      <c r="AA380" s="132"/>
      <c r="AB380" s="118"/>
      <c r="AC380" s="118"/>
      <c r="AD380" s="120">
        <f t="shared" si="130"/>
        <v>84414100</v>
      </c>
      <c r="AE380" s="120" t="s">
        <v>929</v>
      </c>
      <c r="AF380" s="546" t="s">
        <v>930</v>
      </c>
      <c r="AG380" s="1"/>
    </row>
    <row r="381" spans="1:33" ht="86.25" customHeight="1" x14ac:dyDescent="0.2">
      <c r="A381" s="103"/>
      <c r="B381" s="104"/>
      <c r="C381" s="104"/>
      <c r="D381" s="104"/>
      <c r="E381" s="111"/>
      <c r="F381" s="172"/>
      <c r="G381" s="140" t="s">
        <v>947</v>
      </c>
      <c r="H381" s="461">
        <v>1905015</v>
      </c>
      <c r="I381" s="193" t="s">
        <v>63</v>
      </c>
      <c r="J381" s="461">
        <v>190501503</v>
      </c>
      <c r="K381" s="192" t="s">
        <v>1072</v>
      </c>
      <c r="L381" s="466" t="s">
        <v>45</v>
      </c>
      <c r="M381" s="470">
        <v>15</v>
      </c>
      <c r="N381" s="454" t="s">
        <v>1073</v>
      </c>
      <c r="O381" s="199" t="s">
        <v>1074</v>
      </c>
      <c r="P381" s="199" t="s">
        <v>1075</v>
      </c>
      <c r="Q381" s="118"/>
      <c r="R381" s="118"/>
      <c r="S381" s="118"/>
      <c r="T381" s="118"/>
      <c r="U381" s="215">
        <v>320000000</v>
      </c>
      <c r="V381" s="329"/>
      <c r="W381" s="118"/>
      <c r="X381" s="118"/>
      <c r="Y381" s="352"/>
      <c r="Z381" s="118"/>
      <c r="AA381" s="132"/>
      <c r="AB381" s="118"/>
      <c r="AC381" s="118"/>
      <c r="AD381" s="120">
        <f t="shared" si="130"/>
        <v>320000000</v>
      </c>
      <c r="AE381" s="120" t="s">
        <v>929</v>
      </c>
      <c r="AF381" s="546" t="s">
        <v>930</v>
      </c>
      <c r="AG381" s="1"/>
    </row>
    <row r="382" spans="1:33" ht="63.75" customHeight="1" x14ac:dyDescent="0.2">
      <c r="A382" s="103"/>
      <c r="B382" s="104"/>
      <c r="C382" s="104"/>
      <c r="D382" s="104"/>
      <c r="E382" s="461"/>
      <c r="F382" s="457"/>
      <c r="G382" s="140" t="s">
        <v>1076</v>
      </c>
      <c r="H382" s="275" t="s">
        <v>1077</v>
      </c>
      <c r="I382" s="140" t="s">
        <v>1078</v>
      </c>
      <c r="J382" s="275" t="s">
        <v>1079</v>
      </c>
      <c r="K382" s="199" t="s">
        <v>1080</v>
      </c>
      <c r="L382" s="466" t="s">
        <v>45</v>
      </c>
      <c r="M382" s="470">
        <v>1</v>
      </c>
      <c r="N382" s="454" t="s">
        <v>1081</v>
      </c>
      <c r="O382" s="192" t="s">
        <v>1082</v>
      </c>
      <c r="P382" s="192" t="s">
        <v>1083</v>
      </c>
      <c r="Q382" s="118"/>
      <c r="R382" s="118"/>
      <c r="S382" s="118"/>
      <c r="T382" s="118"/>
      <c r="U382" s="212"/>
      <c r="V382" s="340"/>
      <c r="W382" s="118"/>
      <c r="X382" s="118"/>
      <c r="Y382" s="352"/>
      <c r="Z382" s="118"/>
      <c r="AA382" s="197">
        <v>300000000</v>
      </c>
      <c r="AB382" s="118"/>
      <c r="AC382" s="118"/>
      <c r="AD382" s="120">
        <f t="shared" si="130"/>
        <v>300000000</v>
      </c>
      <c r="AE382" s="120" t="s">
        <v>929</v>
      </c>
      <c r="AF382" s="546" t="s">
        <v>930</v>
      </c>
      <c r="AG382" s="1"/>
    </row>
    <row r="383" spans="1:33" ht="88.5" customHeight="1" x14ac:dyDescent="0.2">
      <c r="A383" s="103"/>
      <c r="B383" s="104"/>
      <c r="C383" s="104"/>
      <c r="D383" s="104"/>
      <c r="E383" s="111"/>
      <c r="F383" s="457"/>
      <c r="G383" s="140" t="s">
        <v>931</v>
      </c>
      <c r="H383" s="142">
        <v>1905031</v>
      </c>
      <c r="I383" s="193" t="s">
        <v>1001</v>
      </c>
      <c r="J383" s="461">
        <v>190503100</v>
      </c>
      <c r="K383" s="192" t="s">
        <v>1002</v>
      </c>
      <c r="L383" s="466" t="s">
        <v>45</v>
      </c>
      <c r="M383" s="566">
        <v>12</v>
      </c>
      <c r="N383" s="454" t="s">
        <v>1084</v>
      </c>
      <c r="O383" s="192" t="s">
        <v>1085</v>
      </c>
      <c r="P383" s="192" t="s">
        <v>1086</v>
      </c>
      <c r="Q383" s="118"/>
      <c r="R383" s="118"/>
      <c r="S383" s="118"/>
      <c r="T383" s="118"/>
      <c r="U383" s="212">
        <v>1263850000</v>
      </c>
      <c r="V383" s="329"/>
      <c r="W383" s="118"/>
      <c r="X383" s="118"/>
      <c r="Y383" s="352"/>
      <c r="Z383" s="118"/>
      <c r="AA383" s="132"/>
      <c r="AB383" s="118"/>
      <c r="AC383" s="118"/>
      <c r="AD383" s="120">
        <f t="shared" si="130"/>
        <v>1263850000</v>
      </c>
      <c r="AE383" s="120" t="s">
        <v>929</v>
      </c>
      <c r="AF383" s="546" t="s">
        <v>930</v>
      </c>
      <c r="AG383" s="1"/>
    </row>
    <row r="384" spans="1:33" ht="27" customHeight="1" x14ac:dyDescent="0.2">
      <c r="A384" s="103"/>
      <c r="B384" s="104"/>
      <c r="C384" s="104"/>
      <c r="D384" s="104"/>
      <c r="E384" s="74">
        <v>1906</v>
      </c>
      <c r="F384" s="732" t="s">
        <v>145</v>
      </c>
      <c r="G384" s="473"/>
      <c r="H384" s="107"/>
      <c r="I384" s="487"/>
      <c r="J384" s="74"/>
      <c r="K384" s="70"/>
      <c r="L384" s="108"/>
      <c r="M384" s="74"/>
      <c r="N384" s="109"/>
      <c r="O384" s="70"/>
      <c r="P384" s="70"/>
      <c r="Q384" s="110">
        <f t="shared" ref="Q384:AB384" si="132">SUM(Q385:Q390)</f>
        <v>0</v>
      </c>
      <c r="R384" s="110">
        <f t="shared" si="132"/>
        <v>0</v>
      </c>
      <c r="S384" s="110">
        <f t="shared" si="132"/>
        <v>0</v>
      </c>
      <c r="T384" s="110">
        <f t="shared" si="132"/>
        <v>0</v>
      </c>
      <c r="U384" s="110">
        <f>SUM(U385:U394)</f>
        <v>2224028029</v>
      </c>
      <c r="V384" s="328">
        <f>SUM(V385:V394)</f>
        <v>35092837560</v>
      </c>
      <c r="W384" s="110">
        <f t="shared" si="132"/>
        <v>0</v>
      </c>
      <c r="X384" s="110">
        <f t="shared" si="132"/>
        <v>0</v>
      </c>
      <c r="Y384" s="351">
        <f t="shared" si="132"/>
        <v>0</v>
      </c>
      <c r="Z384" s="110">
        <f t="shared" si="132"/>
        <v>0</v>
      </c>
      <c r="AA384" s="110">
        <f>SUM(AA385:AA394)</f>
        <v>230390000</v>
      </c>
      <c r="AB384" s="110">
        <f t="shared" si="132"/>
        <v>0</v>
      </c>
      <c r="AC384" s="110">
        <f>SUM(AC385:AC394)</f>
        <v>1361612640</v>
      </c>
      <c r="AD384" s="110">
        <f>SUM(AD385:AD394)</f>
        <v>38908868229</v>
      </c>
      <c r="AE384" s="110"/>
      <c r="AF384" s="544"/>
    </row>
    <row r="385" spans="1:89" ht="93" customHeight="1" x14ac:dyDescent="0.2">
      <c r="A385" s="103"/>
      <c r="B385" s="104"/>
      <c r="C385" s="104"/>
      <c r="D385" s="104"/>
      <c r="E385" s="111"/>
      <c r="F385" s="457"/>
      <c r="G385" s="140" t="s">
        <v>982</v>
      </c>
      <c r="H385" s="461">
        <v>1906032</v>
      </c>
      <c r="I385" s="193" t="s">
        <v>1087</v>
      </c>
      <c r="J385" s="171">
        <v>190603200</v>
      </c>
      <c r="K385" s="192" t="s">
        <v>1088</v>
      </c>
      <c r="L385" s="466" t="s">
        <v>57</v>
      </c>
      <c r="M385" s="470">
        <v>1500</v>
      </c>
      <c r="N385" s="1526" t="s">
        <v>1089</v>
      </c>
      <c r="O385" s="1520" t="s">
        <v>1090</v>
      </c>
      <c r="P385" s="1520" t="s">
        <v>1091</v>
      </c>
      <c r="Q385" s="118"/>
      <c r="R385" s="118"/>
      <c r="S385" s="118"/>
      <c r="T385" s="118"/>
      <c r="U385" s="118"/>
      <c r="V385" s="341">
        <v>31408028135</v>
      </c>
      <c r="W385" s="118"/>
      <c r="X385" s="118"/>
      <c r="Y385" s="352"/>
      <c r="Z385" s="118"/>
      <c r="AA385" s="132"/>
      <c r="AB385" s="118"/>
      <c r="AC385" s="118"/>
      <c r="AD385" s="120">
        <f t="shared" si="130"/>
        <v>31408028135</v>
      </c>
      <c r="AE385" s="120" t="s">
        <v>929</v>
      </c>
      <c r="AF385" s="546" t="s">
        <v>930</v>
      </c>
      <c r="AG385" s="1"/>
    </row>
    <row r="386" spans="1:89" ht="87.75" customHeight="1" x14ac:dyDescent="0.2">
      <c r="A386" s="103"/>
      <c r="B386" s="104"/>
      <c r="C386" s="104"/>
      <c r="D386" s="104"/>
      <c r="E386" s="111"/>
      <c r="F386" s="457"/>
      <c r="G386" s="140" t="s">
        <v>1092</v>
      </c>
      <c r="H386" s="124" t="s">
        <v>137</v>
      </c>
      <c r="I386" s="771" t="s">
        <v>1976</v>
      </c>
      <c r="J386" s="394" t="s">
        <v>137</v>
      </c>
      <c r="K386" s="427" t="s">
        <v>1094</v>
      </c>
      <c r="L386" s="401" t="s">
        <v>45</v>
      </c>
      <c r="M386" s="470">
        <v>19899</v>
      </c>
      <c r="N386" s="1526"/>
      <c r="O386" s="1520"/>
      <c r="P386" s="1520"/>
      <c r="Q386" s="118"/>
      <c r="R386" s="118"/>
      <c r="S386" s="118"/>
      <c r="T386" s="118"/>
      <c r="U386" s="118"/>
      <c r="V386" s="329"/>
      <c r="W386" s="118"/>
      <c r="X386" s="118"/>
      <c r="Y386" s="352"/>
      <c r="Z386" s="118"/>
      <c r="AA386" s="132">
        <v>0</v>
      </c>
      <c r="AB386" s="118"/>
      <c r="AC386" s="118"/>
      <c r="AD386" s="120">
        <f>+Q386+R386+S386+T386+U386+V386+W386+X386+Y386+Z386+AA386+AB386+AC386</f>
        <v>0</v>
      </c>
      <c r="AE386" s="120" t="s">
        <v>929</v>
      </c>
      <c r="AF386" s="546" t="s">
        <v>930</v>
      </c>
      <c r="AG386" s="1"/>
    </row>
    <row r="387" spans="1:89" ht="60" customHeight="1" x14ac:dyDescent="0.2">
      <c r="A387" s="103"/>
      <c r="B387" s="104"/>
      <c r="C387" s="104"/>
      <c r="D387" s="104"/>
      <c r="E387" s="461"/>
      <c r="F387" s="457"/>
      <c r="G387" s="140" t="s">
        <v>1092</v>
      </c>
      <c r="H387" s="1349">
        <v>1906023</v>
      </c>
      <c r="I387" s="193" t="s">
        <v>1095</v>
      </c>
      <c r="J387" s="1350">
        <v>190602301</v>
      </c>
      <c r="K387" s="220" t="s">
        <v>1096</v>
      </c>
      <c r="L387" s="466" t="s">
        <v>45</v>
      </c>
      <c r="M387" s="470">
        <v>60</v>
      </c>
      <c r="N387" s="1526" t="s">
        <v>1097</v>
      </c>
      <c r="O387" s="1520" t="s">
        <v>1098</v>
      </c>
      <c r="P387" s="1520" t="s">
        <v>1099</v>
      </c>
      <c r="Q387" s="118"/>
      <c r="R387" s="118"/>
      <c r="S387" s="118"/>
      <c r="T387" s="118"/>
      <c r="U387" s="118"/>
      <c r="V387" s="329"/>
      <c r="W387" s="118"/>
      <c r="X387" s="118"/>
      <c r="Y387" s="352"/>
      <c r="Z387" s="118"/>
      <c r="AA387" s="132"/>
      <c r="AB387" s="118"/>
      <c r="AC387" s="212">
        <v>1361612640</v>
      </c>
      <c r="AD387" s="120">
        <f t="shared" si="130"/>
        <v>1361612640</v>
      </c>
      <c r="AE387" s="120" t="s">
        <v>929</v>
      </c>
      <c r="AF387" s="546" t="s">
        <v>930</v>
      </c>
      <c r="AG387" s="1"/>
    </row>
    <row r="388" spans="1:89" ht="84" customHeight="1" x14ac:dyDescent="0.2">
      <c r="A388" s="103"/>
      <c r="B388" s="104"/>
      <c r="C388" s="104"/>
      <c r="D388" s="104"/>
      <c r="E388" s="461"/>
      <c r="F388" s="457"/>
      <c r="G388" s="140" t="s">
        <v>1092</v>
      </c>
      <c r="H388" s="124" t="s">
        <v>137</v>
      </c>
      <c r="I388" s="193" t="s">
        <v>1100</v>
      </c>
      <c r="J388" s="249" t="s">
        <v>137</v>
      </c>
      <c r="K388" s="220" t="s">
        <v>1101</v>
      </c>
      <c r="L388" s="466" t="s">
        <v>45</v>
      </c>
      <c r="M388" s="470">
        <v>100</v>
      </c>
      <c r="N388" s="1526"/>
      <c r="O388" s="1520"/>
      <c r="P388" s="1520"/>
      <c r="Q388" s="118"/>
      <c r="R388" s="118"/>
      <c r="S388" s="118"/>
      <c r="T388" s="118"/>
      <c r="U388" s="212">
        <v>2224028029</v>
      </c>
      <c r="V388" s="342"/>
      <c r="W388" s="118"/>
      <c r="X388" s="118"/>
      <c r="Y388" s="352"/>
      <c r="Z388" s="118"/>
      <c r="AA388" s="132"/>
      <c r="AB388" s="118"/>
      <c r="AC388" s="118"/>
      <c r="AD388" s="120">
        <f t="shared" si="130"/>
        <v>2224028029</v>
      </c>
      <c r="AE388" s="120" t="s">
        <v>929</v>
      </c>
      <c r="AF388" s="546" t="s">
        <v>930</v>
      </c>
      <c r="AG388" s="1"/>
    </row>
    <row r="389" spans="1:89" ht="45" customHeight="1" x14ac:dyDescent="0.2">
      <c r="A389" s="103"/>
      <c r="B389" s="104"/>
      <c r="C389" s="104"/>
      <c r="D389" s="104"/>
      <c r="E389" s="461"/>
      <c r="F389" s="457"/>
      <c r="G389" s="140" t="s">
        <v>1092</v>
      </c>
      <c r="H389" s="124" t="s">
        <v>137</v>
      </c>
      <c r="I389" s="193" t="s">
        <v>1102</v>
      </c>
      <c r="J389" s="249" t="s">
        <v>137</v>
      </c>
      <c r="K389" s="220" t="s">
        <v>1103</v>
      </c>
      <c r="L389" s="466" t="s">
        <v>45</v>
      </c>
      <c r="M389" s="470">
        <v>100</v>
      </c>
      <c r="N389" s="1526"/>
      <c r="O389" s="1520"/>
      <c r="P389" s="1520"/>
      <c r="Q389" s="118"/>
      <c r="R389" s="118"/>
      <c r="S389" s="118"/>
      <c r="T389" s="118"/>
      <c r="U389" s="212"/>
      <c r="V389" s="330">
        <v>3684809425</v>
      </c>
      <c r="W389" s="118"/>
      <c r="X389" s="118"/>
      <c r="Y389" s="352"/>
      <c r="Z389" s="118"/>
      <c r="AA389" s="132"/>
      <c r="AB389" s="118"/>
      <c r="AC389" s="118"/>
      <c r="AD389" s="120">
        <f t="shared" si="130"/>
        <v>3684809425</v>
      </c>
      <c r="AE389" s="120" t="s">
        <v>929</v>
      </c>
      <c r="AF389" s="546" t="s">
        <v>930</v>
      </c>
      <c r="AG389" s="1"/>
    </row>
    <row r="390" spans="1:89" ht="95.25" customHeight="1" x14ac:dyDescent="0.2">
      <c r="A390" s="103"/>
      <c r="B390" s="104"/>
      <c r="C390" s="104"/>
      <c r="D390" s="104"/>
      <c r="E390" s="461"/>
      <c r="F390" s="457"/>
      <c r="G390" s="140" t="s">
        <v>1104</v>
      </c>
      <c r="H390" s="461">
        <v>1906029</v>
      </c>
      <c r="I390" s="193" t="s">
        <v>1105</v>
      </c>
      <c r="J390" s="171">
        <v>190602900</v>
      </c>
      <c r="K390" s="220" t="s">
        <v>1106</v>
      </c>
      <c r="L390" s="466" t="s">
        <v>45</v>
      </c>
      <c r="M390" s="470">
        <v>40</v>
      </c>
      <c r="N390" s="1523" t="s">
        <v>1107</v>
      </c>
      <c r="O390" s="1519" t="s">
        <v>1108</v>
      </c>
      <c r="P390" s="1519" t="s">
        <v>1109</v>
      </c>
      <c r="Q390" s="118"/>
      <c r="R390" s="118"/>
      <c r="S390" s="118"/>
      <c r="T390" s="118"/>
      <c r="U390" s="118"/>
      <c r="V390" s="336"/>
      <c r="W390" s="118"/>
      <c r="X390" s="118"/>
      <c r="Y390" s="352"/>
      <c r="Z390" s="118"/>
      <c r="AA390" s="197">
        <v>150390000</v>
      </c>
      <c r="AB390" s="118"/>
      <c r="AC390" s="118"/>
      <c r="AD390" s="120">
        <f t="shared" si="130"/>
        <v>150390000</v>
      </c>
      <c r="AE390" s="120" t="s">
        <v>929</v>
      </c>
      <c r="AF390" s="546" t="s">
        <v>930</v>
      </c>
      <c r="AG390" s="1"/>
    </row>
    <row r="391" spans="1:89" s="4" customFormat="1" ht="87.75" customHeight="1" x14ac:dyDescent="0.2">
      <c r="A391" s="203"/>
      <c r="B391" s="258"/>
      <c r="C391" s="258"/>
      <c r="D391" s="258"/>
      <c r="E391" s="209"/>
      <c r="F391" s="178"/>
      <c r="G391" s="272" t="s">
        <v>982</v>
      </c>
      <c r="H391" s="135">
        <v>1906032</v>
      </c>
      <c r="I391" s="205" t="s">
        <v>1087</v>
      </c>
      <c r="J391" s="75">
        <v>190603200</v>
      </c>
      <c r="K391" s="173" t="s">
        <v>1088</v>
      </c>
      <c r="L391" s="460" t="s">
        <v>57</v>
      </c>
      <c r="M391" s="470">
        <v>1500</v>
      </c>
      <c r="N391" s="1523"/>
      <c r="O391" s="1519"/>
      <c r="P391" s="1519"/>
      <c r="Q391" s="212"/>
      <c r="R391" s="212"/>
      <c r="S391" s="212"/>
      <c r="T391" s="212"/>
      <c r="U391" s="212"/>
      <c r="V391" s="341"/>
      <c r="W391" s="212"/>
      <c r="X391" s="212"/>
      <c r="Y391" s="353"/>
      <c r="Z391" s="212"/>
      <c r="AA391" s="197">
        <v>20000000</v>
      </c>
      <c r="AB391" s="212"/>
      <c r="AC391" s="212"/>
      <c r="AD391" s="213">
        <f>+Q391+R391+S391+T391+U391+V391+W391+X391+Y391+Z391+AA391+AB391+AC391</f>
        <v>20000000</v>
      </c>
      <c r="AE391" s="120" t="s">
        <v>929</v>
      </c>
      <c r="AF391" s="546" t="s">
        <v>930</v>
      </c>
    </row>
    <row r="392" spans="1:89" ht="119.25" customHeight="1" x14ac:dyDescent="0.2">
      <c r="A392" s="103"/>
      <c r="B392" s="104"/>
      <c r="C392" s="104"/>
      <c r="D392" s="104"/>
      <c r="E392" s="461"/>
      <c r="F392" s="457"/>
      <c r="G392" s="140" t="s">
        <v>1110</v>
      </c>
      <c r="H392" s="461">
        <v>1906005</v>
      </c>
      <c r="I392" s="193" t="s">
        <v>1111</v>
      </c>
      <c r="J392" s="171">
        <v>190600500</v>
      </c>
      <c r="K392" s="220" t="s">
        <v>1111</v>
      </c>
      <c r="L392" s="466" t="s">
        <v>57</v>
      </c>
      <c r="M392" s="470">
        <v>2</v>
      </c>
      <c r="N392" s="1523"/>
      <c r="O392" s="1519"/>
      <c r="P392" s="1519"/>
      <c r="Q392" s="118"/>
      <c r="R392" s="118"/>
      <c r="S392" s="118"/>
      <c r="T392" s="118"/>
      <c r="U392" s="118"/>
      <c r="V392" s="336"/>
      <c r="W392" s="118"/>
      <c r="X392" s="118"/>
      <c r="Y392" s="352"/>
      <c r="Z392" s="118"/>
      <c r="AA392" s="132">
        <v>20000000</v>
      </c>
      <c r="AB392" s="118"/>
      <c r="AC392" s="118"/>
      <c r="AD392" s="213">
        <f>+Q392+R392+S392+T392+U392+V392+W392+X392+Y392+Z392+AA392+AB392+AC392</f>
        <v>20000000</v>
      </c>
      <c r="AE392" s="120" t="s">
        <v>929</v>
      </c>
      <c r="AF392" s="546" t="s">
        <v>930</v>
      </c>
      <c r="AG392" s="1"/>
    </row>
    <row r="393" spans="1:89" ht="96.75" customHeight="1" x14ac:dyDescent="0.2">
      <c r="A393" s="103"/>
      <c r="B393" s="104"/>
      <c r="C393" s="104"/>
      <c r="D393" s="104"/>
      <c r="E393" s="461"/>
      <c r="F393" s="457"/>
      <c r="G393" s="140" t="s">
        <v>931</v>
      </c>
      <c r="H393" s="461">
        <v>1906022</v>
      </c>
      <c r="I393" s="193" t="s">
        <v>1112</v>
      </c>
      <c r="J393" s="171">
        <v>190602200</v>
      </c>
      <c r="K393" s="220" t="s">
        <v>1113</v>
      </c>
      <c r="L393" s="466" t="s">
        <v>57</v>
      </c>
      <c r="M393" s="470">
        <v>1</v>
      </c>
      <c r="N393" s="1523"/>
      <c r="O393" s="1519"/>
      <c r="P393" s="1519"/>
      <c r="Q393" s="118"/>
      <c r="R393" s="118"/>
      <c r="S393" s="118"/>
      <c r="T393" s="118"/>
      <c r="U393" s="118"/>
      <c r="V393" s="336"/>
      <c r="W393" s="118"/>
      <c r="X393" s="118"/>
      <c r="Y393" s="352"/>
      <c r="Z393" s="118"/>
      <c r="AA393" s="132">
        <v>20000000</v>
      </c>
      <c r="AB393" s="118"/>
      <c r="AC393" s="118"/>
      <c r="AD393" s="213">
        <f>+Q393+R393+S393+T393+U393+V393+W393+X393+Y393+Z393+AA393+AB393+AC393</f>
        <v>20000000</v>
      </c>
      <c r="AE393" s="120" t="s">
        <v>929</v>
      </c>
      <c r="AF393" s="546" t="s">
        <v>930</v>
      </c>
      <c r="AG393" s="1"/>
    </row>
    <row r="394" spans="1:89" ht="94.5" customHeight="1" x14ac:dyDescent="0.2">
      <c r="A394" s="103"/>
      <c r="B394" s="104"/>
      <c r="C394" s="104"/>
      <c r="D394" s="104"/>
      <c r="E394" s="461"/>
      <c r="F394" s="457"/>
      <c r="G394" s="140" t="s">
        <v>1092</v>
      </c>
      <c r="H394" s="1349">
        <v>1906023</v>
      </c>
      <c r="I394" s="1258" t="s">
        <v>1095</v>
      </c>
      <c r="J394" s="1350">
        <v>190602301</v>
      </c>
      <c r="K394" s="220" t="s">
        <v>1115</v>
      </c>
      <c r="L394" s="466" t="s">
        <v>45</v>
      </c>
      <c r="M394" s="470">
        <v>40</v>
      </c>
      <c r="N394" s="1523"/>
      <c r="O394" s="1519"/>
      <c r="P394" s="1519"/>
      <c r="Q394" s="118"/>
      <c r="R394" s="118"/>
      <c r="S394" s="118"/>
      <c r="T394" s="118"/>
      <c r="U394" s="118"/>
      <c r="V394" s="336"/>
      <c r="W394" s="118"/>
      <c r="X394" s="118"/>
      <c r="Y394" s="352"/>
      <c r="Z394" s="118"/>
      <c r="AA394" s="132">
        <v>20000000</v>
      </c>
      <c r="AB394" s="118"/>
      <c r="AC394" s="118"/>
      <c r="AD394" s="213">
        <f>+Q394+R394+S394+T394+U394+V394+W394+X394+Y394+Z394+AA394+AB394+AC394</f>
        <v>20000000</v>
      </c>
      <c r="AE394" s="120" t="s">
        <v>929</v>
      </c>
      <c r="AF394" s="546" t="s">
        <v>930</v>
      </c>
      <c r="AG394" s="1"/>
    </row>
    <row r="395" spans="1:89" s="442" customFormat="1" ht="28.5" customHeight="1" x14ac:dyDescent="0.2">
      <c r="A395" s="597"/>
      <c r="B395" s="598"/>
      <c r="C395" s="598"/>
      <c r="D395" s="598"/>
      <c r="E395" s="599"/>
      <c r="F395" s="600"/>
      <c r="G395" s="601"/>
      <c r="H395" s="599"/>
      <c r="I395" s="601"/>
      <c r="J395" s="602"/>
      <c r="K395" s="603"/>
      <c r="L395" s="600"/>
      <c r="M395" s="602"/>
      <c r="N395" s="600"/>
      <c r="O395" s="603"/>
      <c r="P395" s="603"/>
      <c r="Q395" s="597"/>
      <c r="R395" s="597"/>
      <c r="S395" s="597"/>
      <c r="T395" s="597"/>
      <c r="U395" s="597"/>
      <c r="V395" s="597"/>
      <c r="W395" s="659"/>
      <c r="X395" s="648"/>
      <c r="Y395" s="597"/>
      <c r="Z395" s="597"/>
      <c r="AA395" s="649"/>
      <c r="AB395" s="597"/>
      <c r="AC395" s="597"/>
      <c r="AD395" s="648"/>
      <c r="AE395" s="648"/>
      <c r="AF395" s="650"/>
      <c r="AG395" s="437"/>
      <c r="AH395" s="437"/>
      <c r="AI395" s="437"/>
      <c r="AJ395" s="437"/>
      <c r="AK395" s="437"/>
      <c r="AL395" s="437"/>
      <c r="AM395" s="437"/>
      <c r="AN395" s="437"/>
      <c r="AO395" s="437"/>
      <c r="AP395" s="437"/>
      <c r="AQ395" s="437"/>
      <c r="AR395" s="437"/>
      <c r="AS395" s="437"/>
      <c r="AT395" s="437"/>
      <c r="AU395" s="437"/>
      <c r="AV395" s="437"/>
      <c r="AW395" s="437"/>
      <c r="AX395" s="437"/>
      <c r="AY395" s="437"/>
      <c r="AZ395" s="437"/>
      <c r="BA395" s="437"/>
      <c r="BB395" s="437"/>
      <c r="BC395" s="437"/>
      <c r="BD395" s="437"/>
      <c r="BE395" s="437"/>
      <c r="BF395" s="437"/>
      <c r="BG395" s="437"/>
      <c r="BH395" s="437"/>
      <c r="BI395" s="437"/>
      <c r="BJ395" s="437"/>
      <c r="BK395" s="437"/>
      <c r="BL395" s="437"/>
      <c r="BM395" s="437"/>
      <c r="BN395" s="437"/>
      <c r="BO395" s="437"/>
      <c r="BP395" s="437"/>
      <c r="BQ395" s="437"/>
      <c r="BR395" s="437"/>
      <c r="BS395" s="437"/>
      <c r="BT395" s="437"/>
      <c r="BU395" s="437"/>
      <c r="BV395" s="437"/>
      <c r="BW395" s="437"/>
      <c r="BX395" s="437"/>
      <c r="BY395" s="437"/>
      <c r="BZ395" s="437"/>
      <c r="CA395" s="437"/>
      <c r="CB395" s="437"/>
      <c r="CC395" s="437"/>
      <c r="CD395" s="437"/>
      <c r="CE395" s="437"/>
      <c r="CF395" s="437"/>
      <c r="CG395" s="437"/>
      <c r="CH395" s="437"/>
      <c r="CI395" s="437"/>
      <c r="CJ395" s="437"/>
      <c r="CK395" s="437"/>
    </row>
    <row r="396" spans="1:89" s="9" customFormat="1" ht="29.25" customHeight="1" x14ac:dyDescent="0.25">
      <c r="A396" s="86" t="s">
        <v>1116</v>
      </c>
      <c r="B396" s="86"/>
      <c r="C396" s="86"/>
      <c r="D396" s="86"/>
      <c r="E396" s="87"/>
      <c r="F396" s="88"/>
      <c r="G396" s="89"/>
      <c r="H396" s="90"/>
      <c r="I396" s="89"/>
      <c r="J396" s="92"/>
      <c r="K396" s="91"/>
      <c r="L396" s="93"/>
      <c r="M396" s="92"/>
      <c r="N396" s="88"/>
      <c r="O396" s="91"/>
      <c r="P396" s="91"/>
      <c r="Q396" s="144">
        <f t="shared" ref="Q396:AD396" si="133">+Q397+Q415+Q423</f>
        <v>0</v>
      </c>
      <c r="R396" s="144">
        <f t="shared" si="133"/>
        <v>0</v>
      </c>
      <c r="S396" s="144">
        <f t="shared" si="133"/>
        <v>0</v>
      </c>
      <c r="T396" s="144">
        <f t="shared" si="133"/>
        <v>0</v>
      </c>
      <c r="U396" s="144">
        <f t="shared" si="133"/>
        <v>0</v>
      </c>
      <c r="V396" s="144">
        <f t="shared" si="133"/>
        <v>0</v>
      </c>
      <c r="W396" s="144">
        <f t="shared" si="133"/>
        <v>0</v>
      </c>
      <c r="X396" s="144">
        <f t="shared" si="133"/>
        <v>0</v>
      </c>
      <c r="Y396" s="144">
        <f t="shared" si="133"/>
        <v>0</v>
      </c>
      <c r="Z396" s="144">
        <f t="shared" si="133"/>
        <v>0</v>
      </c>
      <c r="AA396" s="144">
        <f t="shared" si="133"/>
        <v>896000000</v>
      </c>
      <c r="AB396" s="144">
        <f t="shared" si="133"/>
        <v>0</v>
      </c>
      <c r="AC396" s="144">
        <f t="shared" si="133"/>
        <v>0</v>
      </c>
      <c r="AD396" s="144">
        <f t="shared" si="133"/>
        <v>896000000</v>
      </c>
      <c r="AE396" s="144"/>
      <c r="AF396" s="94"/>
      <c r="AG396" s="8">
        <v>896000000</v>
      </c>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c r="CI396" s="8"/>
      <c r="CJ396" s="8"/>
      <c r="CK396" s="8"/>
    </row>
    <row r="397" spans="1:89" s="9" customFormat="1" ht="21.75" customHeight="1" x14ac:dyDescent="0.25">
      <c r="A397" s="95"/>
      <c r="B397" s="99">
        <v>1</v>
      </c>
      <c r="C397" s="365" t="s">
        <v>134</v>
      </c>
      <c r="D397" s="96"/>
      <c r="E397" s="365" t="s">
        <v>134</v>
      </c>
      <c r="F397" s="365"/>
      <c r="G397" s="365"/>
      <c r="H397" s="97"/>
      <c r="I397" s="489"/>
      <c r="J397" s="99"/>
      <c r="K397" s="98"/>
      <c r="L397" s="100"/>
      <c r="M397" s="99"/>
      <c r="N397" s="101"/>
      <c r="O397" s="98"/>
      <c r="P397" s="98"/>
      <c r="Q397" s="281">
        <f>Q398</f>
        <v>0</v>
      </c>
      <c r="R397" s="281">
        <f t="shared" ref="R397:AC397" si="134">R398</f>
        <v>0</v>
      </c>
      <c r="S397" s="281">
        <f t="shared" si="134"/>
        <v>0</v>
      </c>
      <c r="T397" s="281">
        <f t="shared" si="134"/>
        <v>0</v>
      </c>
      <c r="U397" s="281">
        <f t="shared" si="134"/>
        <v>0</v>
      </c>
      <c r="V397" s="281">
        <f t="shared" si="134"/>
        <v>0</v>
      </c>
      <c r="W397" s="281">
        <f t="shared" si="134"/>
        <v>0</v>
      </c>
      <c r="X397" s="281">
        <f t="shared" si="134"/>
        <v>0</v>
      </c>
      <c r="Y397" s="281">
        <f t="shared" si="134"/>
        <v>0</v>
      </c>
      <c r="Z397" s="281">
        <f t="shared" si="134"/>
        <v>0</v>
      </c>
      <c r="AA397" s="281">
        <f t="shared" si="134"/>
        <v>520000000</v>
      </c>
      <c r="AB397" s="281">
        <f t="shared" si="134"/>
        <v>0</v>
      </c>
      <c r="AC397" s="281">
        <f t="shared" si="134"/>
        <v>0</v>
      </c>
      <c r="AD397" s="281">
        <f>AD398</f>
        <v>520000000</v>
      </c>
      <c r="AE397" s="281"/>
      <c r="AF397" s="549"/>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c r="CI397" s="8"/>
      <c r="CJ397" s="8"/>
      <c r="CK397" s="8"/>
    </row>
    <row r="398" spans="1:89" s="9" customFormat="1" ht="27.75" customHeight="1" x14ac:dyDescent="0.25">
      <c r="A398" s="95"/>
      <c r="B398" s="576"/>
      <c r="C398" s="593">
        <v>23</v>
      </c>
      <c r="D398" s="578" t="s">
        <v>1314</v>
      </c>
      <c r="E398" s="592"/>
      <c r="F398" s="579"/>
      <c r="G398" s="580"/>
      <c r="H398" s="581"/>
      <c r="I398" s="582"/>
      <c r="J398" s="583"/>
      <c r="K398" s="584"/>
      <c r="L398" s="585"/>
      <c r="M398" s="583"/>
      <c r="N398" s="587"/>
      <c r="O398" s="588"/>
      <c r="P398" s="588"/>
      <c r="Q398" s="589">
        <f>Q399+Q409</f>
        <v>0</v>
      </c>
      <c r="R398" s="589">
        <f t="shared" ref="R398:AD398" si="135">R399+R409</f>
        <v>0</v>
      </c>
      <c r="S398" s="589">
        <f t="shared" si="135"/>
        <v>0</v>
      </c>
      <c r="T398" s="589">
        <f t="shared" si="135"/>
        <v>0</v>
      </c>
      <c r="U398" s="589">
        <f t="shared" si="135"/>
        <v>0</v>
      </c>
      <c r="V398" s="589">
        <f t="shared" si="135"/>
        <v>0</v>
      </c>
      <c r="W398" s="589">
        <f t="shared" si="135"/>
        <v>0</v>
      </c>
      <c r="X398" s="589">
        <f t="shared" si="135"/>
        <v>0</v>
      </c>
      <c r="Y398" s="589">
        <f t="shared" si="135"/>
        <v>0</v>
      </c>
      <c r="Z398" s="589">
        <f t="shared" si="135"/>
        <v>0</v>
      </c>
      <c r="AA398" s="589">
        <f t="shared" si="135"/>
        <v>520000000</v>
      </c>
      <c r="AB398" s="589">
        <f t="shared" si="135"/>
        <v>0</v>
      </c>
      <c r="AC398" s="589">
        <f t="shared" si="135"/>
        <v>0</v>
      </c>
      <c r="AD398" s="589">
        <f t="shared" si="135"/>
        <v>520000000</v>
      </c>
      <c r="AE398" s="589"/>
      <c r="AF398" s="590"/>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c r="CI398" s="8"/>
      <c r="CJ398" s="8"/>
      <c r="CK398" s="8"/>
    </row>
    <row r="399" spans="1:89" s="9" customFormat="1" ht="35.25" customHeight="1" x14ac:dyDescent="0.25">
      <c r="A399" s="95"/>
      <c r="B399" s="104"/>
      <c r="C399" s="104"/>
      <c r="D399" s="104"/>
      <c r="E399" s="105">
        <v>2301</v>
      </c>
      <c r="F399" s="471" t="s">
        <v>1117</v>
      </c>
      <c r="G399" s="472"/>
      <c r="H399" s="472"/>
      <c r="I399" s="473"/>
      <c r="J399" s="105"/>
      <c r="K399" s="572"/>
      <c r="L399" s="108"/>
      <c r="M399" s="105"/>
      <c r="N399" s="109"/>
      <c r="O399" s="572"/>
      <c r="P399" s="572"/>
      <c r="Q399" s="110">
        <f>SUM(Q400:Q408)</f>
        <v>0</v>
      </c>
      <c r="R399" s="110">
        <f t="shared" ref="R399:AD399" si="136">SUM(R400:R408)</f>
        <v>0</v>
      </c>
      <c r="S399" s="110">
        <f t="shared" si="136"/>
        <v>0</v>
      </c>
      <c r="T399" s="110">
        <f t="shared" si="136"/>
        <v>0</v>
      </c>
      <c r="U399" s="110">
        <f t="shared" si="136"/>
        <v>0</v>
      </c>
      <c r="V399" s="110">
        <f t="shared" si="136"/>
        <v>0</v>
      </c>
      <c r="W399" s="110">
        <f t="shared" si="136"/>
        <v>0</v>
      </c>
      <c r="X399" s="110">
        <f t="shared" si="136"/>
        <v>0</v>
      </c>
      <c r="Y399" s="110">
        <f t="shared" si="136"/>
        <v>0</v>
      </c>
      <c r="Z399" s="110">
        <f t="shared" si="136"/>
        <v>0</v>
      </c>
      <c r="AA399" s="110">
        <f t="shared" si="136"/>
        <v>374000000</v>
      </c>
      <c r="AB399" s="110">
        <f t="shared" si="136"/>
        <v>0</v>
      </c>
      <c r="AC399" s="110">
        <f t="shared" si="136"/>
        <v>0</v>
      </c>
      <c r="AD399" s="110">
        <f t="shared" si="136"/>
        <v>374000000</v>
      </c>
      <c r="AE399" s="110">
        <f>SUM(AE400:AE408)</f>
        <v>0</v>
      </c>
      <c r="AF399" s="544">
        <f>SUM(AF400:AF408)</f>
        <v>0</v>
      </c>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c r="CI399" s="8"/>
      <c r="CJ399" s="8"/>
      <c r="CK399" s="8"/>
    </row>
    <row r="400" spans="1:89" ht="75" customHeight="1" x14ac:dyDescent="0.2">
      <c r="A400" s="103"/>
      <c r="B400" s="104"/>
      <c r="C400" s="104"/>
      <c r="D400" s="104"/>
      <c r="E400" s="111"/>
      <c r="F400" s="457"/>
      <c r="G400" s="193" t="s">
        <v>1118</v>
      </c>
      <c r="H400" s="1504">
        <v>2301024</v>
      </c>
      <c r="I400" s="1503" t="s">
        <v>1119</v>
      </c>
      <c r="J400" s="171">
        <v>230102401</v>
      </c>
      <c r="K400" s="192" t="s">
        <v>1120</v>
      </c>
      <c r="L400" s="457" t="s">
        <v>45</v>
      </c>
      <c r="M400" s="470">
        <v>15</v>
      </c>
      <c r="N400" s="1551" t="s">
        <v>1121</v>
      </c>
      <c r="O400" s="1546" t="s">
        <v>1122</v>
      </c>
      <c r="P400" s="1546" t="s">
        <v>1123</v>
      </c>
      <c r="Q400" s="118"/>
      <c r="R400" s="118"/>
      <c r="S400" s="118"/>
      <c r="T400" s="120"/>
      <c r="U400" s="120"/>
      <c r="V400" s="343"/>
      <c r="W400" s="120"/>
      <c r="X400" s="120"/>
      <c r="Y400" s="359"/>
      <c r="Z400" s="120"/>
      <c r="AA400" s="120">
        <v>18000000</v>
      </c>
      <c r="AB400" s="120"/>
      <c r="AC400" s="120"/>
      <c r="AD400" s="120">
        <f>+Q400+R400+S400+T400+U400+V400+W400+X400+Y400+Z400+AA400+AB400+AC400</f>
        <v>18000000</v>
      </c>
      <c r="AE400" s="120" t="s">
        <v>1124</v>
      </c>
      <c r="AF400" s="546" t="s">
        <v>1125</v>
      </c>
      <c r="AG400" s="1"/>
    </row>
    <row r="401" spans="1:89" ht="75" customHeight="1" x14ac:dyDescent="0.2">
      <c r="A401" s="103"/>
      <c r="B401" s="104"/>
      <c r="C401" s="104"/>
      <c r="D401" s="104"/>
      <c r="E401" s="111"/>
      <c r="F401" s="457"/>
      <c r="G401" s="193"/>
      <c r="H401" s="1504"/>
      <c r="I401" s="1503"/>
      <c r="J401" s="171">
        <v>230102404</v>
      </c>
      <c r="K401" s="192" t="s">
        <v>1126</v>
      </c>
      <c r="L401" s="178" t="s">
        <v>57</v>
      </c>
      <c r="M401" s="470">
        <v>3</v>
      </c>
      <c r="N401" s="1551"/>
      <c r="O401" s="1546"/>
      <c r="P401" s="1546"/>
      <c r="Q401" s="118"/>
      <c r="R401" s="118"/>
      <c r="S401" s="118"/>
      <c r="T401" s="120"/>
      <c r="U401" s="120"/>
      <c r="V401" s="343"/>
      <c r="W401" s="120"/>
      <c r="X401" s="120"/>
      <c r="Y401" s="359"/>
      <c r="Z401" s="120"/>
      <c r="AA401" s="120">
        <v>100000000</v>
      </c>
      <c r="AB401" s="120"/>
      <c r="AC401" s="120"/>
      <c r="AD401" s="120">
        <f t="shared" ref="AD401:AD408" si="137">+Q401+R401+S401+T401+U401+V401+W401+X401+Y401+Z401+AA401+AB401+AC401</f>
        <v>100000000</v>
      </c>
      <c r="AE401" s="120" t="s">
        <v>1124</v>
      </c>
      <c r="AF401" s="546" t="s">
        <v>1125</v>
      </c>
      <c r="AG401" s="1"/>
    </row>
    <row r="402" spans="1:89" ht="103.5" customHeight="1" x14ac:dyDescent="0.2">
      <c r="A402" s="103"/>
      <c r="B402" s="104"/>
      <c r="C402" s="104"/>
      <c r="D402" s="104"/>
      <c r="E402" s="111"/>
      <c r="F402" s="457"/>
      <c r="G402" s="193" t="s">
        <v>1118</v>
      </c>
      <c r="H402" s="461">
        <v>2301079</v>
      </c>
      <c r="I402" s="193" t="s">
        <v>1127</v>
      </c>
      <c r="J402" s="171">
        <v>230107902</v>
      </c>
      <c r="K402" s="192" t="s">
        <v>1128</v>
      </c>
      <c r="L402" s="457" t="s">
        <v>57</v>
      </c>
      <c r="M402" s="470">
        <v>13</v>
      </c>
      <c r="N402" s="1551"/>
      <c r="O402" s="1546"/>
      <c r="P402" s="1546"/>
      <c r="Q402" s="118"/>
      <c r="R402" s="118"/>
      <c r="S402" s="118"/>
      <c r="T402" s="120"/>
      <c r="U402" s="120"/>
      <c r="V402" s="343"/>
      <c r="W402" s="120"/>
      <c r="X402" s="120"/>
      <c r="Y402" s="359"/>
      <c r="Z402" s="120"/>
      <c r="AA402" s="120">
        <v>80000000</v>
      </c>
      <c r="AB402" s="120"/>
      <c r="AC402" s="120"/>
      <c r="AD402" s="120">
        <f t="shared" si="137"/>
        <v>80000000</v>
      </c>
      <c r="AE402" s="120" t="s">
        <v>1124</v>
      </c>
      <c r="AF402" s="546" t="s">
        <v>1125</v>
      </c>
      <c r="AG402" s="1"/>
    </row>
    <row r="403" spans="1:89" ht="96.75" customHeight="1" x14ac:dyDescent="0.2">
      <c r="A403" s="103"/>
      <c r="B403" s="104"/>
      <c r="C403" s="104"/>
      <c r="D403" s="104"/>
      <c r="E403" s="111"/>
      <c r="F403" s="457"/>
      <c r="G403" s="193" t="s">
        <v>1118</v>
      </c>
      <c r="H403" s="461">
        <v>2301062</v>
      </c>
      <c r="I403" s="193" t="s">
        <v>1129</v>
      </c>
      <c r="J403" s="171">
        <v>230106201</v>
      </c>
      <c r="K403" s="192" t="s">
        <v>1130</v>
      </c>
      <c r="L403" s="178" t="s">
        <v>1131</v>
      </c>
      <c r="M403" s="470">
        <v>9</v>
      </c>
      <c r="N403" s="1551"/>
      <c r="O403" s="1546"/>
      <c r="P403" s="1546"/>
      <c r="Q403" s="118"/>
      <c r="R403" s="118"/>
      <c r="S403" s="118"/>
      <c r="T403" s="120"/>
      <c r="U403" s="120"/>
      <c r="V403" s="343"/>
      <c r="W403" s="120"/>
      <c r="X403" s="120"/>
      <c r="Y403" s="359"/>
      <c r="Z403" s="120"/>
      <c r="AA403" s="120">
        <v>50000000</v>
      </c>
      <c r="AB403" s="120"/>
      <c r="AC403" s="120"/>
      <c r="AD403" s="120">
        <f t="shared" si="137"/>
        <v>50000000</v>
      </c>
      <c r="AE403" s="120" t="s">
        <v>1124</v>
      </c>
      <c r="AF403" s="546" t="s">
        <v>1125</v>
      </c>
      <c r="AG403" s="1"/>
    </row>
    <row r="404" spans="1:89" ht="102" customHeight="1" x14ac:dyDescent="0.2">
      <c r="A404" s="103"/>
      <c r="B404" s="104"/>
      <c r="C404" s="104"/>
      <c r="D404" s="104"/>
      <c r="E404" s="111"/>
      <c r="F404" s="457"/>
      <c r="G404" s="193" t="s">
        <v>1132</v>
      </c>
      <c r="H404" s="461">
        <v>2301030</v>
      </c>
      <c r="I404" s="193" t="s">
        <v>1133</v>
      </c>
      <c r="J404" s="171">
        <v>230103000</v>
      </c>
      <c r="K404" s="192" t="s">
        <v>1134</v>
      </c>
      <c r="L404" s="457" t="s">
        <v>57</v>
      </c>
      <c r="M404" s="470">
        <v>2500</v>
      </c>
      <c r="N404" s="1549" t="s">
        <v>1135</v>
      </c>
      <c r="O404" s="1554" t="s">
        <v>1136</v>
      </c>
      <c r="P404" s="1548" t="s">
        <v>1137</v>
      </c>
      <c r="Q404" s="118"/>
      <c r="R404" s="118"/>
      <c r="S404" s="118"/>
      <c r="T404" s="120"/>
      <c r="U404" s="120"/>
      <c r="V404" s="343"/>
      <c r="W404" s="120"/>
      <c r="X404" s="120"/>
      <c r="Y404" s="359"/>
      <c r="Z404" s="120"/>
      <c r="AA404" s="120">
        <v>36000000</v>
      </c>
      <c r="AB404" s="120"/>
      <c r="AC404" s="120"/>
      <c r="AD404" s="120">
        <f t="shared" si="137"/>
        <v>36000000</v>
      </c>
      <c r="AE404" s="120" t="s">
        <v>1124</v>
      </c>
      <c r="AF404" s="546" t="s">
        <v>1125</v>
      </c>
      <c r="AG404" s="1"/>
    </row>
    <row r="405" spans="1:89" ht="91.5" customHeight="1" x14ac:dyDescent="0.2">
      <c r="A405" s="103"/>
      <c r="B405" s="104"/>
      <c r="C405" s="104"/>
      <c r="D405" s="104"/>
      <c r="E405" s="111"/>
      <c r="F405" s="457"/>
      <c r="G405" s="193" t="s">
        <v>1132</v>
      </c>
      <c r="H405" s="461">
        <v>2301015</v>
      </c>
      <c r="I405" s="193" t="s">
        <v>1138</v>
      </c>
      <c r="J405" s="171">
        <v>230101500</v>
      </c>
      <c r="K405" s="192" t="s">
        <v>1139</v>
      </c>
      <c r="L405" s="457" t="s">
        <v>45</v>
      </c>
      <c r="M405" s="470">
        <v>3</v>
      </c>
      <c r="N405" s="1549"/>
      <c r="O405" s="1554"/>
      <c r="P405" s="1548"/>
      <c r="Q405" s="118"/>
      <c r="R405" s="118"/>
      <c r="S405" s="118"/>
      <c r="T405" s="120"/>
      <c r="U405" s="120"/>
      <c r="V405" s="343"/>
      <c r="W405" s="120"/>
      <c r="X405" s="120"/>
      <c r="Y405" s="359"/>
      <c r="Z405" s="120"/>
      <c r="AA405" s="120">
        <v>18000000</v>
      </c>
      <c r="AB405" s="120"/>
      <c r="AC405" s="120"/>
      <c r="AD405" s="120">
        <f t="shared" si="137"/>
        <v>18000000</v>
      </c>
      <c r="AE405" s="120" t="s">
        <v>1124</v>
      </c>
      <c r="AF405" s="546" t="s">
        <v>1125</v>
      </c>
      <c r="AG405" s="1"/>
    </row>
    <row r="406" spans="1:89" ht="99.75" customHeight="1" x14ac:dyDescent="0.2">
      <c r="A406" s="103"/>
      <c r="B406" s="104"/>
      <c r="C406" s="104"/>
      <c r="D406" s="104"/>
      <c r="E406" s="111"/>
      <c r="F406" s="457"/>
      <c r="G406" s="193" t="s">
        <v>1132</v>
      </c>
      <c r="H406" s="461">
        <v>2301004</v>
      </c>
      <c r="I406" s="193" t="s">
        <v>63</v>
      </c>
      <c r="J406" s="171">
        <v>230100400</v>
      </c>
      <c r="K406" s="192" t="s">
        <v>216</v>
      </c>
      <c r="L406" s="457" t="s">
        <v>45</v>
      </c>
      <c r="M406" s="470">
        <v>1</v>
      </c>
      <c r="N406" s="1549"/>
      <c r="O406" s="1554"/>
      <c r="P406" s="1548"/>
      <c r="Q406" s="118"/>
      <c r="R406" s="118"/>
      <c r="S406" s="118"/>
      <c r="T406" s="120"/>
      <c r="U406" s="120"/>
      <c r="V406" s="343"/>
      <c r="W406" s="120"/>
      <c r="X406" s="120"/>
      <c r="Y406" s="359"/>
      <c r="Z406" s="120"/>
      <c r="AA406" s="120">
        <v>18000000</v>
      </c>
      <c r="AB406" s="120"/>
      <c r="AC406" s="120"/>
      <c r="AD406" s="120">
        <f t="shared" si="137"/>
        <v>18000000</v>
      </c>
      <c r="AE406" s="120" t="s">
        <v>1124</v>
      </c>
      <c r="AF406" s="546" t="s">
        <v>1125</v>
      </c>
      <c r="AG406" s="1"/>
    </row>
    <row r="407" spans="1:89" ht="103.5" customHeight="1" x14ac:dyDescent="0.2">
      <c r="A407" s="103"/>
      <c r="B407" s="104"/>
      <c r="C407" s="104"/>
      <c r="D407" s="104"/>
      <c r="E407" s="111"/>
      <c r="F407" s="457"/>
      <c r="G407" s="193" t="s">
        <v>1132</v>
      </c>
      <c r="H407" s="461">
        <v>2301035</v>
      </c>
      <c r="I407" s="193" t="s">
        <v>1140</v>
      </c>
      <c r="J407" s="171">
        <v>230103500</v>
      </c>
      <c r="K407" s="192" t="s">
        <v>1141</v>
      </c>
      <c r="L407" s="457" t="s">
        <v>57</v>
      </c>
      <c r="M407" s="470">
        <v>20</v>
      </c>
      <c r="N407" s="1549"/>
      <c r="O407" s="1554"/>
      <c r="P407" s="1548"/>
      <c r="Q407" s="118"/>
      <c r="R407" s="118"/>
      <c r="S407" s="118"/>
      <c r="T407" s="120"/>
      <c r="U407" s="120"/>
      <c r="V407" s="343"/>
      <c r="W407" s="120"/>
      <c r="X407" s="120"/>
      <c r="Y407" s="359"/>
      <c r="Z407" s="120"/>
      <c r="AA407" s="120">
        <v>36000000</v>
      </c>
      <c r="AB407" s="120"/>
      <c r="AC407" s="120"/>
      <c r="AD407" s="120">
        <f t="shared" si="137"/>
        <v>36000000</v>
      </c>
      <c r="AE407" s="120" t="s">
        <v>1124</v>
      </c>
      <c r="AF407" s="546" t="s">
        <v>1125</v>
      </c>
      <c r="AG407" s="1"/>
    </row>
    <row r="408" spans="1:89" ht="103.5" customHeight="1" x14ac:dyDescent="0.2">
      <c r="A408" s="103"/>
      <c r="B408" s="104"/>
      <c r="C408" s="104"/>
      <c r="D408" s="104"/>
      <c r="E408" s="111"/>
      <c r="F408" s="457"/>
      <c r="G408" s="193" t="s">
        <v>1132</v>
      </c>
      <c r="H408" s="461">
        <v>2301042</v>
      </c>
      <c r="I408" s="193" t="s">
        <v>1142</v>
      </c>
      <c r="J408" s="171">
        <v>230104201</v>
      </c>
      <c r="K408" s="192" t="s">
        <v>1143</v>
      </c>
      <c r="L408" s="457" t="s">
        <v>45</v>
      </c>
      <c r="M408" s="470">
        <v>1</v>
      </c>
      <c r="N408" s="1549"/>
      <c r="O408" s="1554"/>
      <c r="P408" s="1548"/>
      <c r="Q408" s="118"/>
      <c r="R408" s="118"/>
      <c r="S408" s="118"/>
      <c r="T408" s="120"/>
      <c r="U408" s="120"/>
      <c r="V408" s="343"/>
      <c r="W408" s="120"/>
      <c r="X408" s="120"/>
      <c r="Y408" s="359"/>
      <c r="Z408" s="120"/>
      <c r="AA408" s="120">
        <v>18000000</v>
      </c>
      <c r="AB408" s="120"/>
      <c r="AC408" s="120"/>
      <c r="AD408" s="120">
        <f t="shared" si="137"/>
        <v>18000000</v>
      </c>
      <c r="AE408" s="120" t="s">
        <v>1124</v>
      </c>
      <c r="AF408" s="546" t="s">
        <v>1125</v>
      </c>
      <c r="AG408" s="1"/>
    </row>
    <row r="409" spans="1:89" s="9" customFormat="1" ht="63" customHeight="1" x14ac:dyDescent="0.25">
      <c r="A409" s="95"/>
      <c r="B409" s="104"/>
      <c r="C409" s="104"/>
      <c r="D409" s="104"/>
      <c r="E409" s="105">
        <v>2302</v>
      </c>
      <c r="F409" s="1512" t="s">
        <v>1144</v>
      </c>
      <c r="G409" s="1513"/>
      <c r="H409" s="1513"/>
      <c r="I409" s="1514"/>
      <c r="J409" s="74"/>
      <c r="K409" s="70"/>
      <c r="L409" s="108"/>
      <c r="M409" s="74"/>
      <c r="N409" s="109"/>
      <c r="O409" s="70"/>
      <c r="P409" s="70"/>
      <c r="Q409" s="110">
        <f>SUM(Q410:Q414)</f>
        <v>0</v>
      </c>
      <c r="R409" s="110">
        <f t="shared" ref="R409:AD409" si="138">SUM(R410:R414)</f>
        <v>0</v>
      </c>
      <c r="S409" s="110">
        <f t="shared" si="138"/>
        <v>0</v>
      </c>
      <c r="T409" s="110">
        <f t="shared" si="138"/>
        <v>0</v>
      </c>
      <c r="U409" s="110">
        <f t="shared" si="138"/>
        <v>0</v>
      </c>
      <c r="V409" s="110">
        <f t="shared" si="138"/>
        <v>0</v>
      </c>
      <c r="W409" s="110">
        <f t="shared" si="138"/>
        <v>0</v>
      </c>
      <c r="X409" s="110">
        <f t="shared" si="138"/>
        <v>0</v>
      </c>
      <c r="Y409" s="110">
        <f t="shared" si="138"/>
        <v>0</v>
      </c>
      <c r="Z409" s="110">
        <f t="shared" si="138"/>
        <v>0</v>
      </c>
      <c r="AA409" s="110">
        <f t="shared" si="138"/>
        <v>146000000</v>
      </c>
      <c r="AB409" s="110">
        <f t="shared" si="138"/>
        <v>0</v>
      </c>
      <c r="AC409" s="110">
        <f t="shared" si="138"/>
        <v>0</v>
      </c>
      <c r="AD409" s="110">
        <f t="shared" si="138"/>
        <v>146000000</v>
      </c>
      <c r="AE409" s="110">
        <f>SUM(AE410:AE414)</f>
        <v>0</v>
      </c>
      <c r="AF409" s="544">
        <f>SUM(AF410:AF414)</f>
        <v>0</v>
      </c>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c r="CI409" s="8"/>
      <c r="CJ409" s="8"/>
      <c r="CK409" s="8"/>
    </row>
    <row r="410" spans="1:89" ht="104.25" customHeight="1" x14ac:dyDescent="0.2">
      <c r="A410" s="103"/>
      <c r="B410" s="104"/>
      <c r="C410" s="104"/>
      <c r="D410" s="104"/>
      <c r="E410" s="111"/>
      <c r="F410" s="457"/>
      <c r="G410" s="193" t="s">
        <v>1118</v>
      </c>
      <c r="H410" s="461">
        <v>2302042</v>
      </c>
      <c r="I410" s="193" t="s">
        <v>1145</v>
      </c>
      <c r="J410" s="171">
        <v>230204200</v>
      </c>
      <c r="K410" s="192" t="s">
        <v>1146</v>
      </c>
      <c r="L410" s="457" t="s">
        <v>57</v>
      </c>
      <c r="M410" s="470">
        <v>1</v>
      </c>
      <c r="N410" s="1545" t="s">
        <v>1147</v>
      </c>
      <c r="O410" s="1503" t="s">
        <v>1148</v>
      </c>
      <c r="P410" s="1503" t="s">
        <v>1149</v>
      </c>
      <c r="Q410" s="118"/>
      <c r="R410" s="118"/>
      <c r="S410" s="118"/>
      <c r="T410" s="120"/>
      <c r="U410" s="120"/>
      <c r="V410" s="343"/>
      <c r="W410" s="120"/>
      <c r="X410" s="120"/>
      <c r="Y410" s="359"/>
      <c r="Z410" s="120"/>
      <c r="AA410" s="120">
        <v>20000000</v>
      </c>
      <c r="AB410" s="120"/>
      <c r="AC410" s="120"/>
      <c r="AD410" s="120">
        <f>+Q410+R410+S410+T410+U410+V410+W410+X410+Y410+Z410+AA410+AB410+AC410</f>
        <v>20000000</v>
      </c>
      <c r="AE410" s="120" t="s">
        <v>1124</v>
      </c>
      <c r="AF410" s="546" t="s">
        <v>1125</v>
      </c>
      <c r="AG410" s="1"/>
    </row>
    <row r="411" spans="1:89" ht="84" customHeight="1" x14ac:dyDescent="0.2">
      <c r="A411" s="103"/>
      <c r="B411" s="104"/>
      <c r="C411" s="104"/>
      <c r="D411" s="104"/>
      <c r="E411" s="111"/>
      <c r="F411" s="457"/>
      <c r="G411" s="193" t="s">
        <v>1118</v>
      </c>
      <c r="H411" s="461">
        <v>2302022</v>
      </c>
      <c r="I411" s="193" t="s">
        <v>1150</v>
      </c>
      <c r="J411" s="171">
        <v>230202200</v>
      </c>
      <c r="K411" s="192" t="s">
        <v>1151</v>
      </c>
      <c r="L411" s="457" t="s">
        <v>57</v>
      </c>
      <c r="M411" s="470">
        <v>20</v>
      </c>
      <c r="N411" s="1545"/>
      <c r="O411" s="1503"/>
      <c r="P411" s="1503"/>
      <c r="Q411" s="118"/>
      <c r="R411" s="118"/>
      <c r="S411" s="118"/>
      <c r="T411" s="120"/>
      <c r="U411" s="120"/>
      <c r="V411" s="343"/>
      <c r="W411" s="120"/>
      <c r="X411" s="120"/>
      <c r="Y411" s="359"/>
      <c r="Z411" s="120"/>
      <c r="AA411" s="120">
        <v>36000000</v>
      </c>
      <c r="AB411" s="120"/>
      <c r="AC411" s="120"/>
      <c r="AD411" s="120">
        <f>+Q411+R411+S411+T411+U411+V411+W411+X411+Y411+Z411+AA411+AB411+AC411</f>
        <v>36000000</v>
      </c>
      <c r="AE411" s="120" t="s">
        <v>1124</v>
      </c>
      <c r="AF411" s="546" t="s">
        <v>1125</v>
      </c>
      <c r="AG411" s="1"/>
    </row>
    <row r="412" spans="1:89" s="4" customFormat="1" ht="84" customHeight="1" x14ac:dyDescent="0.2">
      <c r="A412" s="203"/>
      <c r="B412" s="258"/>
      <c r="C412" s="258"/>
      <c r="D412" s="258"/>
      <c r="E412" s="209"/>
      <c r="F412" s="178"/>
      <c r="G412" s="205" t="s">
        <v>1132</v>
      </c>
      <c r="H412" s="135">
        <v>2302021</v>
      </c>
      <c r="I412" s="205" t="s">
        <v>1152</v>
      </c>
      <c r="J412" s="75">
        <v>230202100</v>
      </c>
      <c r="K412" s="173" t="s">
        <v>1153</v>
      </c>
      <c r="L412" s="178" t="s">
        <v>57</v>
      </c>
      <c r="M412" s="470">
        <v>8</v>
      </c>
      <c r="N412" s="1545"/>
      <c r="O412" s="1503"/>
      <c r="P412" s="1503"/>
      <c r="Q412" s="212"/>
      <c r="R412" s="212"/>
      <c r="S412" s="212"/>
      <c r="T412" s="213"/>
      <c r="U412" s="213"/>
      <c r="V412" s="344"/>
      <c r="W412" s="213"/>
      <c r="X412" s="213"/>
      <c r="Y412" s="360"/>
      <c r="Z412" s="213"/>
      <c r="AA412" s="213">
        <v>50000000</v>
      </c>
      <c r="AB412" s="213"/>
      <c r="AC412" s="213"/>
      <c r="AD412" s="213">
        <f>+Q412+R412+S412+T412+U412+V412+W412+X412+Y412+Z412+AA412+AB412+AC412</f>
        <v>50000000</v>
      </c>
      <c r="AE412" s="120" t="s">
        <v>1124</v>
      </c>
      <c r="AF412" s="546" t="s">
        <v>1125</v>
      </c>
    </row>
    <row r="413" spans="1:89" ht="114" customHeight="1" x14ac:dyDescent="0.2">
      <c r="A413" s="103"/>
      <c r="B413" s="104"/>
      <c r="C413" s="104"/>
      <c r="D413" s="104"/>
      <c r="E413" s="111"/>
      <c r="F413" s="457"/>
      <c r="G413" s="193" t="s">
        <v>1154</v>
      </c>
      <c r="H413" s="461">
        <v>2302058</v>
      </c>
      <c r="I413" s="193" t="s">
        <v>1155</v>
      </c>
      <c r="J413" s="171">
        <v>230205800</v>
      </c>
      <c r="K413" s="192" t="s">
        <v>1156</v>
      </c>
      <c r="L413" s="457" t="s">
        <v>57</v>
      </c>
      <c r="M413" s="470">
        <v>300</v>
      </c>
      <c r="N413" s="1545"/>
      <c r="O413" s="1503"/>
      <c r="P413" s="1503"/>
      <c r="Q413" s="118"/>
      <c r="R413" s="118"/>
      <c r="S413" s="118"/>
      <c r="T413" s="120"/>
      <c r="U413" s="120"/>
      <c r="V413" s="343"/>
      <c r="W413" s="120"/>
      <c r="X413" s="120"/>
      <c r="Y413" s="359"/>
      <c r="Z413" s="120"/>
      <c r="AA413" s="120">
        <v>20000000</v>
      </c>
      <c r="AB413" s="120"/>
      <c r="AC413" s="120"/>
      <c r="AD413" s="120">
        <f>+Q413+R413+S413+T413+U413+V413+W413+X413+Y413+Z413+AA413+AB413+AC413</f>
        <v>20000000</v>
      </c>
      <c r="AE413" s="120" t="s">
        <v>1124</v>
      </c>
      <c r="AF413" s="546" t="s">
        <v>1125</v>
      </c>
      <c r="AG413" s="1"/>
    </row>
    <row r="414" spans="1:89" ht="112.5" customHeight="1" x14ac:dyDescent="0.2">
      <c r="A414" s="103"/>
      <c r="B414" s="104"/>
      <c r="C414" s="104"/>
      <c r="D414" s="104"/>
      <c r="E414" s="111"/>
      <c r="F414" s="457"/>
      <c r="G414" s="193" t="s">
        <v>1154</v>
      </c>
      <c r="H414" s="461">
        <v>2302068</v>
      </c>
      <c r="I414" s="193" t="s">
        <v>1157</v>
      </c>
      <c r="J414" s="171">
        <v>230206800</v>
      </c>
      <c r="K414" s="192" t="s">
        <v>1158</v>
      </c>
      <c r="L414" s="457" t="s">
        <v>57</v>
      </c>
      <c r="M414" s="470">
        <v>60</v>
      </c>
      <c r="N414" s="1545"/>
      <c r="O414" s="1503"/>
      <c r="P414" s="1503"/>
      <c r="Q414" s="118"/>
      <c r="R414" s="118"/>
      <c r="S414" s="118"/>
      <c r="T414" s="120"/>
      <c r="U414" s="120"/>
      <c r="V414" s="343"/>
      <c r="W414" s="120"/>
      <c r="X414" s="120"/>
      <c r="Y414" s="359"/>
      <c r="Z414" s="120"/>
      <c r="AA414" s="120">
        <v>20000000</v>
      </c>
      <c r="AB414" s="120"/>
      <c r="AC414" s="120"/>
      <c r="AD414" s="120">
        <f>+Q414+R414+S414+T414+U414+V414+W414+X414+Y414+Z414+AA414+AB414+AC414</f>
        <v>20000000</v>
      </c>
      <c r="AE414" s="120" t="s">
        <v>1124</v>
      </c>
      <c r="AF414" s="546" t="s">
        <v>1125</v>
      </c>
      <c r="AG414" s="1"/>
    </row>
    <row r="415" spans="1:89" s="9" customFormat="1" ht="26.25" customHeight="1" x14ac:dyDescent="0.25">
      <c r="A415" s="95"/>
      <c r="B415" s="99">
        <v>2</v>
      </c>
      <c r="C415" s="365" t="s">
        <v>379</v>
      </c>
      <c r="D415" s="96"/>
      <c r="E415" s="365"/>
      <c r="F415" s="365"/>
      <c r="G415" s="365"/>
      <c r="H415" s="97"/>
      <c r="I415" s="489"/>
      <c r="J415" s="99"/>
      <c r="K415" s="98"/>
      <c r="L415" s="100"/>
      <c r="M415" s="99"/>
      <c r="N415" s="101"/>
      <c r="O415" s="98"/>
      <c r="P415" s="98"/>
      <c r="Q415" s="281">
        <f>Q416</f>
        <v>0</v>
      </c>
      <c r="R415" s="281">
        <f t="shared" ref="R415:AC415" si="139">R416</f>
        <v>0</v>
      </c>
      <c r="S415" s="281">
        <f t="shared" si="139"/>
        <v>0</v>
      </c>
      <c r="T415" s="281">
        <f t="shared" si="139"/>
        <v>0</v>
      </c>
      <c r="U415" s="281">
        <f t="shared" si="139"/>
        <v>0</v>
      </c>
      <c r="V415" s="281">
        <f t="shared" si="139"/>
        <v>0</v>
      </c>
      <c r="W415" s="281">
        <f t="shared" si="139"/>
        <v>0</v>
      </c>
      <c r="X415" s="281">
        <f t="shared" si="139"/>
        <v>0</v>
      </c>
      <c r="Y415" s="281">
        <f t="shared" si="139"/>
        <v>0</v>
      </c>
      <c r="Z415" s="281">
        <f t="shared" si="139"/>
        <v>0</v>
      </c>
      <c r="AA415" s="281">
        <f t="shared" si="139"/>
        <v>78000000</v>
      </c>
      <c r="AB415" s="281">
        <f t="shared" si="139"/>
        <v>0</v>
      </c>
      <c r="AC415" s="281">
        <f t="shared" si="139"/>
        <v>0</v>
      </c>
      <c r="AD415" s="281">
        <f>AD416</f>
        <v>78000000</v>
      </c>
      <c r="AE415" s="281"/>
      <c r="AF415" s="549"/>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c r="CI415" s="8"/>
      <c r="CJ415" s="8"/>
      <c r="CK415" s="8"/>
    </row>
    <row r="416" spans="1:89" s="9" customFormat="1" ht="27.75" customHeight="1" x14ac:dyDescent="0.25">
      <c r="A416" s="95"/>
      <c r="B416" s="576"/>
      <c r="C416" s="593">
        <v>39</v>
      </c>
      <c r="D416" s="578" t="s">
        <v>1312</v>
      </c>
      <c r="E416" s="592"/>
      <c r="F416" s="579"/>
      <c r="G416" s="580"/>
      <c r="H416" s="581"/>
      <c r="I416" s="582"/>
      <c r="J416" s="583"/>
      <c r="K416" s="584"/>
      <c r="L416" s="585"/>
      <c r="M416" s="583"/>
      <c r="N416" s="587"/>
      <c r="O416" s="588"/>
      <c r="P416" s="588"/>
      <c r="Q416" s="589">
        <f>Q417+Q421</f>
        <v>0</v>
      </c>
      <c r="R416" s="589">
        <f t="shared" ref="R416:AC416" si="140">R417+R421</f>
        <v>0</v>
      </c>
      <c r="S416" s="589">
        <f t="shared" si="140"/>
        <v>0</v>
      </c>
      <c r="T416" s="589">
        <f t="shared" si="140"/>
        <v>0</v>
      </c>
      <c r="U416" s="589">
        <f t="shared" si="140"/>
        <v>0</v>
      </c>
      <c r="V416" s="589">
        <f t="shared" si="140"/>
        <v>0</v>
      </c>
      <c r="W416" s="589">
        <f t="shared" si="140"/>
        <v>0</v>
      </c>
      <c r="X416" s="589">
        <f t="shared" si="140"/>
        <v>0</v>
      </c>
      <c r="Y416" s="589">
        <f t="shared" si="140"/>
        <v>0</v>
      </c>
      <c r="Z416" s="589">
        <f t="shared" si="140"/>
        <v>0</v>
      </c>
      <c r="AA416" s="589">
        <f t="shared" si="140"/>
        <v>78000000</v>
      </c>
      <c r="AB416" s="589">
        <f t="shared" si="140"/>
        <v>0</v>
      </c>
      <c r="AC416" s="589">
        <f t="shared" si="140"/>
        <v>0</v>
      </c>
      <c r="AD416" s="589">
        <f>AD417+AD421</f>
        <v>78000000</v>
      </c>
      <c r="AE416" s="589"/>
      <c r="AF416" s="590"/>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c r="CI416" s="8"/>
      <c r="CJ416" s="8"/>
      <c r="CK416" s="8"/>
    </row>
    <row r="417" spans="1:89" s="9" customFormat="1" ht="24.75" customHeight="1" x14ac:dyDescent="0.25">
      <c r="A417" s="95"/>
      <c r="B417" s="104"/>
      <c r="C417" s="104"/>
      <c r="D417" s="104"/>
      <c r="E417" s="105" t="s">
        <v>1159</v>
      </c>
      <c r="F417" s="471" t="s">
        <v>1160</v>
      </c>
      <c r="G417" s="473"/>
      <c r="H417" s="107"/>
      <c r="I417" s="487"/>
      <c r="J417" s="74"/>
      <c r="K417" s="70"/>
      <c r="L417" s="108"/>
      <c r="M417" s="74"/>
      <c r="N417" s="109"/>
      <c r="O417" s="70"/>
      <c r="P417" s="70"/>
      <c r="Q417" s="110">
        <f>SUM(Q418:Q420)</f>
        <v>0</v>
      </c>
      <c r="R417" s="110">
        <f t="shared" ref="R417:AD417" si="141">SUM(R418:R420)</f>
        <v>0</v>
      </c>
      <c r="S417" s="110">
        <f t="shared" si="141"/>
        <v>0</v>
      </c>
      <c r="T417" s="110">
        <f t="shared" si="141"/>
        <v>0</v>
      </c>
      <c r="U417" s="110">
        <f t="shared" si="141"/>
        <v>0</v>
      </c>
      <c r="V417" s="110">
        <f t="shared" si="141"/>
        <v>0</v>
      </c>
      <c r="W417" s="110">
        <f t="shared" si="141"/>
        <v>0</v>
      </c>
      <c r="X417" s="110">
        <f t="shared" si="141"/>
        <v>0</v>
      </c>
      <c r="Y417" s="110">
        <f t="shared" si="141"/>
        <v>0</v>
      </c>
      <c r="Z417" s="110">
        <f t="shared" si="141"/>
        <v>0</v>
      </c>
      <c r="AA417" s="110">
        <f t="shared" si="141"/>
        <v>60000000</v>
      </c>
      <c r="AB417" s="110">
        <f t="shared" si="141"/>
        <v>0</v>
      </c>
      <c r="AC417" s="110">
        <f t="shared" si="141"/>
        <v>0</v>
      </c>
      <c r="AD417" s="110">
        <f t="shared" si="141"/>
        <v>60000000</v>
      </c>
      <c r="AE417" s="110"/>
      <c r="AF417" s="544"/>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c r="CI417" s="8"/>
      <c r="CJ417" s="8"/>
      <c r="CK417" s="8"/>
    </row>
    <row r="418" spans="1:89" ht="60" customHeight="1" x14ac:dyDescent="0.2">
      <c r="A418" s="103"/>
      <c r="B418" s="104"/>
      <c r="C418" s="104"/>
      <c r="D418" s="104"/>
      <c r="E418" s="111"/>
      <c r="F418" s="457"/>
      <c r="G418" s="1505" t="s">
        <v>1161</v>
      </c>
      <c r="H418" s="1504">
        <v>3903005</v>
      </c>
      <c r="I418" s="1503" t="s">
        <v>1162</v>
      </c>
      <c r="J418" s="72" t="s">
        <v>1163</v>
      </c>
      <c r="K418" s="220" t="s">
        <v>1164</v>
      </c>
      <c r="L418" s="457" t="s">
        <v>45</v>
      </c>
      <c r="M418" s="564">
        <v>1</v>
      </c>
      <c r="N418" s="1545" t="s">
        <v>1165</v>
      </c>
      <c r="O418" s="1520" t="s">
        <v>1166</v>
      </c>
      <c r="P418" s="1520" t="s">
        <v>1167</v>
      </c>
      <c r="Q418" s="118"/>
      <c r="R418" s="118"/>
      <c r="S418" s="118"/>
      <c r="T418" s="120"/>
      <c r="U418" s="120"/>
      <c r="V418" s="343"/>
      <c r="W418" s="120"/>
      <c r="X418" s="120"/>
      <c r="Y418" s="359"/>
      <c r="Z418" s="120"/>
      <c r="AA418" s="120">
        <v>20000000</v>
      </c>
      <c r="AB418" s="120"/>
      <c r="AC418" s="120"/>
      <c r="AD418" s="120">
        <f>+Q418+R418+S418+T418+U418+V418+W418+X418+Y418+Z418+AA418+AB418+AC418</f>
        <v>20000000</v>
      </c>
      <c r="AE418" s="120" t="s">
        <v>1124</v>
      </c>
      <c r="AF418" s="546" t="s">
        <v>1125</v>
      </c>
      <c r="AG418" s="1"/>
    </row>
    <row r="419" spans="1:89" ht="60" customHeight="1" x14ac:dyDescent="0.2">
      <c r="A419" s="103"/>
      <c r="B419" s="104"/>
      <c r="C419" s="104"/>
      <c r="D419" s="104"/>
      <c r="E419" s="111"/>
      <c r="F419" s="457"/>
      <c r="G419" s="1505"/>
      <c r="H419" s="1504"/>
      <c r="I419" s="1503"/>
      <c r="J419" s="72" t="s">
        <v>1168</v>
      </c>
      <c r="K419" s="220" t="s">
        <v>1169</v>
      </c>
      <c r="L419" s="457" t="s">
        <v>57</v>
      </c>
      <c r="M419" s="564">
        <v>50</v>
      </c>
      <c r="N419" s="1545"/>
      <c r="O419" s="1520"/>
      <c r="P419" s="1520"/>
      <c r="Q419" s="118"/>
      <c r="R419" s="118"/>
      <c r="S419" s="118"/>
      <c r="T419" s="120"/>
      <c r="U419" s="120"/>
      <c r="V419" s="343"/>
      <c r="W419" s="120"/>
      <c r="X419" s="120"/>
      <c r="Y419" s="359"/>
      <c r="Z419" s="120"/>
      <c r="AA419" s="120">
        <v>20000000</v>
      </c>
      <c r="AB419" s="120"/>
      <c r="AC419" s="120"/>
      <c r="AD419" s="120">
        <f>+Q419+R419+S419+T419+U419+V419+W419+X419+Y419+Z419+AA419+AB419+AC419</f>
        <v>20000000</v>
      </c>
      <c r="AE419" s="120" t="s">
        <v>1124</v>
      </c>
      <c r="AF419" s="546" t="s">
        <v>1125</v>
      </c>
      <c r="AG419" s="1"/>
    </row>
    <row r="420" spans="1:89" ht="60" customHeight="1" x14ac:dyDescent="0.2">
      <c r="A420" s="103"/>
      <c r="B420" s="104"/>
      <c r="C420" s="104"/>
      <c r="D420" s="104"/>
      <c r="E420" s="111"/>
      <c r="F420" s="457"/>
      <c r="G420" s="1505"/>
      <c r="H420" s="1504"/>
      <c r="I420" s="1503"/>
      <c r="J420" s="72" t="s">
        <v>1170</v>
      </c>
      <c r="K420" s="220" t="s">
        <v>1171</v>
      </c>
      <c r="L420" s="457" t="s">
        <v>57</v>
      </c>
      <c r="M420" s="564">
        <v>50</v>
      </c>
      <c r="N420" s="1545"/>
      <c r="O420" s="1520"/>
      <c r="P420" s="1520"/>
      <c r="Q420" s="118"/>
      <c r="R420" s="118"/>
      <c r="S420" s="118"/>
      <c r="T420" s="120"/>
      <c r="U420" s="120"/>
      <c r="V420" s="343"/>
      <c r="W420" s="120"/>
      <c r="X420" s="120"/>
      <c r="Y420" s="359"/>
      <c r="Z420" s="120"/>
      <c r="AA420" s="120">
        <v>20000000</v>
      </c>
      <c r="AB420" s="120"/>
      <c r="AC420" s="120"/>
      <c r="AD420" s="120">
        <f>+Q420+R420+S420+T420+U420+V420+W420+X420+Y420+Z420+AA420+AB420+AC420</f>
        <v>20000000</v>
      </c>
      <c r="AE420" s="120" t="s">
        <v>1124</v>
      </c>
      <c r="AF420" s="546" t="s">
        <v>1125</v>
      </c>
      <c r="AG420" s="1"/>
    </row>
    <row r="421" spans="1:89" s="9" customFormat="1" ht="21.75" customHeight="1" x14ac:dyDescent="0.25">
      <c r="A421" s="95"/>
      <c r="B421" s="104"/>
      <c r="C421" s="104"/>
      <c r="D421" s="104"/>
      <c r="E421" s="105">
        <v>3904</v>
      </c>
      <c r="F421" s="471" t="s">
        <v>735</v>
      </c>
      <c r="G421" s="473"/>
      <c r="H421" s="107"/>
      <c r="I421" s="487"/>
      <c r="J421" s="74"/>
      <c r="K421" s="70"/>
      <c r="L421" s="108"/>
      <c r="M421" s="74"/>
      <c r="N421" s="109"/>
      <c r="O421" s="70"/>
      <c r="P421" s="70"/>
      <c r="Q421" s="110">
        <f>+Q422</f>
        <v>0</v>
      </c>
      <c r="R421" s="110">
        <f t="shared" ref="R421:AD421" si="142">+R422</f>
        <v>0</v>
      </c>
      <c r="S421" s="110">
        <f t="shared" si="142"/>
        <v>0</v>
      </c>
      <c r="T421" s="110">
        <f t="shared" si="142"/>
        <v>0</v>
      </c>
      <c r="U421" s="110">
        <f t="shared" si="142"/>
        <v>0</v>
      </c>
      <c r="V421" s="110">
        <f t="shared" si="142"/>
        <v>0</v>
      </c>
      <c r="W421" s="110">
        <f t="shared" si="142"/>
        <v>0</v>
      </c>
      <c r="X421" s="110">
        <f t="shared" si="142"/>
        <v>0</v>
      </c>
      <c r="Y421" s="110">
        <f t="shared" si="142"/>
        <v>0</v>
      </c>
      <c r="Z421" s="110">
        <f t="shared" si="142"/>
        <v>0</v>
      </c>
      <c r="AA421" s="110">
        <f t="shared" si="142"/>
        <v>18000000</v>
      </c>
      <c r="AB421" s="110">
        <f t="shared" si="142"/>
        <v>0</v>
      </c>
      <c r="AC421" s="110">
        <f t="shared" si="142"/>
        <v>0</v>
      </c>
      <c r="AD421" s="110">
        <f t="shared" si="142"/>
        <v>18000000</v>
      </c>
      <c r="AE421" s="110"/>
      <c r="AF421" s="544"/>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c r="CI421" s="8"/>
      <c r="CJ421" s="8"/>
      <c r="CK421" s="8"/>
    </row>
    <row r="422" spans="1:89" ht="94.5" customHeight="1" x14ac:dyDescent="0.2">
      <c r="A422" s="103"/>
      <c r="B422" s="104"/>
      <c r="C422" s="104"/>
      <c r="D422" s="104"/>
      <c r="E422" s="111"/>
      <c r="F422" s="457"/>
      <c r="G422" s="140" t="s">
        <v>1172</v>
      </c>
      <c r="H422" s="463">
        <v>3904018</v>
      </c>
      <c r="I422" s="140" t="s">
        <v>1173</v>
      </c>
      <c r="J422" s="72">
        <v>390401809</v>
      </c>
      <c r="K422" s="199" t="s">
        <v>1174</v>
      </c>
      <c r="L422" s="457" t="s">
        <v>57</v>
      </c>
      <c r="M422" s="470">
        <v>6</v>
      </c>
      <c r="N422" s="469" t="s">
        <v>1175</v>
      </c>
      <c r="O422" s="199" t="s">
        <v>1176</v>
      </c>
      <c r="P422" s="199" t="s">
        <v>1177</v>
      </c>
      <c r="Q422" s="118"/>
      <c r="R422" s="118"/>
      <c r="S422" s="118"/>
      <c r="T422" s="120"/>
      <c r="U422" s="120"/>
      <c r="V422" s="343"/>
      <c r="W422" s="120"/>
      <c r="X422" s="120"/>
      <c r="Y422" s="359"/>
      <c r="Z422" s="120"/>
      <c r="AA422" s="120">
        <v>18000000</v>
      </c>
      <c r="AB422" s="120"/>
      <c r="AC422" s="120"/>
      <c r="AD422" s="120">
        <f>+Q422+R422+S422+T422+U422+V422+W422+X422+Y422+Z422+AA422+AB422+AC422</f>
        <v>18000000</v>
      </c>
      <c r="AE422" s="120" t="s">
        <v>1124</v>
      </c>
      <c r="AF422" s="546" t="s">
        <v>1125</v>
      </c>
      <c r="AG422" s="1"/>
    </row>
    <row r="423" spans="1:89" s="9" customFormat="1" ht="30" customHeight="1" x14ac:dyDescent="0.25">
      <c r="A423" s="95"/>
      <c r="B423" s="99">
        <v>4</v>
      </c>
      <c r="C423" s="365" t="s">
        <v>39</v>
      </c>
      <c r="D423" s="96"/>
      <c r="E423" s="365" t="s">
        <v>39</v>
      </c>
      <c r="F423" s="365"/>
      <c r="G423" s="365"/>
      <c r="H423" s="97"/>
      <c r="I423" s="489"/>
      <c r="J423" s="99"/>
      <c r="K423" s="98"/>
      <c r="L423" s="100"/>
      <c r="M423" s="99"/>
      <c r="N423" s="101"/>
      <c r="O423" s="98"/>
      <c r="P423" s="98"/>
      <c r="Q423" s="102">
        <f>Q424</f>
        <v>0</v>
      </c>
      <c r="R423" s="102">
        <f t="shared" ref="R423:AD424" si="143">R424</f>
        <v>0</v>
      </c>
      <c r="S423" s="102">
        <f t="shared" si="143"/>
        <v>0</v>
      </c>
      <c r="T423" s="102">
        <f t="shared" si="143"/>
        <v>0</v>
      </c>
      <c r="U423" s="102">
        <f t="shared" si="143"/>
        <v>0</v>
      </c>
      <c r="V423" s="102">
        <f t="shared" si="143"/>
        <v>0</v>
      </c>
      <c r="W423" s="102">
        <f t="shared" si="143"/>
        <v>0</v>
      </c>
      <c r="X423" s="102">
        <f t="shared" si="143"/>
        <v>0</v>
      </c>
      <c r="Y423" s="102">
        <f t="shared" si="143"/>
        <v>0</v>
      </c>
      <c r="Z423" s="102">
        <f t="shared" si="143"/>
        <v>0</v>
      </c>
      <c r="AA423" s="102">
        <f t="shared" si="143"/>
        <v>298000000</v>
      </c>
      <c r="AB423" s="102">
        <f t="shared" si="143"/>
        <v>0</v>
      </c>
      <c r="AC423" s="102">
        <f t="shared" si="143"/>
        <v>0</v>
      </c>
      <c r="AD423" s="102">
        <f>AD424</f>
        <v>298000000</v>
      </c>
      <c r="AE423" s="102"/>
      <c r="AF423" s="543"/>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row>
    <row r="424" spans="1:89" s="9" customFormat="1" ht="27.75" customHeight="1" x14ac:dyDescent="0.25">
      <c r="A424" s="95"/>
      <c r="B424" s="576"/>
      <c r="C424" s="593">
        <v>23</v>
      </c>
      <c r="D424" s="578" t="s">
        <v>1314</v>
      </c>
      <c r="E424" s="592"/>
      <c r="F424" s="579"/>
      <c r="G424" s="580"/>
      <c r="H424" s="581"/>
      <c r="I424" s="582"/>
      <c r="J424" s="583"/>
      <c r="K424" s="584"/>
      <c r="L424" s="585"/>
      <c r="M424" s="583"/>
      <c r="N424" s="587"/>
      <c r="O424" s="588"/>
      <c r="P424" s="588"/>
      <c r="Q424" s="589">
        <f>Q425</f>
        <v>0</v>
      </c>
      <c r="R424" s="589">
        <f t="shared" si="143"/>
        <v>0</v>
      </c>
      <c r="S424" s="589">
        <f t="shared" si="143"/>
        <v>0</v>
      </c>
      <c r="T424" s="589">
        <f t="shared" si="143"/>
        <v>0</v>
      </c>
      <c r="U424" s="589">
        <f t="shared" si="143"/>
        <v>0</v>
      </c>
      <c r="V424" s="589">
        <f t="shared" si="143"/>
        <v>0</v>
      </c>
      <c r="W424" s="589">
        <f t="shared" si="143"/>
        <v>0</v>
      </c>
      <c r="X424" s="589">
        <f t="shared" si="143"/>
        <v>0</v>
      </c>
      <c r="Y424" s="589">
        <f t="shared" si="143"/>
        <v>0</v>
      </c>
      <c r="Z424" s="589">
        <f t="shared" si="143"/>
        <v>0</v>
      </c>
      <c r="AA424" s="589">
        <f t="shared" si="143"/>
        <v>298000000</v>
      </c>
      <c r="AB424" s="589">
        <f t="shared" si="143"/>
        <v>0</v>
      </c>
      <c r="AC424" s="589">
        <f t="shared" si="143"/>
        <v>0</v>
      </c>
      <c r="AD424" s="589">
        <f t="shared" si="143"/>
        <v>298000000</v>
      </c>
      <c r="AE424" s="589"/>
      <c r="AF424" s="590"/>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c r="CI424" s="8"/>
      <c r="CJ424" s="8"/>
      <c r="CK424" s="8"/>
    </row>
    <row r="425" spans="1:89" s="9" customFormat="1" ht="55.5" customHeight="1" x14ac:dyDescent="0.25">
      <c r="A425" s="95"/>
      <c r="B425" s="104"/>
      <c r="C425" s="104"/>
      <c r="D425" s="104"/>
      <c r="E425" s="105">
        <v>2302</v>
      </c>
      <c r="F425" s="1509" t="s">
        <v>1144</v>
      </c>
      <c r="G425" s="1510"/>
      <c r="H425" s="1510"/>
      <c r="I425" s="1511"/>
      <c r="J425" s="74"/>
      <c r="K425" s="70"/>
      <c r="L425" s="108"/>
      <c r="M425" s="74"/>
      <c r="N425" s="109"/>
      <c r="O425" s="70"/>
      <c r="P425" s="70"/>
      <c r="Q425" s="110">
        <f>SUM(Q426:Q431)</f>
        <v>0</v>
      </c>
      <c r="R425" s="110">
        <f t="shared" ref="R425:AD425" si="144">SUM(R426:R431)</f>
        <v>0</v>
      </c>
      <c r="S425" s="110">
        <f t="shared" si="144"/>
        <v>0</v>
      </c>
      <c r="T425" s="110">
        <f t="shared" si="144"/>
        <v>0</v>
      </c>
      <c r="U425" s="110">
        <f t="shared" si="144"/>
        <v>0</v>
      </c>
      <c r="V425" s="110">
        <f t="shared" si="144"/>
        <v>0</v>
      </c>
      <c r="W425" s="110">
        <f t="shared" si="144"/>
        <v>0</v>
      </c>
      <c r="X425" s="110">
        <f t="shared" si="144"/>
        <v>0</v>
      </c>
      <c r="Y425" s="110">
        <f t="shared" si="144"/>
        <v>0</v>
      </c>
      <c r="Z425" s="110">
        <f t="shared" si="144"/>
        <v>0</v>
      </c>
      <c r="AA425" s="110">
        <f t="shared" si="144"/>
        <v>298000000</v>
      </c>
      <c r="AB425" s="110">
        <f t="shared" si="144"/>
        <v>0</v>
      </c>
      <c r="AC425" s="110">
        <f t="shared" si="144"/>
        <v>0</v>
      </c>
      <c r="AD425" s="110">
        <f t="shared" si="144"/>
        <v>298000000</v>
      </c>
      <c r="AE425" s="110">
        <f>SUM(AE426:AE431)</f>
        <v>0</v>
      </c>
      <c r="AF425" s="544">
        <f>SUM(AF426:AF431)</f>
        <v>0</v>
      </c>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c r="CI425" s="8"/>
      <c r="CJ425" s="8"/>
      <c r="CK425" s="8"/>
    </row>
    <row r="426" spans="1:89" ht="54.75" customHeight="1" x14ac:dyDescent="0.2">
      <c r="A426" s="103"/>
      <c r="B426" s="104"/>
      <c r="C426" s="104"/>
      <c r="D426" s="104"/>
      <c r="E426" s="111"/>
      <c r="F426" s="457"/>
      <c r="G426" s="193" t="s">
        <v>1178</v>
      </c>
      <c r="H426" s="461">
        <v>2302003</v>
      </c>
      <c r="I426" s="193" t="s">
        <v>1179</v>
      </c>
      <c r="J426" s="72">
        <v>230200300</v>
      </c>
      <c r="K426" s="192" t="s">
        <v>1180</v>
      </c>
      <c r="L426" s="457" t="s">
        <v>57</v>
      </c>
      <c r="M426" s="470">
        <v>2</v>
      </c>
      <c r="N426" s="1545" t="s">
        <v>1181</v>
      </c>
      <c r="O426" s="1519" t="s">
        <v>1182</v>
      </c>
      <c r="P426" s="1519" t="s">
        <v>1183</v>
      </c>
      <c r="Q426" s="118"/>
      <c r="R426" s="118"/>
      <c r="S426" s="118"/>
      <c r="T426" s="120"/>
      <c r="U426" s="120"/>
      <c r="V426" s="343"/>
      <c r="W426" s="120"/>
      <c r="X426" s="120"/>
      <c r="Y426" s="359"/>
      <c r="Z426" s="120"/>
      <c r="AA426" s="120">
        <v>120000000</v>
      </c>
      <c r="AB426" s="120"/>
      <c r="AC426" s="120"/>
      <c r="AD426" s="120">
        <f t="shared" ref="AD426:AD431" si="145">+Q426+R426+S426+T426+U426+V426+W426+X426+Y426+Z426+AA426+AB426+AC426</f>
        <v>120000000</v>
      </c>
      <c r="AE426" s="120" t="s">
        <v>1124</v>
      </c>
      <c r="AF426" s="546" t="s">
        <v>1125</v>
      </c>
      <c r="AG426" s="1"/>
    </row>
    <row r="427" spans="1:89" ht="93" customHeight="1" x14ac:dyDescent="0.2">
      <c r="A427" s="103"/>
      <c r="B427" s="104"/>
      <c r="C427" s="104"/>
      <c r="D427" s="104"/>
      <c r="E427" s="111"/>
      <c r="F427" s="457"/>
      <c r="G427" s="193" t="s">
        <v>1178</v>
      </c>
      <c r="H427" s="461">
        <v>2302033</v>
      </c>
      <c r="I427" s="193" t="s">
        <v>1184</v>
      </c>
      <c r="J427" s="72">
        <v>230203300</v>
      </c>
      <c r="K427" s="192" t="s">
        <v>1185</v>
      </c>
      <c r="L427" s="457" t="s">
        <v>45</v>
      </c>
      <c r="M427" s="470">
        <v>100</v>
      </c>
      <c r="N427" s="1545"/>
      <c r="O427" s="1519"/>
      <c r="P427" s="1519"/>
      <c r="Q427" s="118"/>
      <c r="R427" s="118"/>
      <c r="S427" s="118"/>
      <c r="T427" s="120"/>
      <c r="U427" s="120"/>
      <c r="V427" s="343"/>
      <c r="W427" s="120"/>
      <c r="X427" s="120"/>
      <c r="Y427" s="359"/>
      <c r="Z427" s="120"/>
      <c r="AA427" s="120">
        <v>50000000</v>
      </c>
      <c r="AB427" s="120"/>
      <c r="AC427" s="120"/>
      <c r="AD427" s="120">
        <f t="shared" si="145"/>
        <v>50000000</v>
      </c>
      <c r="AE427" s="120" t="s">
        <v>1124</v>
      </c>
      <c r="AF427" s="546" t="s">
        <v>1125</v>
      </c>
      <c r="AG427" s="1"/>
    </row>
    <row r="428" spans="1:89" ht="132" customHeight="1" x14ac:dyDescent="0.2">
      <c r="A428" s="103"/>
      <c r="B428" s="104"/>
      <c r="C428" s="104"/>
      <c r="D428" s="104"/>
      <c r="E428" s="111"/>
      <c r="F428" s="457"/>
      <c r="G428" s="193" t="s">
        <v>1178</v>
      </c>
      <c r="H428" s="461">
        <v>2302066</v>
      </c>
      <c r="I428" s="193" t="s">
        <v>1186</v>
      </c>
      <c r="J428" s="72">
        <v>230206600</v>
      </c>
      <c r="K428" s="192" t="s">
        <v>1187</v>
      </c>
      <c r="L428" s="178" t="s">
        <v>57</v>
      </c>
      <c r="M428" s="470">
        <v>50</v>
      </c>
      <c r="N428" s="1545"/>
      <c r="O428" s="1519"/>
      <c r="P428" s="1519"/>
      <c r="Q428" s="118"/>
      <c r="R428" s="118"/>
      <c r="S428" s="118"/>
      <c r="T428" s="120"/>
      <c r="U428" s="120"/>
      <c r="V428" s="343"/>
      <c r="W428" s="120"/>
      <c r="X428" s="120"/>
      <c r="Y428" s="359"/>
      <c r="Z428" s="120"/>
      <c r="AA428" s="120">
        <v>60000000</v>
      </c>
      <c r="AB428" s="120"/>
      <c r="AC428" s="120"/>
      <c r="AD428" s="120">
        <f t="shared" si="145"/>
        <v>60000000</v>
      </c>
      <c r="AE428" s="120" t="s">
        <v>1124</v>
      </c>
      <c r="AF428" s="546" t="s">
        <v>1125</v>
      </c>
      <c r="AG428" s="1"/>
    </row>
    <row r="429" spans="1:89" ht="108" customHeight="1" x14ac:dyDescent="0.2">
      <c r="A429" s="103"/>
      <c r="B429" s="104"/>
      <c r="C429" s="104"/>
      <c r="D429" s="104"/>
      <c r="E429" s="111"/>
      <c r="F429" s="457"/>
      <c r="G429" s="193" t="s">
        <v>1178</v>
      </c>
      <c r="H429" s="461">
        <v>2302004</v>
      </c>
      <c r="I429" s="193" t="s">
        <v>1188</v>
      </c>
      <c r="J429" s="72">
        <v>230200403</v>
      </c>
      <c r="K429" s="192" t="s">
        <v>1189</v>
      </c>
      <c r="L429" s="457" t="s">
        <v>45</v>
      </c>
      <c r="M429" s="470">
        <v>1</v>
      </c>
      <c r="N429" s="1545"/>
      <c r="O429" s="1519"/>
      <c r="P429" s="1519"/>
      <c r="Q429" s="118"/>
      <c r="R429" s="118"/>
      <c r="S429" s="118"/>
      <c r="T429" s="120"/>
      <c r="U429" s="120"/>
      <c r="V429" s="343"/>
      <c r="W429" s="120"/>
      <c r="X429" s="120"/>
      <c r="Y429" s="359"/>
      <c r="Z429" s="120"/>
      <c r="AA429" s="120">
        <v>25000000</v>
      </c>
      <c r="AB429" s="120"/>
      <c r="AC429" s="120"/>
      <c r="AD429" s="120">
        <f t="shared" si="145"/>
        <v>25000000</v>
      </c>
      <c r="AE429" s="120" t="s">
        <v>1124</v>
      </c>
      <c r="AF429" s="546" t="s">
        <v>1125</v>
      </c>
      <c r="AG429" s="1"/>
    </row>
    <row r="430" spans="1:89" ht="149.25" customHeight="1" x14ac:dyDescent="0.2">
      <c r="A430" s="103"/>
      <c r="B430" s="104"/>
      <c r="C430" s="104"/>
      <c r="D430" s="104"/>
      <c r="E430" s="111"/>
      <c r="F430" s="457"/>
      <c r="G430" s="193" t="s">
        <v>1178</v>
      </c>
      <c r="H430" s="461">
        <v>2302007</v>
      </c>
      <c r="I430" s="193" t="s">
        <v>1190</v>
      </c>
      <c r="J430" s="72">
        <v>230200701</v>
      </c>
      <c r="K430" s="192" t="s">
        <v>1191</v>
      </c>
      <c r="L430" s="457" t="s">
        <v>45</v>
      </c>
      <c r="M430" s="470">
        <v>1</v>
      </c>
      <c r="N430" s="1545"/>
      <c r="O430" s="1519"/>
      <c r="P430" s="1519"/>
      <c r="Q430" s="118"/>
      <c r="R430" s="118"/>
      <c r="S430" s="118"/>
      <c r="T430" s="120"/>
      <c r="U430" s="120"/>
      <c r="V430" s="343"/>
      <c r="W430" s="120"/>
      <c r="X430" s="120"/>
      <c r="Y430" s="359"/>
      <c r="Z430" s="120"/>
      <c r="AA430" s="120">
        <v>25000000</v>
      </c>
      <c r="AB430" s="120"/>
      <c r="AC430" s="120"/>
      <c r="AD430" s="120">
        <f t="shared" si="145"/>
        <v>25000000</v>
      </c>
      <c r="AE430" s="120" t="s">
        <v>1124</v>
      </c>
      <c r="AF430" s="546" t="s">
        <v>1125</v>
      </c>
      <c r="AG430" s="1"/>
    </row>
    <row r="431" spans="1:89" ht="72" customHeight="1" x14ac:dyDescent="0.2">
      <c r="A431" s="103"/>
      <c r="B431" s="104"/>
      <c r="C431" s="104"/>
      <c r="D431" s="104"/>
      <c r="E431" s="111"/>
      <c r="F431" s="457"/>
      <c r="G431" s="193" t="s">
        <v>1178</v>
      </c>
      <c r="H431" s="461">
        <v>2302083</v>
      </c>
      <c r="I431" s="193" t="s">
        <v>85</v>
      </c>
      <c r="J431" s="72">
        <v>230208300</v>
      </c>
      <c r="K431" s="192" t="s">
        <v>513</v>
      </c>
      <c r="L431" s="457" t="s">
        <v>45</v>
      </c>
      <c r="M431" s="564">
        <v>1</v>
      </c>
      <c r="N431" s="1545"/>
      <c r="O431" s="1519"/>
      <c r="P431" s="1519"/>
      <c r="Q431" s="118"/>
      <c r="R431" s="118"/>
      <c r="S431" s="118"/>
      <c r="T431" s="120"/>
      <c r="U431" s="120"/>
      <c r="V431" s="343"/>
      <c r="W431" s="120"/>
      <c r="X431" s="120"/>
      <c r="Y431" s="359"/>
      <c r="Z431" s="120"/>
      <c r="AA431" s="120">
        <v>18000000</v>
      </c>
      <c r="AB431" s="120"/>
      <c r="AC431" s="120"/>
      <c r="AD431" s="120">
        <f t="shared" si="145"/>
        <v>18000000</v>
      </c>
      <c r="AE431" s="120" t="s">
        <v>1124</v>
      </c>
      <c r="AF431" s="546" t="s">
        <v>1125</v>
      </c>
      <c r="AG431" s="1"/>
    </row>
    <row r="432" spans="1:89" s="32" customFormat="1" ht="31.5" customHeight="1" x14ac:dyDescent="0.25">
      <c r="A432" s="1506" t="s">
        <v>1192</v>
      </c>
      <c r="B432" s="1507"/>
      <c r="C432" s="1507"/>
      <c r="D432" s="1507"/>
      <c r="E432" s="1507"/>
      <c r="F432" s="1508"/>
      <c r="G432" s="282"/>
      <c r="H432" s="283"/>
      <c r="I432" s="491"/>
      <c r="J432" s="283"/>
      <c r="K432" s="284"/>
      <c r="L432" s="285"/>
      <c r="M432" s="283"/>
      <c r="N432" s="286"/>
      <c r="O432" s="491"/>
      <c r="P432" s="491"/>
      <c r="Q432" s="287">
        <f t="shared" ref="Q432:AD432" si="146">+Q396+Q328+Q275+Q230+Q221+Q163+Q144+Q129+Q86+Q42+Q35+Q17+Q7</f>
        <v>9467730128</v>
      </c>
      <c r="R432" s="287">
        <f t="shared" si="146"/>
        <v>1724182726</v>
      </c>
      <c r="S432" s="287">
        <f t="shared" si="146"/>
        <v>0</v>
      </c>
      <c r="T432" s="287">
        <f t="shared" si="146"/>
        <v>1704977490</v>
      </c>
      <c r="U432" s="287">
        <f t="shared" si="146"/>
        <v>6460193577</v>
      </c>
      <c r="V432" s="345">
        <f t="shared" si="146"/>
        <v>35242837560</v>
      </c>
      <c r="W432" s="287">
        <f t="shared" si="146"/>
        <v>143885000000</v>
      </c>
      <c r="X432" s="345">
        <f t="shared" si="146"/>
        <v>25145000000</v>
      </c>
      <c r="Y432" s="287">
        <f t="shared" si="146"/>
        <v>12990000000</v>
      </c>
      <c r="Z432" s="371">
        <f t="shared" si="146"/>
        <v>2753011221</v>
      </c>
      <c r="AA432" s="371">
        <f t="shared" si="146"/>
        <v>18468875428</v>
      </c>
      <c r="AB432" s="371">
        <f t="shared" si="146"/>
        <v>927910446</v>
      </c>
      <c r="AC432" s="371">
        <f t="shared" si="146"/>
        <v>2849166997</v>
      </c>
      <c r="AD432" s="371">
        <f t="shared" si="146"/>
        <v>261618885573</v>
      </c>
      <c r="AE432" s="371"/>
      <c r="AF432" s="596">
        <f>+AF396+AF328+AF275+AF230+AF221+AF163+AF144+AF129+AF86+AF42+AF35+AF17+AF7</f>
        <v>0</v>
      </c>
      <c r="AG432" s="31">
        <v>261618885573</v>
      </c>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row>
    <row r="433" spans="1:89" s="4" customFormat="1" ht="23.25" customHeight="1" x14ac:dyDescent="0.25">
      <c r="A433" s="518" t="s">
        <v>1193</v>
      </c>
      <c r="B433" s="519"/>
      <c r="C433" s="519"/>
      <c r="D433" s="519"/>
      <c r="E433" s="268"/>
      <c r="F433" s="269"/>
      <c r="G433" s="205"/>
      <c r="H433" s="268"/>
      <c r="I433" s="205"/>
      <c r="J433" s="135"/>
      <c r="K433" s="173"/>
      <c r="L433" s="269"/>
      <c r="M433" s="135"/>
      <c r="N433" s="269"/>
      <c r="O433" s="173"/>
      <c r="P433" s="173" t="s">
        <v>1194</v>
      </c>
      <c r="Q433" s="203">
        <f>1454985269+16874690</f>
        <v>1471859959</v>
      </c>
      <c r="R433" s="203">
        <f>1648000000+76182726</f>
        <v>1724182726</v>
      </c>
      <c r="S433" s="203">
        <v>0</v>
      </c>
      <c r="T433" s="203">
        <v>1704977490</v>
      </c>
      <c r="U433" s="430">
        <f>2214028029+4211165548+25000000+10000000</f>
        <v>6460193577</v>
      </c>
      <c r="V433" s="334">
        <f>163000000+8446865337+3518317492+5997708272+91147870+20527481+2507252674+653627697+1552030080+19200000+668014036+8756655044+8402737426+421146797+462752030-6438144676</f>
        <v>35242837560</v>
      </c>
      <c r="W433" s="203">
        <f>141240000000+50000000+1766000000+749000000+80000000</f>
        <v>143885000000</v>
      </c>
      <c r="X433" s="203">
        <f>17655000000+7490000000</f>
        <v>25145000000</v>
      </c>
      <c r="Y433" s="357">
        <f>12840000000+150000000</f>
        <v>12990000000</v>
      </c>
      <c r="Z433" s="203">
        <f>2751236459+1774762</f>
        <v>2753011221</v>
      </c>
      <c r="AA433" s="400">
        <f>13627804849+782575952+4058494627</f>
        <v>18468875428</v>
      </c>
      <c r="AB433" s="203">
        <f>263038142+664872304</f>
        <v>927910446</v>
      </c>
      <c r="AC433" s="203">
        <f>250000000+842700000+1754466997+2000000</f>
        <v>2849166997</v>
      </c>
      <c r="AD433" s="203">
        <f>SUM(Q433:AC433)</f>
        <v>253623015404</v>
      </c>
      <c r="AE433" s="511"/>
      <c r="AF433" s="550"/>
    </row>
    <row r="434" spans="1:89" s="4" customFormat="1" ht="32.25" customHeight="1" x14ac:dyDescent="0.2">
      <c r="A434" s="203"/>
      <c r="B434" s="267"/>
      <c r="C434" s="267"/>
      <c r="D434" s="267"/>
      <c r="E434" s="268"/>
      <c r="F434" s="269"/>
      <c r="G434" s="205"/>
      <c r="H434" s="268"/>
      <c r="I434" s="205"/>
      <c r="J434" s="135"/>
      <c r="K434" s="173"/>
      <c r="L434" s="269"/>
      <c r="M434" s="135"/>
      <c r="N434" s="269"/>
      <c r="O434" s="173"/>
      <c r="P434" s="173" t="s">
        <v>1195</v>
      </c>
      <c r="Q434" s="203">
        <f>3524009040+2530534</f>
        <v>3526539574</v>
      </c>
      <c r="R434" s="203"/>
      <c r="S434" s="203"/>
      <c r="T434" s="203"/>
      <c r="U434" s="203"/>
      <c r="W434" s="203"/>
      <c r="X434" s="203"/>
      <c r="Y434" s="357"/>
      <c r="Z434" s="203"/>
      <c r="AA434" s="270"/>
      <c r="AB434" s="203"/>
      <c r="AC434" s="203"/>
      <c r="AD434" s="203">
        <f>SUM(Q434:AC434)</f>
        <v>3526539574</v>
      </c>
      <c r="AE434" s="203"/>
      <c r="AF434" s="269"/>
      <c r="AG434" s="4">
        <f>AG432-AD432</f>
        <v>0</v>
      </c>
    </row>
    <row r="435" spans="1:89" s="4" customFormat="1" ht="37.5" customHeight="1" x14ac:dyDescent="0.25">
      <c r="A435" s="203"/>
      <c r="B435" s="267"/>
      <c r="C435" s="267"/>
      <c r="D435" s="267"/>
      <c r="E435" s="268"/>
      <c r="F435" s="269"/>
      <c r="G435" s="205"/>
      <c r="H435" s="268"/>
      <c r="I435" s="205"/>
      <c r="J435" s="135"/>
      <c r="K435" s="173"/>
      <c r="L435" s="269"/>
      <c r="M435" s="135"/>
      <c r="N435" s="269"/>
      <c r="O435" s="173"/>
      <c r="P435" s="173" t="s">
        <v>1196</v>
      </c>
      <c r="Q435" s="203">
        <f>4453257220+16073375</f>
        <v>4469330595</v>
      </c>
      <c r="R435" s="203"/>
      <c r="S435" s="203"/>
      <c r="T435" s="203"/>
      <c r="U435" s="203"/>
      <c r="V435" s="334"/>
      <c r="W435" s="203"/>
      <c r="X435" s="203"/>
      <c r="Y435" s="357"/>
      <c r="Z435" s="203"/>
      <c r="AA435" s="270"/>
      <c r="AB435" s="203"/>
      <c r="AC435" s="203"/>
      <c r="AD435" s="203">
        <f>SUM(Q435:AC435)</f>
        <v>4469330595</v>
      </c>
      <c r="AE435" s="430"/>
      <c r="AF435" s="514"/>
    </row>
    <row r="436" spans="1:89" s="63" customFormat="1" ht="27.75" customHeight="1" x14ac:dyDescent="0.25">
      <c r="A436" s="430"/>
      <c r="B436" s="512"/>
      <c r="C436" s="512"/>
      <c r="D436" s="512"/>
      <c r="E436" s="513"/>
      <c r="F436" s="514"/>
      <c r="G436" s="515"/>
      <c r="H436" s="513"/>
      <c r="I436" s="515"/>
      <c r="J436" s="209"/>
      <c r="K436" s="516"/>
      <c r="L436" s="514"/>
      <c r="M436" s="209"/>
      <c r="N436" s="514"/>
      <c r="O436" s="516"/>
      <c r="P436" s="516" t="s">
        <v>1197</v>
      </c>
      <c r="Q436" s="430">
        <f t="shared" ref="Q436:V436" si="147">Q433+Q434+Q435-Q432</f>
        <v>0</v>
      </c>
      <c r="R436" s="430">
        <f t="shared" si="147"/>
        <v>0</v>
      </c>
      <c r="S436" s="430">
        <f t="shared" si="147"/>
        <v>0</v>
      </c>
      <c r="T436" s="430">
        <f t="shared" si="147"/>
        <v>0</v>
      </c>
      <c r="U436" s="203">
        <f t="shared" si="147"/>
        <v>0</v>
      </c>
      <c r="V436" s="430">
        <f t="shared" si="147"/>
        <v>0</v>
      </c>
      <c r="W436" s="430">
        <f t="shared" ref="W436:AC436" si="148">W433+W434+W435-W432</f>
        <v>0</v>
      </c>
      <c r="X436" s="430">
        <f t="shared" si="148"/>
        <v>0</v>
      </c>
      <c r="Y436" s="517">
        <f t="shared" si="148"/>
        <v>0</v>
      </c>
      <c r="Z436" s="430">
        <f t="shared" si="148"/>
        <v>0</v>
      </c>
      <c r="AA436" s="430">
        <f t="shared" si="148"/>
        <v>0</v>
      </c>
      <c r="AB436" s="430">
        <f t="shared" si="148"/>
        <v>0</v>
      </c>
      <c r="AC436" s="430">
        <f t="shared" si="148"/>
        <v>0</v>
      </c>
      <c r="AD436" s="430">
        <f>AD433+AD434+AD435-AD432</f>
        <v>0</v>
      </c>
      <c r="AE436" s="430"/>
      <c r="AF436" s="514"/>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row>
    <row r="437" spans="1:89" ht="21.75" customHeight="1" x14ac:dyDescent="0.2">
      <c r="A437" s="86" t="s">
        <v>1198</v>
      </c>
      <c r="B437" s="86"/>
      <c r="C437" s="86"/>
      <c r="D437" s="86"/>
      <c r="E437" s="87"/>
      <c r="F437" s="88"/>
      <c r="G437" s="89"/>
      <c r="H437" s="90"/>
      <c r="I437" s="89"/>
      <c r="J437" s="92"/>
      <c r="K437" s="91"/>
      <c r="L437" s="93"/>
      <c r="M437" s="92"/>
      <c r="N437" s="88"/>
      <c r="O437" s="91"/>
      <c r="P437" s="91"/>
      <c r="Q437" s="144">
        <f t="shared" ref="Q437:AD437" si="149">+Q438</f>
        <v>0</v>
      </c>
      <c r="R437" s="144">
        <f t="shared" si="149"/>
        <v>0</v>
      </c>
      <c r="S437" s="144">
        <f t="shared" si="149"/>
        <v>0</v>
      </c>
      <c r="T437" s="144">
        <f t="shared" si="149"/>
        <v>0</v>
      </c>
      <c r="U437" s="144">
        <f t="shared" si="149"/>
        <v>0</v>
      </c>
      <c r="V437" s="144">
        <f t="shared" si="149"/>
        <v>0</v>
      </c>
      <c r="W437" s="144">
        <f t="shared" si="149"/>
        <v>0</v>
      </c>
      <c r="X437" s="144">
        <f t="shared" si="149"/>
        <v>0</v>
      </c>
      <c r="Y437" s="144">
        <f t="shared" si="149"/>
        <v>0</v>
      </c>
      <c r="Z437" s="144">
        <f t="shared" si="149"/>
        <v>0</v>
      </c>
      <c r="AA437" s="144">
        <f t="shared" si="149"/>
        <v>855248186</v>
      </c>
      <c r="AB437" s="144">
        <f t="shared" si="149"/>
        <v>1608482068.22</v>
      </c>
      <c r="AC437" s="144">
        <f t="shared" si="149"/>
        <v>0</v>
      </c>
      <c r="AD437" s="144">
        <f t="shared" si="149"/>
        <v>2463730254.2200003</v>
      </c>
      <c r="AE437" s="144"/>
      <c r="AF437" s="94"/>
      <c r="AG437" s="4">
        <v>2463730254.2200003</v>
      </c>
    </row>
    <row r="438" spans="1:89" ht="21.75" customHeight="1" x14ac:dyDescent="0.2">
      <c r="A438" s="103"/>
      <c r="B438" s="99">
        <v>1</v>
      </c>
      <c r="C438" s="365" t="s">
        <v>134</v>
      </c>
      <c r="D438" s="96"/>
      <c r="E438" s="365"/>
      <c r="F438" s="365"/>
      <c r="G438" s="365"/>
      <c r="H438" s="97"/>
      <c r="I438" s="489"/>
      <c r="J438" s="99"/>
      <c r="K438" s="98"/>
      <c r="L438" s="100"/>
      <c r="M438" s="99"/>
      <c r="N438" s="101"/>
      <c r="O438" s="98"/>
      <c r="P438" s="98"/>
      <c r="Q438" s="102">
        <f>Q439</f>
        <v>0</v>
      </c>
      <c r="R438" s="102">
        <f t="shared" ref="R438:AC438" si="150">R439</f>
        <v>0</v>
      </c>
      <c r="S438" s="102">
        <f t="shared" si="150"/>
        <v>0</v>
      </c>
      <c r="T438" s="102">
        <f t="shared" si="150"/>
        <v>0</v>
      </c>
      <c r="U438" s="102">
        <f t="shared" si="150"/>
        <v>0</v>
      </c>
      <c r="V438" s="102">
        <f t="shared" si="150"/>
        <v>0</v>
      </c>
      <c r="W438" s="102">
        <f t="shared" si="150"/>
        <v>0</v>
      </c>
      <c r="X438" s="102">
        <f t="shared" si="150"/>
        <v>0</v>
      </c>
      <c r="Y438" s="102">
        <f t="shared" si="150"/>
        <v>0</v>
      </c>
      <c r="Z438" s="102">
        <f t="shared" si="150"/>
        <v>0</v>
      </c>
      <c r="AA438" s="102">
        <f t="shared" si="150"/>
        <v>855248186</v>
      </c>
      <c r="AB438" s="102">
        <f t="shared" si="150"/>
        <v>1608482068.22</v>
      </c>
      <c r="AC438" s="102">
        <f t="shared" si="150"/>
        <v>0</v>
      </c>
      <c r="AD438" s="102">
        <f>AD439</f>
        <v>2463730254.2200003</v>
      </c>
      <c r="AE438" s="102"/>
      <c r="AF438" s="543"/>
    </row>
    <row r="439" spans="1:89" s="9" customFormat="1" ht="27.75" customHeight="1" x14ac:dyDescent="0.25">
      <c r="A439" s="95"/>
      <c r="B439" s="576"/>
      <c r="C439" s="593">
        <v>43</v>
      </c>
      <c r="D439" s="578" t="s">
        <v>1306</v>
      </c>
      <c r="E439" s="592"/>
      <c r="F439" s="579"/>
      <c r="G439" s="580"/>
      <c r="H439" s="581"/>
      <c r="I439" s="582"/>
      <c r="J439" s="583"/>
      <c r="K439" s="584"/>
      <c r="L439" s="585"/>
      <c r="M439" s="583"/>
      <c r="N439" s="587"/>
      <c r="O439" s="588"/>
      <c r="P439" s="588"/>
      <c r="Q439" s="589">
        <f>Q440+Q445</f>
        <v>0</v>
      </c>
      <c r="R439" s="589">
        <f t="shared" ref="R439:AC439" si="151">R440+R445</f>
        <v>0</v>
      </c>
      <c r="S439" s="589">
        <f t="shared" si="151"/>
        <v>0</v>
      </c>
      <c r="T439" s="589">
        <f t="shared" si="151"/>
        <v>0</v>
      </c>
      <c r="U439" s="589">
        <f t="shared" si="151"/>
        <v>0</v>
      </c>
      <c r="V439" s="589">
        <f t="shared" si="151"/>
        <v>0</v>
      </c>
      <c r="W439" s="589">
        <f t="shared" si="151"/>
        <v>0</v>
      </c>
      <c r="X439" s="589">
        <f t="shared" si="151"/>
        <v>0</v>
      </c>
      <c r="Y439" s="589">
        <f t="shared" si="151"/>
        <v>0</v>
      </c>
      <c r="Z439" s="589">
        <f t="shared" si="151"/>
        <v>0</v>
      </c>
      <c r="AA439" s="589">
        <f t="shared" si="151"/>
        <v>855248186</v>
      </c>
      <c r="AB439" s="589">
        <f t="shared" si="151"/>
        <v>1608482068.22</v>
      </c>
      <c r="AC439" s="589">
        <f t="shared" si="151"/>
        <v>0</v>
      </c>
      <c r="AD439" s="589">
        <f>AD440+AD445</f>
        <v>2463730254.2200003</v>
      </c>
      <c r="AE439" s="589"/>
      <c r="AF439" s="590"/>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c r="CI439" s="8"/>
      <c r="CJ439" s="8"/>
      <c r="CK439" s="8"/>
    </row>
    <row r="440" spans="1:89" ht="35.25" customHeight="1" x14ac:dyDescent="0.2">
      <c r="A440" s="103"/>
      <c r="B440" s="104"/>
      <c r="C440" s="104"/>
      <c r="D440" s="104"/>
      <c r="E440" s="74">
        <v>4301</v>
      </c>
      <c r="F440" s="471" t="s">
        <v>168</v>
      </c>
      <c r="G440" s="473"/>
      <c r="H440" s="246"/>
      <c r="I440" s="507"/>
      <c r="J440" s="246"/>
      <c r="K440" s="325"/>
      <c r="L440" s="183"/>
      <c r="M440" s="246"/>
      <c r="N440" s="183"/>
      <c r="O440" s="325"/>
      <c r="P440" s="325"/>
      <c r="Q440" s="130">
        <f>SUM(Q441:Q444)</f>
        <v>0</v>
      </c>
      <c r="R440" s="130">
        <f t="shared" ref="R440:AD440" si="152">SUM(R441:R444)</f>
        <v>0</v>
      </c>
      <c r="S440" s="130">
        <f t="shared" si="152"/>
        <v>0</v>
      </c>
      <c r="T440" s="130">
        <f t="shared" si="152"/>
        <v>0</v>
      </c>
      <c r="U440" s="130">
        <f t="shared" si="152"/>
        <v>0</v>
      </c>
      <c r="V440" s="130">
        <f t="shared" si="152"/>
        <v>0</v>
      </c>
      <c r="W440" s="130">
        <f t="shared" si="152"/>
        <v>0</v>
      </c>
      <c r="X440" s="130">
        <f t="shared" si="152"/>
        <v>0</v>
      </c>
      <c r="Y440" s="130">
        <f t="shared" si="152"/>
        <v>0</v>
      </c>
      <c r="Z440" s="130">
        <f t="shared" si="152"/>
        <v>0</v>
      </c>
      <c r="AA440" s="130">
        <f t="shared" si="152"/>
        <v>136127636</v>
      </c>
      <c r="AB440" s="130">
        <f t="shared" si="152"/>
        <v>1320121882.22</v>
      </c>
      <c r="AC440" s="130">
        <f t="shared" si="152"/>
        <v>0</v>
      </c>
      <c r="AD440" s="130">
        <f t="shared" si="152"/>
        <v>1456249518.22</v>
      </c>
      <c r="AE440" s="130"/>
      <c r="AF440" s="130"/>
    </row>
    <row r="441" spans="1:89" ht="140.25" customHeight="1" x14ac:dyDescent="0.2">
      <c r="A441" s="103"/>
      <c r="B441" s="104"/>
      <c r="C441" s="104"/>
      <c r="D441" s="104"/>
      <c r="E441" s="104"/>
      <c r="F441" s="457"/>
      <c r="G441" s="289" t="s">
        <v>1199</v>
      </c>
      <c r="H441" s="461">
        <v>4301007</v>
      </c>
      <c r="I441" s="193" t="s">
        <v>1200</v>
      </c>
      <c r="J441" s="461">
        <v>430100701</v>
      </c>
      <c r="K441" s="192" t="s">
        <v>1201</v>
      </c>
      <c r="L441" s="462" t="s">
        <v>45</v>
      </c>
      <c r="M441" s="470">
        <v>12</v>
      </c>
      <c r="N441" s="1555">
        <v>2020003630009</v>
      </c>
      <c r="O441" s="1519" t="s">
        <v>1202</v>
      </c>
      <c r="P441" s="1503" t="s">
        <v>1203</v>
      </c>
      <c r="Q441" s="118"/>
      <c r="R441" s="118"/>
      <c r="S441" s="118"/>
      <c r="T441" s="118"/>
      <c r="U441" s="118"/>
      <c r="V441" s="346"/>
      <c r="W441" s="118"/>
      <c r="X441" s="118"/>
      <c r="Y441" s="352"/>
      <c r="Z441" s="118"/>
      <c r="AA441" s="290"/>
      <c r="AB441" s="510">
        <f>98625517.93+745120983.31</f>
        <v>843746501.24000001</v>
      </c>
      <c r="AC441" s="118"/>
      <c r="AD441" s="120">
        <f>+Q441+R441+S441+T441+U441+V441+W441+X441+Y441+Z441+AA441+AB441+AC441</f>
        <v>843746501.24000001</v>
      </c>
      <c r="AE441" s="557" t="s">
        <v>1296</v>
      </c>
      <c r="AF441" s="557" t="s">
        <v>1295</v>
      </c>
      <c r="AG441" s="60"/>
    </row>
    <row r="442" spans="1:89" ht="140.25" customHeight="1" x14ac:dyDescent="0.2">
      <c r="A442" s="103"/>
      <c r="B442" s="104"/>
      <c r="C442" s="104"/>
      <c r="D442" s="104"/>
      <c r="E442" s="104"/>
      <c r="F442" s="457"/>
      <c r="G442" s="289" t="s">
        <v>1199</v>
      </c>
      <c r="H442" s="461">
        <v>4301037</v>
      </c>
      <c r="I442" s="193" t="s">
        <v>1204</v>
      </c>
      <c r="J442" s="461">
        <v>430103701</v>
      </c>
      <c r="K442" s="192" t="s">
        <v>1205</v>
      </c>
      <c r="L442" s="466" t="s">
        <v>45</v>
      </c>
      <c r="M442" s="470">
        <v>12</v>
      </c>
      <c r="N442" s="1555"/>
      <c r="O442" s="1519"/>
      <c r="P442" s="1503"/>
      <c r="Q442" s="118"/>
      <c r="R442" s="118"/>
      <c r="S442" s="118"/>
      <c r="T442" s="118"/>
      <c r="U442" s="118"/>
      <c r="V442" s="329"/>
      <c r="W442" s="118"/>
      <c r="X442" s="118"/>
      <c r="Y442" s="352"/>
      <c r="Z442" s="118"/>
      <c r="AA442" s="290"/>
      <c r="AB442" s="290">
        <v>176820060</v>
      </c>
      <c r="AC442" s="291"/>
      <c r="AD442" s="120">
        <f>+Q442+R442+S442+T442+U442+V442+W442+X442+Y442+Z442+AA442+AB442+AC442</f>
        <v>176820060</v>
      </c>
      <c r="AE442" s="557" t="s">
        <v>1296</v>
      </c>
      <c r="AF442" s="557" t="s">
        <v>1295</v>
      </c>
      <c r="AG442" s="1"/>
    </row>
    <row r="443" spans="1:89" ht="129" customHeight="1" x14ac:dyDescent="0.2">
      <c r="A443" s="103"/>
      <c r="B443" s="104"/>
      <c r="C443" s="104"/>
      <c r="D443" s="104"/>
      <c r="E443" s="104"/>
      <c r="F443" s="457"/>
      <c r="G443" s="289" t="s">
        <v>1199</v>
      </c>
      <c r="H443" s="461">
        <v>4301037</v>
      </c>
      <c r="I443" s="193" t="s">
        <v>1204</v>
      </c>
      <c r="J443" s="461" t="s">
        <v>1206</v>
      </c>
      <c r="K443" s="192" t="s">
        <v>1207</v>
      </c>
      <c r="L443" s="466" t="s">
        <v>45</v>
      </c>
      <c r="M443" s="470">
        <v>12</v>
      </c>
      <c r="N443" s="1555"/>
      <c r="O443" s="1519"/>
      <c r="P443" s="1503"/>
      <c r="Q443" s="118"/>
      <c r="R443" s="118"/>
      <c r="S443" s="118"/>
      <c r="T443" s="118"/>
      <c r="U443" s="118"/>
      <c r="V443" s="329"/>
      <c r="W443" s="118"/>
      <c r="X443" s="118"/>
      <c r="Y443" s="352"/>
      <c r="Z443" s="118"/>
      <c r="AA443" s="290">
        <f>63455402+72672234</f>
        <v>136127636</v>
      </c>
      <c r="AB443" s="290">
        <v>223377194</v>
      </c>
      <c r="AC443" s="118"/>
      <c r="AD443" s="120">
        <f>+Q443+R443+S443+T443+U443+V443+W443+X443+Y443+Z443+AA443+AB443+AC443</f>
        <v>359504830</v>
      </c>
      <c r="AE443" s="557" t="s">
        <v>1296</v>
      </c>
      <c r="AF443" s="557" t="s">
        <v>1295</v>
      </c>
      <c r="AG443" s="1"/>
    </row>
    <row r="444" spans="1:89" ht="166.5" customHeight="1" x14ac:dyDescent="0.2">
      <c r="A444" s="103"/>
      <c r="B444" s="104"/>
      <c r="C444" s="104"/>
      <c r="D444" s="104"/>
      <c r="E444" s="104"/>
      <c r="F444" s="457"/>
      <c r="G444" s="289" t="s">
        <v>1199</v>
      </c>
      <c r="H444" s="135">
        <v>4399065</v>
      </c>
      <c r="I444" s="193" t="s">
        <v>1208</v>
      </c>
      <c r="J444" s="135">
        <v>439906500</v>
      </c>
      <c r="K444" s="192" t="s">
        <v>1209</v>
      </c>
      <c r="L444" s="462" t="s">
        <v>45</v>
      </c>
      <c r="M444" s="470">
        <v>1</v>
      </c>
      <c r="N444" s="1555"/>
      <c r="O444" s="1519"/>
      <c r="P444" s="1503"/>
      <c r="Q444" s="118"/>
      <c r="R444" s="118"/>
      <c r="S444" s="118"/>
      <c r="T444" s="118"/>
      <c r="U444" s="118"/>
      <c r="V444" s="329"/>
      <c r="W444" s="118"/>
      <c r="X444" s="118"/>
      <c r="Y444" s="352"/>
      <c r="Z444" s="118"/>
      <c r="AA444" s="292"/>
      <c r="AB444" s="293">
        <v>76178126.980000004</v>
      </c>
      <c r="AC444" s="294"/>
      <c r="AD444" s="120">
        <f>+Q444+R444+S444+T444+U444+V444+W444+X444+Y444+Z444+AA444+AB444+AC444</f>
        <v>76178126.980000004</v>
      </c>
      <c r="AE444" s="557" t="s">
        <v>1296</v>
      </c>
      <c r="AF444" s="557" t="s">
        <v>1295</v>
      </c>
      <c r="AG444" s="1"/>
    </row>
    <row r="445" spans="1:89" ht="25.5" customHeight="1" x14ac:dyDescent="0.2">
      <c r="A445" s="103"/>
      <c r="B445" s="104"/>
      <c r="C445" s="104"/>
      <c r="D445" s="104"/>
      <c r="E445" s="288">
        <v>4302</v>
      </c>
      <c r="F445" s="1498" t="s">
        <v>1210</v>
      </c>
      <c r="G445" s="1499"/>
      <c r="H445" s="107"/>
      <c r="I445" s="487"/>
      <c r="J445" s="74"/>
      <c r="K445" s="70"/>
      <c r="L445" s="108"/>
      <c r="M445" s="74"/>
      <c r="N445" s="109"/>
      <c r="O445" s="70"/>
      <c r="P445" s="70"/>
      <c r="Q445" s="110">
        <f>SUM(Q446:Q447)</f>
        <v>0</v>
      </c>
      <c r="R445" s="110">
        <f t="shared" ref="R445:AD445" si="153">SUM(R446:R447)</f>
        <v>0</v>
      </c>
      <c r="S445" s="110">
        <f t="shared" si="153"/>
        <v>0</v>
      </c>
      <c r="T445" s="110">
        <f t="shared" si="153"/>
        <v>0</v>
      </c>
      <c r="U445" s="110">
        <f t="shared" si="153"/>
        <v>0</v>
      </c>
      <c r="V445" s="110">
        <f t="shared" si="153"/>
        <v>0</v>
      </c>
      <c r="W445" s="110">
        <f t="shared" si="153"/>
        <v>0</v>
      </c>
      <c r="X445" s="110">
        <f t="shared" si="153"/>
        <v>0</v>
      </c>
      <c r="Y445" s="110">
        <f t="shared" si="153"/>
        <v>0</v>
      </c>
      <c r="Z445" s="110">
        <f t="shared" si="153"/>
        <v>0</v>
      </c>
      <c r="AA445" s="110">
        <f t="shared" si="153"/>
        <v>719120550</v>
      </c>
      <c r="AB445" s="110">
        <f t="shared" si="153"/>
        <v>288360186</v>
      </c>
      <c r="AC445" s="110">
        <f t="shared" si="153"/>
        <v>0</v>
      </c>
      <c r="AD445" s="110">
        <f t="shared" si="153"/>
        <v>1007480736</v>
      </c>
      <c r="AE445" s="110"/>
      <c r="AF445" s="544"/>
    </row>
    <row r="446" spans="1:89" ht="151.5" customHeight="1" x14ac:dyDescent="0.2">
      <c r="A446" s="103"/>
      <c r="B446" s="104"/>
      <c r="C446" s="104"/>
      <c r="D446" s="104"/>
      <c r="E446" s="104"/>
      <c r="F446" s="133"/>
      <c r="G446" s="220" t="s">
        <v>1211</v>
      </c>
      <c r="H446" s="295">
        <v>4302075</v>
      </c>
      <c r="I446" s="193" t="s">
        <v>1212</v>
      </c>
      <c r="J446" s="171">
        <v>430207500</v>
      </c>
      <c r="K446" s="220" t="s">
        <v>1213</v>
      </c>
      <c r="L446" s="462" t="s">
        <v>45</v>
      </c>
      <c r="M446" s="466">
        <v>25</v>
      </c>
      <c r="N446" s="459">
        <v>2020003630010</v>
      </c>
      <c r="O446" s="492" t="s">
        <v>1214</v>
      </c>
      <c r="P446" s="492" t="s">
        <v>1215</v>
      </c>
      <c r="Q446" s="118"/>
      <c r="R446" s="118"/>
      <c r="S446" s="118"/>
      <c r="T446" s="118"/>
      <c r="U446" s="118"/>
      <c r="V446" s="329"/>
      <c r="W446" s="118"/>
      <c r="X446" s="118"/>
      <c r="Y446" s="352"/>
      <c r="Z446" s="118"/>
      <c r="AA446" s="296">
        <v>684120550</v>
      </c>
      <c r="AB446" s="296">
        <v>288360186</v>
      </c>
      <c r="AC446" s="118"/>
      <c r="AD446" s="120">
        <f>+Q446+R446+S446+T446+U446+V446+W446+X446+Y446+Z446+AA446+AB446+AC446</f>
        <v>972480736</v>
      </c>
      <c r="AE446" s="557" t="s">
        <v>1296</v>
      </c>
      <c r="AF446" s="557" t="s">
        <v>1295</v>
      </c>
      <c r="AG446" s="1"/>
    </row>
    <row r="447" spans="1:89" ht="147" customHeight="1" x14ac:dyDescent="0.2">
      <c r="A447" s="103"/>
      <c r="B447" s="104"/>
      <c r="C447" s="104"/>
      <c r="D447" s="104"/>
      <c r="E447" s="104"/>
      <c r="F447" s="133"/>
      <c r="G447" s="220" t="s">
        <v>1216</v>
      </c>
      <c r="H447" s="428">
        <v>4302004</v>
      </c>
      <c r="I447" s="193" t="s">
        <v>1212</v>
      </c>
      <c r="J447" s="230">
        <v>430200401</v>
      </c>
      <c r="K447" s="220" t="s">
        <v>1217</v>
      </c>
      <c r="L447" s="462" t="s">
        <v>45</v>
      </c>
      <c r="M447" s="466">
        <v>1</v>
      </c>
      <c r="N447" s="459">
        <v>2020003630013</v>
      </c>
      <c r="O447" s="199" t="s">
        <v>1218</v>
      </c>
      <c r="P447" s="140" t="s">
        <v>1219</v>
      </c>
      <c r="Q447" s="118"/>
      <c r="R447" s="118"/>
      <c r="S447" s="118"/>
      <c r="T447" s="118"/>
      <c r="U447" s="118"/>
      <c r="V447" s="329"/>
      <c r="W447" s="118"/>
      <c r="X447" s="118"/>
      <c r="Y447" s="352"/>
      <c r="Z447" s="118"/>
      <c r="AA447" s="120">
        <v>35000000</v>
      </c>
      <c r="AB447" s="297"/>
      <c r="AC447" s="118"/>
      <c r="AD447" s="120">
        <f>+Q447+R447+S447+T447+U447+V447+W447+X447+Y447+Z447+AA447+AB447+AC447</f>
        <v>35000000</v>
      </c>
      <c r="AE447" s="557" t="s">
        <v>1296</v>
      </c>
      <c r="AF447" s="557" t="s">
        <v>1295</v>
      </c>
      <c r="AG447" s="1"/>
    </row>
    <row r="448" spans="1:89" s="635" customFormat="1" ht="24" customHeight="1" x14ac:dyDescent="0.2">
      <c r="A448" s="630"/>
      <c r="B448" s="631"/>
      <c r="C448" s="631"/>
      <c r="D448" s="631"/>
      <c r="E448" s="632"/>
      <c r="F448" s="630"/>
      <c r="G448" s="607"/>
      <c r="H448" s="632"/>
      <c r="I448" s="607"/>
      <c r="J448" s="608"/>
      <c r="K448" s="609"/>
      <c r="L448" s="630"/>
      <c r="M448" s="608"/>
      <c r="N448" s="634"/>
      <c r="O448" s="609"/>
      <c r="P448" s="609"/>
      <c r="Q448" s="630"/>
      <c r="R448" s="630"/>
      <c r="S448" s="630"/>
      <c r="T448" s="630"/>
      <c r="U448" s="630"/>
      <c r="V448" s="630"/>
      <c r="W448" s="630"/>
      <c r="X448" s="630"/>
      <c r="Y448" s="630"/>
      <c r="Z448" s="630"/>
      <c r="AA448" s="630"/>
      <c r="AB448" s="630"/>
      <c r="AC448" s="630"/>
      <c r="AD448" s="630"/>
      <c r="AE448" s="630"/>
      <c r="AF448" s="634"/>
      <c r="AG448" s="441"/>
      <c r="AH448" s="441"/>
      <c r="AI448" s="441"/>
      <c r="AJ448" s="441"/>
      <c r="AK448" s="441"/>
      <c r="AL448" s="441"/>
      <c r="AM448" s="441"/>
      <c r="AN448" s="441"/>
      <c r="AO448" s="441"/>
      <c r="AP448" s="441"/>
      <c r="AQ448" s="441"/>
      <c r="AR448" s="441"/>
      <c r="AS448" s="441"/>
      <c r="AT448" s="441"/>
      <c r="AU448" s="441"/>
      <c r="AV448" s="441"/>
      <c r="AW448" s="441"/>
      <c r="AX448" s="441"/>
      <c r="AY448" s="441"/>
      <c r="AZ448" s="441"/>
      <c r="BA448" s="441"/>
      <c r="BB448" s="441"/>
      <c r="BC448" s="441"/>
      <c r="BD448" s="441"/>
      <c r="BE448" s="441"/>
      <c r="BF448" s="441"/>
      <c r="BG448" s="441"/>
      <c r="BH448" s="441"/>
      <c r="BI448" s="441"/>
      <c r="BJ448" s="441"/>
      <c r="BK448" s="441"/>
      <c r="BL448" s="441"/>
      <c r="BM448" s="441"/>
      <c r="BN448" s="441"/>
      <c r="BO448" s="441"/>
      <c r="BP448" s="441"/>
      <c r="BQ448" s="441"/>
      <c r="BR448" s="441"/>
      <c r="BS448" s="441"/>
      <c r="BT448" s="441"/>
      <c r="BU448" s="441"/>
      <c r="BV448" s="441"/>
      <c r="BW448" s="441"/>
      <c r="BX448" s="441"/>
      <c r="BY448" s="441"/>
      <c r="BZ448" s="441"/>
      <c r="CA448" s="441"/>
      <c r="CB448" s="441"/>
      <c r="CC448" s="441"/>
      <c r="CD448" s="441"/>
      <c r="CE448" s="441"/>
      <c r="CF448" s="441"/>
      <c r="CG448" s="441"/>
      <c r="CH448" s="441"/>
      <c r="CI448" s="441"/>
      <c r="CJ448" s="441"/>
      <c r="CK448" s="441"/>
    </row>
    <row r="449" spans="1:89" s="11" customFormat="1" ht="27" customHeight="1" x14ac:dyDescent="0.2">
      <c r="A449" s="86" t="s">
        <v>1220</v>
      </c>
      <c r="B449" s="86"/>
      <c r="C449" s="86"/>
      <c r="D449" s="86"/>
      <c r="E449" s="87"/>
      <c r="F449" s="88"/>
      <c r="G449" s="89"/>
      <c r="H449" s="90"/>
      <c r="I449" s="89"/>
      <c r="J449" s="92"/>
      <c r="K449" s="91"/>
      <c r="L449" s="93"/>
      <c r="M449" s="92"/>
      <c r="N449" s="88"/>
      <c r="O449" s="91"/>
      <c r="P449" s="91"/>
      <c r="Q449" s="144">
        <f>Q450+Q457</f>
        <v>1027674743</v>
      </c>
      <c r="R449" s="144">
        <f t="shared" ref="R449:AD449" si="154">R450+R457</f>
        <v>0</v>
      </c>
      <c r="S449" s="144">
        <f t="shared" si="154"/>
        <v>0</v>
      </c>
      <c r="T449" s="144">
        <f t="shared" si="154"/>
        <v>0</v>
      </c>
      <c r="U449" s="144">
        <f t="shared" si="154"/>
        <v>0</v>
      </c>
      <c r="V449" s="144">
        <f t="shared" si="154"/>
        <v>0</v>
      </c>
      <c r="W449" s="144">
        <f t="shared" si="154"/>
        <v>0</v>
      </c>
      <c r="X449" s="144">
        <f t="shared" si="154"/>
        <v>0</v>
      </c>
      <c r="Y449" s="144">
        <f t="shared" si="154"/>
        <v>0</v>
      </c>
      <c r="Z449" s="144">
        <f t="shared" si="154"/>
        <v>0</v>
      </c>
      <c r="AA449" s="144">
        <f t="shared" si="154"/>
        <v>0</v>
      </c>
      <c r="AB449" s="144">
        <f t="shared" si="154"/>
        <v>997308456</v>
      </c>
      <c r="AC449" s="144">
        <f t="shared" si="154"/>
        <v>0</v>
      </c>
      <c r="AD449" s="144">
        <f t="shared" si="154"/>
        <v>2024983199</v>
      </c>
      <c r="AE449" s="144"/>
      <c r="AF449" s="94"/>
      <c r="AG449" s="18">
        <v>2024983199</v>
      </c>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row>
    <row r="450" spans="1:89" s="11" customFormat="1" ht="24.75" customHeight="1" x14ac:dyDescent="0.2">
      <c r="A450" s="133"/>
      <c r="B450" s="99">
        <v>1</v>
      </c>
      <c r="C450" s="365" t="s">
        <v>134</v>
      </c>
      <c r="D450" s="96"/>
      <c r="E450" s="365"/>
      <c r="F450" s="365"/>
      <c r="G450" s="365"/>
      <c r="H450" s="113"/>
      <c r="I450" s="489"/>
      <c r="J450" s="99"/>
      <c r="K450" s="98"/>
      <c r="L450" s="298"/>
      <c r="M450" s="99"/>
      <c r="N450" s="299"/>
      <c r="O450" s="98"/>
      <c r="P450" s="98"/>
      <c r="Q450" s="300">
        <f>Q451+Q454</f>
        <v>616604845.79999995</v>
      </c>
      <c r="R450" s="300">
        <f t="shared" ref="R450:AC450" si="155">R451+R454</f>
        <v>0</v>
      </c>
      <c r="S450" s="300">
        <f t="shared" si="155"/>
        <v>0</v>
      </c>
      <c r="T450" s="300">
        <f t="shared" si="155"/>
        <v>0</v>
      </c>
      <c r="U450" s="300">
        <f t="shared" si="155"/>
        <v>0</v>
      </c>
      <c r="V450" s="300">
        <f t="shared" si="155"/>
        <v>0</v>
      </c>
      <c r="W450" s="300">
        <f t="shared" si="155"/>
        <v>0</v>
      </c>
      <c r="X450" s="300">
        <f t="shared" si="155"/>
        <v>0</v>
      </c>
      <c r="Y450" s="300">
        <f t="shared" si="155"/>
        <v>0</v>
      </c>
      <c r="Z450" s="300">
        <f t="shared" si="155"/>
        <v>0</v>
      </c>
      <c r="AA450" s="300">
        <f t="shared" si="155"/>
        <v>0</v>
      </c>
      <c r="AB450" s="300">
        <f t="shared" si="155"/>
        <v>0</v>
      </c>
      <c r="AC450" s="300">
        <f t="shared" si="155"/>
        <v>0</v>
      </c>
      <c r="AD450" s="300">
        <f>AD451+AD454</f>
        <v>616604845.79999995</v>
      </c>
      <c r="AE450" s="300"/>
      <c r="AF450" s="551"/>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row>
    <row r="451" spans="1:89" s="9" customFormat="1" ht="27.75" customHeight="1" x14ac:dyDescent="0.25">
      <c r="A451" s="95"/>
      <c r="B451" s="576"/>
      <c r="C451" s="593">
        <v>43</v>
      </c>
      <c r="D451" s="578" t="s">
        <v>1306</v>
      </c>
      <c r="E451" s="592"/>
      <c r="F451" s="579"/>
      <c r="G451" s="580"/>
      <c r="H451" s="581"/>
      <c r="I451" s="582"/>
      <c r="J451" s="583"/>
      <c r="K451" s="584"/>
      <c r="L451" s="585"/>
      <c r="M451" s="583"/>
      <c r="N451" s="587"/>
      <c r="O451" s="588"/>
      <c r="P451" s="588"/>
      <c r="Q451" s="589">
        <f>Q452</f>
        <v>308302422.89999998</v>
      </c>
      <c r="R451" s="589">
        <f t="shared" ref="R451:AD452" si="156">R452</f>
        <v>0</v>
      </c>
      <c r="S451" s="589">
        <f t="shared" si="156"/>
        <v>0</v>
      </c>
      <c r="T451" s="589">
        <f t="shared" si="156"/>
        <v>0</v>
      </c>
      <c r="U451" s="589">
        <f t="shared" si="156"/>
        <v>0</v>
      </c>
      <c r="V451" s="589">
        <f t="shared" si="156"/>
        <v>0</v>
      </c>
      <c r="W451" s="589">
        <f t="shared" si="156"/>
        <v>0</v>
      </c>
      <c r="X451" s="589">
        <f t="shared" si="156"/>
        <v>0</v>
      </c>
      <c r="Y451" s="589">
        <f t="shared" si="156"/>
        <v>0</v>
      </c>
      <c r="Z451" s="589">
        <f t="shared" si="156"/>
        <v>0</v>
      </c>
      <c r="AA451" s="589">
        <f t="shared" si="156"/>
        <v>0</v>
      </c>
      <c r="AB451" s="589">
        <f t="shared" si="156"/>
        <v>0</v>
      </c>
      <c r="AC451" s="589">
        <f t="shared" si="156"/>
        <v>0</v>
      </c>
      <c r="AD451" s="589">
        <f t="shared" si="156"/>
        <v>308302422.89999998</v>
      </c>
      <c r="AE451" s="589"/>
      <c r="AF451" s="590"/>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c r="CI451" s="8"/>
      <c r="CJ451" s="8"/>
      <c r="CK451" s="8"/>
    </row>
    <row r="452" spans="1:89" s="11" customFormat="1" ht="25.5" customHeight="1" x14ac:dyDescent="0.2">
      <c r="A452" s="133"/>
      <c r="B452" s="301"/>
      <c r="C452" s="301"/>
      <c r="D452" s="301"/>
      <c r="E452" s="74">
        <v>4301</v>
      </c>
      <c r="F452" s="471" t="s">
        <v>168</v>
      </c>
      <c r="G452" s="473"/>
      <c r="H452" s="246"/>
      <c r="I452" s="487"/>
      <c r="J452" s="74"/>
      <c r="K452" s="190"/>
      <c r="L452" s="302"/>
      <c r="M452" s="74"/>
      <c r="N452" s="303"/>
      <c r="O452" s="190"/>
      <c r="P452" s="190"/>
      <c r="Q452" s="304">
        <f>Q453</f>
        <v>308302422.89999998</v>
      </c>
      <c r="R452" s="304">
        <f t="shared" si="156"/>
        <v>0</v>
      </c>
      <c r="S452" s="304">
        <f t="shared" si="156"/>
        <v>0</v>
      </c>
      <c r="T452" s="304">
        <f t="shared" si="156"/>
        <v>0</v>
      </c>
      <c r="U452" s="304">
        <f t="shared" si="156"/>
        <v>0</v>
      </c>
      <c r="V452" s="304">
        <f t="shared" si="156"/>
        <v>0</v>
      </c>
      <c r="W452" s="304">
        <f t="shared" si="156"/>
        <v>0</v>
      </c>
      <c r="X452" s="304">
        <f t="shared" si="156"/>
        <v>0</v>
      </c>
      <c r="Y452" s="304">
        <f t="shared" si="156"/>
        <v>0</v>
      </c>
      <c r="Z452" s="304">
        <f t="shared" si="156"/>
        <v>0</v>
      </c>
      <c r="AA452" s="304">
        <f t="shared" si="156"/>
        <v>0</v>
      </c>
      <c r="AB452" s="304">
        <f t="shared" si="156"/>
        <v>0</v>
      </c>
      <c r="AC452" s="304">
        <f t="shared" si="156"/>
        <v>0</v>
      </c>
      <c r="AD452" s="304">
        <f t="shared" si="156"/>
        <v>308302422.89999998</v>
      </c>
      <c r="AE452" s="304"/>
      <c r="AF452" s="303"/>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row>
    <row r="453" spans="1:89" s="11" customFormat="1" ht="175.5" customHeight="1" x14ac:dyDescent="0.2">
      <c r="A453" s="133"/>
      <c r="B453" s="301"/>
      <c r="C453" s="301"/>
      <c r="D453" s="301"/>
      <c r="E453" s="111"/>
      <c r="F453" s="462"/>
      <c r="G453" s="152" t="s">
        <v>169</v>
      </c>
      <c r="H453" s="115">
        <v>4301004</v>
      </c>
      <c r="I453" s="257" t="s">
        <v>170</v>
      </c>
      <c r="J453" s="216">
        <v>430100401</v>
      </c>
      <c r="K453" s="257" t="s">
        <v>171</v>
      </c>
      <c r="L453" s="457" t="s">
        <v>57</v>
      </c>
      <c r="M453" s="470">
        <v>3</v>
      </c>
      <c r="N453" s="469" t="s">
        <v>1221</v>
      </c>
      <c r="O453" s="257" t="s">
        <v>1222</v>
      </c>
      <c r="P453" s="257" t="s">
        <v>1223</v>
      </c>
      <c r="Q453" s="180">
        <v>308302422.89999998</v>
      </c>
      <c r="R453" s="118"/>
      <c r="S453" s="118"/>
      <c r="T453" s="118"/>
      <c r="U453" s="118"/>
      <c r="V453" s="329"/>
      <c r="W453" s="118"/>
      <c r="X453" s="118"/>
      <c r="Y453" s="352"/>
      <c r="Z453" s="118"/>
      <c r="AA453" s="186"/>
      <c r="AB453" s="305"/>
      <c r="AC453" s="118"/>
      <c r="AD453" s="120">
        <f>+Q453+R453+S453+T453+U453+V453+W453+X453+Y453+Z453+AA453+AB453+AC453</f>
        <v>308302422.89999998</v>
      </c>
      <c r="AE453" s="557" t="s">
        <v>1297</v>
      </c>
      <c r="AF453" s="557" t="s">
        <v>1298</v>
      </c>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row>
    <row r="454" spans="1:89" s="9" customFormat="1" ht="27.75" customHeight="1" x14ac:dyDescent="0.25">
      <c r="A454" s="95"/>
      <c r="B454" s="576"/>
      <c r="C454" s="593">
        <v>22</v>
      </c>
      <c r="D454" s="578" t="s">
        <v>266</v>
      </c>
      <c r="E454" s="592"/>
      <c r="F454" s="579"/>
      <c r="G454" s="580"/>
      <c r="H454" s="581"/>
      <c r="I454" s="582"/>
      <c r="J454" s="583"/>
      <c r="K454" s="584"/>
      <c r="L454" s="585"/>
      <c r="M454" s="583"/>
      <c r="N454" s="587"/>
      <c r="O454" s="588"/>
      <c r="P454" s="588"/>
      <c r="Q454" s="589">
        <f>Q455</f>
        <v>308302422.89999998</v>
      </c>
      <c r="R454" s="589">
        <f t="shared" ref="R454:AD455" si="157">R455</f>
        <v>0</v>
      </c>
      <c r="S454" s="589">
        <f t="shared" si="157"/>
        <v>0</v>
      </c>
      <c r="T454" s="589">
        <f t="shared" si="157"/>
        <v>0</v>
      </c>
      <c r="U454" s="589">
        <f t="shared" si="157"/>
        <v>0</v>
      </c>
      <c r="V454" s="589">
        <f t="shared" si="157"/>
        <v>0</v>
      </c>
      <c r="W454" s="589">
        <f t="shared" si="157"/>
        <v>0</v>
      </c>
      <c r="X454" s="589">
        <f t="shared" si="157"/>
        <v>0</v>
      </c>
      <c r="Y454" s="589">
        <f t="shared" si="157"/>
        <v>0</v>
      </c>
      <c r="Z454" s="589">
        <f t="shared" si="157"/>
        <v>0</v>
      </c>
      <c r="AA454" s="589">
        <f t="shared" si="157"/>
        <v>0</v>
      </c>
      <c r="AB454" s="589">
        <f t="shared" si="157"/>
        <v>0</v>
      </c>
      <c r="AC454" s="589">
        <f t="shared" si="157"/>
        <v>0</v>
      </c>
      <c r="AD454" s="589">
        <f t="shared" si="157"/>
        <v>308302422.89999998</v>
      </c>
      <c r="AE454" s="589"/>
      <c r="AF454" s="590"/>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c r="CI454" s="8"/>
      <c r="CJ454" s="8"/>
      <c r="CK454" s="8"/>
    </row>
    <row r="455" spans="1:89" s="11" customFormat="1" ht="47.25" customHeight="1" x14ac:dyDescent="0.2">
      <c r="A455" s="133"/>
      <c r="B455" s="301"/>
      <c r="C455" s="301"/>
      <c r="D455" s="301"/>
      <c r="E455" s="74">
        <v>2201</v>
      </c>
      <c r="F455" s="1512" t="s">
        <v>152</v>
      </c>
      <c r="G455" s="1513"/>
      <c r="H455" s="1513"/>
      <c r="I455" s="1514"/>
      <c r="J455" s="74"/>
      <c r="K455" s="70"/>
      <c r="L455" s="306"/>
      <c r="M455" s="74"/>
      <c r="N455" s="188"/>
      <c r="O455" s="70"/>
      <c r="P455" s="70"/>
      <c r="Q455" s="304">
        <f>Q456</f>
        <v>308302422.89999998</v>
      </c>
      <c r="R455" s="304">
        <f t="shared" si="157"/>
        <v>0</v>
      </c>
      <c r="S455" s="304">
        <f t="shared" si="157"/>
        <v>0</v>
      </c>
      <c r="T455" s="304">
        <f t="shared" si="157"/>
        <v>0</v>
      </c>
      <c r="U455" s="304">
        <f t="shared" si="157"/>
        <v>0</v>
      </c>
      <c r="V455" s="304">
        <f t="shared" si="157"/>
        <v>0</v>
      </c>
      <c r="W455" s="304">
        <f t="shared" si="157"/>
        <v>0</v>
      </c>
      <c r="X455" s="304">
        <f t="shared" si="157"/>
        <v>0</v>
      </c>
      <c r="Y455" s="304">
        <f t="shared" si="157"/>
        <v>0</v>
      </c>
      <c r="Z455" s="304">
        <f t="shared" si="157"/>
        <v>0</v>
      </c>
      <c r="AA455" s="304">
        <f t="shared" si="157"/>
        <v>0</v>
      </c>
      <c r="AB455" s="304">
        <f t="shared" si="157"/>
        <v>0</v>
      </c>
      <c r="AC455" s="304">
        <f t="shared" si="157"/>
        <v>0</v>
      </c>
      <c r="AD455" s="304">
        <f t="shared" si="157"/>
        <v>308302422.89999998</v>
      </c>
      <c r="AE455" s="304"/>
      <c r="AF455" s="303"/>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row>
    <row r="456" spans="1:89" s="11" customFormat="1" ht="131.25" customHeight="1" x14ac:dyDescent="0.2">
      <c r="A456" s="133"/>
      <c r="B456" s="104"/>
      <c r="C456" s="104"/>
      <c r="D456" s="104"/>
      <c r="E456" s="111"/>
      <c r="F456" s="462"/>
      <c r="G456" s="140" t="s">
        <v>153</v>
      </c>
      <c r="H456" s="216">
        <v>2201062</v>
      </c>
      <c r="I456" s="193" t="s">
        <v>154</v>
      </c>
      <c r="J456" s="115">
        <v>220106200</v>
      </c>
      <c r="K456" s="192" t="s">
        <v>155</v>
      </c>
      <c r="L456" s="457" t="s">
        <v>57</v>
      </c>
      <c r="M456" s="470">
        <v>15</v>
      </c>
      <c r="N456" s="469" t="s">
        <v>1224</v>
      </c>
      <c r="O456" s="257" t="s">
        <v>1225</v>
      </c>
      <c r="P456" s="257" t="s">
        <v>1226</v>
      </c>
      <c r="Q456" s="180">
        <v>308302422.89999998</v>
      </c>
      <c r="R456" s="118"/>
      <c r="S456" s="118"/>
      <c r="T456" s="118"/>
      <c r="U456" s="118"/>
      <c r="V456" s="329"/>
      <c r="W456" s="118"/>
      <c r="X456" s="118"/>
      <c r="Y456" s="352"/>
      <c r="Z456" s="118"/>
      <c r="AA456" s="186"/>
      <c r="AB456" s="118"/>
      <c r="AC456" s="155"/>
      <c r="AD456" s="120">
        <f>+Q456+R456+S456+T456+U456+V456+W456+X456+Y456+Z456+AA456+AB456+AC456</f>
        <v>308302422.89999998</v>
      </c>
      <c r="AE456" s="557" t="s">
        <v>1297</v>
      </c>
      <c r="AF456" s="557" t="s">
        <v>1298</v>
      </c>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row>
    <row r="457" spans="1:89" s="11" customFormat="1" ht="28.5" customHeight="1" x14ac:dyDescent="0.2">
      <c r="A457" s="133"/>
      <c r="B457" s="99">
        <v>3</v>
      </c>
      <c r="C457" s="365" t="s">
        <v>175</v>
      </c>
      <c r="D457" s="96"/>
      <c r="E457" s="365"/>
      <c r="F457" s="365"/>
      <c r="G457" s="365"/>
      <c r="H457" s="113"/>
      <c r="I457" s="489"/>
      <c r="J457" s="99"/>
      <c r="K457" s="98"/>
      <c r="L457" s="298"/>
      <c r="M457" s="99"/>
      <c r="N457" s="299"/>
      <c r="O457" s="98"/>
      <c r="P457" s="98"/>
      <c r="Q457" s="300">
        <f>Q458+Q461</f>
        <v>411069897.20000005</v>
      </c>
      <c r="R457" s="300">
        <f t="shared" ref="R457:AC457" si="158">R458+R461</f>
        <v>0</v>
      </c>
      <c r="S457" s="300">
        <f t="shared" si="158"/>
        <v>0</v>
      </c>
      <c r="T457" s="300">
        <f t="shared" si="158"/>
        <v>0</v>
      </c>
      <c r="U457" s="300">
        <f t="shared" si="158"/>
        <v>0</v>
      </c>
      <c r="V457" s="300">
        <f t="shared" si="158"/>
        <v>0</v>
      </c>
      <c r="W457" s="300">
        <f t="shared" si="158"/>
        <v>0</v>
      </c>
      <c r="X457" s="300">
        <f t="shared" si="158"/>
        <v>0</v>
      </c>
      <c r="Y457" s="300">
        <f t="shared" si="158"/>
        <v>0</v>
      </c>
      <c r="Z457" s="300">
        <f t="shared" si="158"/>
        <v>0</v>
      </c>
      <c r="AA457" s="300">
        <f t="shared" si="158"/>
        <v>0</v>
      </c>
      <c r="AB457" s="300">
        <f t="shared" si="158"/>
        <v>997308456</v>
      </c>
      <c r="AC457" s="300">
        <f t="shared" si="158"/>
        <v>0</v>
      </c>
      <c r="AD457" s="300">
        <f>AD458+AD461</f>
        <v>1408378353.2</v>
      </c>
      <c r="AE457" s="300"/>
      <c r="AF457" s="551"/>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row>
    <row r="458" spans="1:89" s="9" customFormat="1" ht="27.75" customHeight="1" x14ac:dyDescent="0.25">
      <c r="A458" s="95"/>
      <c r="B458" s="576"/>
      <c r="C458" s="593">
        <v>24</v>
      </c>
      <c r="D458" s="578" t="s">
        <v>180</v>
      </c>
      <c r="E458" s="592"/>
      <c r="F458" s="579"/>
      <c r="G458" s="580"/>
      <c r="H458" s="581"/>
      <c r="I458" s="582"/>
      <c r="J458" s="583"/>
      <c r="K458" s="584"/>
      <c r="L458" s="585"/>
      <c r="M458" s="583"/>
      <c r="N458" s="587"/>
      <c r="O458" s="588"/>
      <c r="P458" s="588"/>
      <c r="Q458" s="589">
        <f>Q459</f>
        <v>0</v>
      </c>
      <c r="R458" s="589">
        <f t="shared" ref="R458:AD459" si="159">R459</f>
        <v>0</v>
      </c>
      <c r="S458" s="589">
        <f t="shared" si="159"/>
        <v>0</v>
      </c>
      <c r="T458" s="589">
        <f t="shared" si="159"/>
        <v>0</v>
      </c>
      <c r="U458" s="589">
        <f t="shared" si="159"/>
        <v>0</v>
      </c>
      <c r="V458" s="589">
        <f t="shared" si="159"/>
        <v>0</v>
      </c>
      <c r="W458" s="589">
        <f t="shared" si="159"/>
        <v>0</v>
      </c>
      <c r="X458" s="589">
        <f t="shared" si="159"/>
        <v>0</v>
      </c>
      <c r="Y458" s="589">
        <f t="shared" si="159"/>
        <v>0</v>
      </c>
      <c r="Z458" s="589">
        <f t="shared" si="159"/>
        <v>0</v>
      </c>
      <c r="AA458" s="589">
        <f t="shared" si="159"/>
        <v>0</v>
      </c>
      <c r="AB458" s="589">
        <f t="shared" si="159"/>
        <v>199461691.20000002</v>
      </c>
      <c r="AC458" s="589">
        <f t="shared" si="159"/>
        <v>0</v>
      </c>
      <c r="AD458" s="589">
        <f t="shared" si="159"/>
        <v>199461691.20000002</v>
      </c>
      <c r="AE458" s="589"/>
      <c r="AF458" s="590"/>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c r="CI458" s="8"/>
      <c r="CJ458" s="8"/>
      <c r="CK458" s="8"/>
    </row>
    <row r="459" spans="1:89" s="11" customFormat="1" ht="25.5" customHeight="1" x14ac:dyDescent="0.2">
      <c r="A459" s="133"/>
      <c r="B459" s="301"/>
      <c r="C459" s="301"/>
      <c r="D459" s="301"/>
      <c r="E459" s="74">
        <v>2402</v>
      </c>
      <c r="F459" s="520" t="s">
        <v>176</v>
      </c>
      <c r="G459" s="521"/>
      <c r="H459" s="246"/>
      <c r="I459" s="487"/>
      <c r="J459" s="74"/>
      <c r="K459" s="70"/>
      <c r="L459" s="306"/>
      <c r="M459" s="74"/>
      <c r="N459" s="188"/>
      <c r="O459" s="70"/>
      <c r="P459" s="70"/>
      <c r="Q459" s="304">
        <f>Q460</f>
        <v>0</v>
      </c>
      <c r="R459" s="304">
        <f t="shared" si="159"/>
        <v>0</v>
      </c>
      <c r="S459" s="304">
        <f t="shared" si="159"/>
        <v>0</v>
      </c>
      <c r="T459" s="304">
        <f t="shared" si="159"/>
        <v>0</v>
      </c>
      <c r="U459" s="304">
        <f t="shared" si="159"/>
        <v>0</v>
      </c>
      <c r="V459" s="304">
        <f t="shared" si="159"/>
        <v>0</v>
      </c>
      <c r="W459" s="304">
        <f t="shared" si="159"/>
        <v>0</v>
      </c>
      <c r="X459" s="304">
        <f t="shared" si="159"/>
        <v>0</v>
      </c>
      <c r="Y459" s="304">
        <f t="shared" si="159"/>
        <v>0</v>
      </c>
      <c r="Z459" s="304">
        <f t="shared" si="159"/>
        <v>0</v>
      </c>
      <c r="AA459" s="304">
        <f t="shared" si="159"/>
        <v>0</v>
      </c>
      <c r="AB459" s="304">
        <f t="shared" si="159"/>
        <v>199461691.20000002</v>
      </c>
      <c r="AC459" s="304">
        <f t="shared" si="159"/>
        <v>0</v>
      </c>
      <c r="AD459" s="304">
        <f t="shared" si="159"/>
        <v>199461691.20000002</v>
      </c>
      <c r="AE459" s="304"/>
      <c r="AF459" s="303"/>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row>
    <row r="460" spans="1:89" s="11" customFormat="1" ht="132" customHeight="1" x14ac:dyDescent="0.2">
      <c r="A460" s="133"/>
      <c r="B460" s="301"/>
      <c r="C460" s="301"/>
      <c r="D460" s="301"/>
      <c r="E460" s="111"/>
      <c r="F460" s="462"/>
      <c r="G460" s="257" t="s">
        <v>1227</v>
      </c>
      <c r="H460" s="153" t="s">
        <v>137</v>
      </c>
      <c r="I460" s="193" t="s">
        <v>184</v>
      </c>
      <c r="J460" s="124" t="s">
        <v>137</v>
      </c>
      <c r="K460" s="192" t="s">
        <v>185</v>
      </c>
      <c r="L460" s="457" t="s">
        <v>45</v>
      </c>
      <c r="M460" s="164">
        <v>130</v>
      </c>
      <c r="N460" s="469" t="s">
        <v>1228</v>
      </c>
      <c r="O460" s="493" t="s">
        <v>1229</v>
      </c>
      <c r="P460" s="503" t="s">
        <v>1230</v>
      </c>
      <c r="Q460" s="118"/>
      <c r="R460" s="118"/>
      <c r="S460" s="186"/>
      <c r="T460" s="118"/>
      <c r="U460" s="118"/>
      <c r="V460" s="329"/>
      <c r="W460" s="118"/>
      <c r="X460" s="118"/>
      <c r="Y460" s="352"/>
      <c r="Z460" s="118"/>
      <c r="AA460" s="186"/>
      <c r="AB460" s="305">
        <v>199461691.20000002</v>
      </c>
      <c r="AC460" s="118"/>
      <c r="AD460" s="120">
        <f>+Q460+R460+S460+T460+U460+V460+W460+X460+Y460+Z460+AA460+AB460+AC460</f>
        <v>199461691.20000002</v>
      </c>
      <c r="AE460" s="557" t="s">
        <v>1297</v>
      </c>
      <c r="AF460" s="557" t="s">
        <v>1298</v>
      </c>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row>
    <row r="461" spans="1:89" s="9" customFormat="1" ht="27.75" customHeight="1" x14ac:dyDescent="0.25">
      <c r="A461" s="95"/>
      <c r="B461" s="576"/>
      <c r="C461" s="593">
        <v>40</v>
      </c>
      <c r="D461" s="578" t="s">
        <v>210</v>
      </c>
      <c r="E461" s="592"/>
      <c r="F461" s="579"/>
      <c r="G461" s="580"/>
      <c r="H461" s="581"/>
      <c r="I461" s="582"/>
      <c r="J461" s="583"/>
      <c r="K461" s="584"/>
      <c r="L461" s="585"/>
      <c r="M461" s="583"/>
      <c r="N461" s="587"/>
      <c r="O461" s="588"/>
      <c r="P461" s="588"/>
      <c r="Q461" s="589">
        <f>Q462</f>
        <v>411069897.20000005</v>
      </c>
      <c r="R461" s="589">
        <f t="shared" ref="R461:AD461" si="160">R462</f>
        <v>0</v>
      </c>
      <c r="S461" s="589">
        <f t="shared" si="160"/>
        <v>0</v>
      </c>
      <c r="T461" s="589">
        <f t="shared" si="160"/>
        <v>0</v>
      </c>
      <c r="U461" s="589">
        <f t="shared" si="160"/>
        <v>0</v>
      </c>
      <c r="V461" s="589">
        <f t="shared" si="160"/>
        <v>0</v>
      </c>
      <c r="W461" s="589">
        <f t="shared" si="160"/>
        <v>0</v>
      </c>
      <c r="X461" s="589">
        <f t="shared" si="160"/>
        <v>0</v>
      </c>
      <c r="Y461" s="589">
        <f t="shared" si="160"/>
        <v>0</v>
      </c>
      <c r="Z461" s="589">
        <f t="shared" si="160"/>
        <v>0</v>
      </c>
      <c r="AA461" s="589">
        <f t="shared" si="160"/>
        <v>0</v>
      </c>
      <c r="AB461" s="589">
        <f t="shared" si="160"/>
        <v>797846764.79999995</v>
      </c>
      <c r="AC461" s="589">
        <f t="shared" si="160"/>
        <v>0</v>
      </c>
      <c r="AD461" s="589">
        <f t="shared" si="160"/>
        <v>1208916662</v>
      </c>
      <c r="AE461" s="589"/>
      <c r="AF461" s="590"/>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c r="CI461" s="8"/>
      <c r="CJ461" s="8"/>
      <c r="CK461" s="8"/>
    </row>
    <row r="462" spans="1:89" s="11" customFormat="1" ht="26.25" customHeight="1" x14ac:dyDescent="0.2">
      <c r="A462" s="133"/>
      <c r="B462" s="301"/>
      <c r="C462" s="301"/>
      <c r="D462" s="301"/>
      <c r="E462" s="74">
        <v>4001</v>
      </c>
      <c r="F462" s="520" t="s">
        <v>205</v>
      </c>
      <c r="G462" s="521"/>
      <c r="H462" s="246"/>
      <c r="I462" s="487"/>
      <c r="J462" s="74"/>
      <c r="K462" s="70"/>
      <c r="L462" s="306"/>
      <c r="M462" s="74"/>
      <c r="N462" s="188"/>
      <c r="O462" s="70"/>
      <c r="P462" s="70"/>
      <c r="Q462" s="304">
        <f>SUM(Q463:Q469)</f>
        <v>411069897.20000005</v>
      </c>
      <c r="R462" s="304">
        <f t="shared" ref="R462:AD462" si="161">SUM(R463:R469)</f>
        <v>0</v>
      </c>
      <c r="S462" s="304">
        <f t="shared" si="161"/>
        <v>0</v>
      </c>
      <c r="T462" s="304">
        <f t="shared" si="161"/>
        <v>0</v>
      </c>
      <c r="U462" s="304">
        <f t="shared" si="161"/>
        <v>0</v>
      </c>
      <c r="V462" s="304">
        <f t="shared" si="161"/>
        <v>0</v>
      </c>
      <c r="W462" s="304">
        <f t="shared" si="161"/>
        <v>0</v>
      </c>
      <c r="X462" s="304">
        <f t="shared" si="161"/>
        <v>0</v>
      </c>
      <c r="Y462" s="304">
        <f t="shared" si="161"/>
        <v>0</v>
      </c>
      <c r="Z462" s="304">
        <f t="shared" si="161"/>
        <v>0</v>
      </c>
      <c r="AA462" s="304">
        <f t="shared" si="161"/>
        <v>0</v>
      </c>
      <c r="AB462" s="304">
        <f t="shared" si="161"/>
        <v>797846764.79999995</v>
      </c>
      <c r="AC462" s="304">
        <f t="shared" si="161"/>
        <v>0</v>
      </c>
      <c r="AD462" s="304">
        <f t="shared" si="161"/>
        <v>1208916662</v>
      </c>
      <c r="AE462" s="304"/>
      <c r="AF462" s="303"/>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row>
    <row r="463" spans="1:89" s="11" customFormat="1" ht="90" customHeight="1" x14ac:dyDescent="0.2">
      <c r="A463" s="133"/>
      <c r="B463" s="104"/>
      <c r="C463" s="104"/>
      <c r="D463" s="104"/>
      <c r="E463" s="111"/>
      <c r="F463" s="462"/>
      <c r="G463" s="193" t="s">
        <v>206</v>
      </c>
      <c r="H463" s="307">
        <v>4001001</v>
      </c>
      <c r="I463" s="193" t="s">
        <v>1231</v>
      </c>
      <c r="J463" s="171" t="s">
        <v>1232</v>
      </c>
      <c r="K463" s="220" t="s">
        <v>1233</v>
      </c>
      <c r="L463" s="178" t="s">
        <v>57</v>
      </c>
      <c r="M463" s="470">
        <v>3</v>
      </c>
      <c r="N463" s="1545" t="s">
        <v>1234</v>
      </c>
      <c r="O463" s="1518" t="s">
        <v>1235</v>
      </c>
      <c r="P463" s="1517" t="s">
        <v>1236</v>
      </c>
      <c r="Q463" s="180">
        <v>0</v>
      </c>
      <c r="R463" s="118"/>
      <c r="S463" s="118"/>
      <c r="T463" s="118"/>
      <c r="U463" s="118"/>
      <c r="V463" s="329"/>
      <c r="W463" s="118"/>
      <c r="X463" s="118"/>
      <c r="Y463" s="352"/>
      <c r="Z463" s="118"/>
      <c r="AA463" s="186"/>
      <c r="AB463" s="136">
        <v>9973084.5600000005</v>
      </c>
      <c r="AC463" s="155"/>
      <c r="AD463" s="120">
        <f t="shared" ref="AD463:AD469" si="162">+Q463+R463+S463+T463+U463+V463+W463+X463+Y463+Z463+AA463+AB463+AC463</f>
        <v>9973084.5600000005</v>
      </c>
      <c r="AE463" s="557" t="s">
        <v>1297</v>
      </c>
      <c r="AF463" s="557" t="s">
        <v>1298</v>
      </c>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row>
    <row r="464" spans="1:89" s="11" customFormat="1" ht="90" customHeight="1" x14ac:dyDescent="0.2">
      <c r="A464" s="133"/>
      <c r="B464" s="104"/>
      <c r="C464" s="104"/>
      <c r="D464" s="104"/>
      <c r="E464" s="111"/>
      <c r="F464" s="462"/>
      <c r="G464" s="193" t="s">
        <v>1237</v>
      </c>
      <c r="H464" s="307">
        <v>4001017</v>
      </c>
      <c r="I464" s="193" t="s">
        <v>1238</v>
      </c>
      <c r="J464" s="171" t="s">
        <v>1239</v>
      </c>
      <c r="K464" s="220" t="s">
        <v>1240</v>
      </c>
      <c r="L464" s="470" t="s">
        <v>57</v>
      </c>
      <c r="M464" s="470">
        <v>25</v>
      </c>
      <c r="N464" s="1545"/>
      <c r="O464" s="1518"/>
      <c r="P464" s="1517"/>
      <c r="Q464" s="180">
        <v>51383737.150000066</v>
      </c>
      <c r="R464" s="118"/>
      <c r="S464" s="118"/>
      <c r="T464" s="118"/>
      <c r="U464" s="118"/>
      <c r="V464" s="329"/>
      <c r="W464" s="118"/>
      <c r="X464" s="118"/>
      <c r="Y464" s="352"/>
      <c r="Z464" s="118"/>
      <c r="AA464" s="186"/>
      <c r="AB464" s="136">
        <v>29919253.68</v>
      </c>
      <c r="AC464" s="155"/>
      <c r="AD464" s="120">
        <f t="shared" si="162"/>
        <v>81302990.830000073</v>
      </c>
      <c r="AE464" s="557" t="s">
        <v>1297</v>
      </c>
      <c r="AF464" s="557" t="s">
        <v>1298</v>
      </c>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row>
    <row r="465" spans="1:89" s="11" customFormat="1" ht="58.5" customHeight="1" x14ac:dyDescent="0.2">
      <c r="A465" s="133"/>
      <c r="B465" s="104"/>
      <c r="C465" s="104"/>
      <c r="D465" s="104"/>
      <c r="E465" s="111"/>
      <c r="F465" s="462"/>
      <c r="G465" s="193" t="s">
        <v>206</v>
      </c>
      <c r="H465" s="307">
        <v>4001018</v>
      </c>
      <c r="I465" s="193" t="s">
        <v>1241</v>
      </c>
      <c r="J465" s="171" t="s">
        <v>1242</v>
      </c>
      <c r="K465" s="220" t="s">
        <v>1243</v>
      </c>
      <c r="L465" s="470" t="s">
        <v>57</v>
      </c>
      <c r="M465" s="470">
        <v>75</v>
      </c>
      <c r="N465" s="1545"/>
      <c r="O465" s="1518"/>
      <c r="P465" s="1517"/>
      <c r="Q465" s="180">
        <v>143874464.02000001</v>
      </c>
      <c r="R465" s="118"/>
      <c r="S465" s="118"/>
      <c r="T465" s="118"/>
      <c r="U465" s="118"/>
      <c r="V465" s="329"/>
      <c r="W465" s="118"/>
      <c r="X465" s="118"/>
      <c r="Y465" s="352"/>
      <c r="Z465" s="118"/>
      <c r="AA465" s="186"/>
      <c r="AB465" s="136">
        <v>59838507.359999999</v>
      </c>
      <c r="AC465" s="155"/>
      <c r="AD465" s="120">
        <f t="shared" si="162"/>
        <v>203712971.38</v>
      </c>
      <c r="AE465" s="557" t="s">
        <v>1297</v>
      </c>
      <c r="AF465" s="557" t="s">
        <v>1298</v>
      </c>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row>
    <row r="466" spans="1:89" s="11" customFormat="1" ht="43.5" customHeight="1" x14ac:dyDescent="0.2">
      <c r="A466" s="133"/>
      <c r="B466" s="104"/>
      <c r="C466" s="104"/>
      <c r="D466" s="104"/>
      <c r="E466" s="111"/>
      <c r="F466" s="462"/>
      <c r="G466" s="193" t="s">
        <v>206</v>
      </c>
      <c r="H466" s="307">
        <v>4001030</v>
      </c>
      <c r="I466" s="193" t="s">
        <v>1244</v>
      </c>
      <c r="J466" s="171" t="s">
        <v>1245</v>
      </c>
      <c r="K466" s="220" t="s">
        <v>230</v>
      </c>
      <c r="L466" s="178" t="s">
        <v>57</v>
      </c>
      <c r="M466" s="470">
        <v>3</v>
      </c>
      <c r="N466" s="1545"/>
      <c r="O466" s="1518"/>
      <c r="P466" s="1517"/>
      <c r="Q466" s="180">
        <v>0</v>
      </c>
      <c r="R466" s="118"/>
      <c r="S466" s="118"/>
      <c r="T466" s="118"/>
      <c r="U466" s="118"/>
      <c r="V466" s="329"/>
      <c r="W466" s="118"/>
      <c r="X466" s="118"/>
      <c r="Y466" s="352"/>
      <c r="Z466" s="118"/>
      <c r="AA466" s="165"/>
      <c r="AB466" s="136">
        <v>9973084.5600000005</v>
      </c>
      <c r="AC466" s="155"/>
      <c r="AD466" s="120">
        <f t="shared" si="162"/>
        <v>9973084.5600000005</v>
      </c>
      <c r="AE466" s="557" t="s">
        <v>1297</v>
      </c>
      <c r="AF466" s="557" t="s">
        <v>1298</v>
      </c>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row>
    <row r="467" spans="1:89" s="11" customFormat="1" ht="51.75" customHeight="1" x14ac:dyDescent="0.2">
      <c r="A467" s="133"/>
      <c r="B467" s="104"/>
      <c r="C467" s="104"/>
      <c r="D467" s="104"/>
      <c r="E467" s="111"/>
      <c r="F467" s="462"/>
      <c r="G467" s="193" t="s">
        <v>206</v>
      </c>
      <c r="H467" s="307">
        <v>4001031</v>
      </c>
      <c r="I467" s="193" t="s">
        <v>1246</v>
      </c>
      <c r="J467" s="171">
        <v>400103103</v>
      </c>
      <c r="K467" s="429" t="s">
        <v>1247</v>
      </c>
      <c r="L467" s="178" t="s">
        <v>57</v>
      </c>
      <c r="M467" s="470">
        <v>8</v>
      </c>
      <c r="N467" s="1545"/>
      <c r="O467" s="1518"/>
      <c r="P467" s="1517"/>
      <c r="Q467" s="180">
        <v>0</v>
      </c>
      <c r="R467" s="118"/>
      <c r="S467" s="118"/>
      <c r="T467" s="118"/>
      <c r="U467" s="118"/>
      <c r="V467" s="329"/>
      <c r="W467" s="118"/>
      <c r="X467" s="118"/>
      <c r="Y467" s="352"/>
      <c r="Z467" s="118"/>
      <c r="AA467" s="165"/>
      <c r="AB467" s="136">
        <v>598385073.60000002</v>
      </c>
      <c r="AC467" s="155"/>
      <c r="AD467" s="120">
        <f t="shared" si="162"/>
        <v>598385073.60000002</v>
      </c>
      <c r="AE467" s="557" t="s">
        <v>1297</v>
      </c>
      <c r="AF467" s="557" t="s">
        <v>1298</v>
      </c>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row>
    <row r="468" spans="1:89" s="11" customFormat="1" ht="60.75" customHeight="1" x14ac:dyDescent="0.2">
      <c r="A468" s="133"/>
      <c r="B468" s="104"/>
      <c r="C468" s="104"/>
      <c r="D468" s="104"/>
      <c r="E468" s="111"/>
      <c r="F468" s="462"/>
      <c r="G468" s="193" t="s">
        <v>1237</v>
      </c>
      <c r="H468" s="307" t="s">
        <v>1248</v>
      </c>
      <c r="I468" s="193" t="s">
        <v>1249</v>
      </c>
      <c r="J468" s="171" t="s">
        <v>1250</v>
      </c>
      <c r="K468" s="220" t="s">
        <v>1249</v>
      </c>
      <c r="L468" s="178" t="s">
        <v>57</v>
      </c>
      <c r="M468" s="470">
        <v>35</v>
      </c>
      <c r="N468" s="1545"/>
      <c r="O468" s="1518"/>
      <c r="P468" s="1517"/>
      <c r="Q468" s="180">
        <v>71937232.010000005</v>
      </c>
      <c r="R468" s="118"/>
      <c r="S468" s="118"/>
      <c r="T468" s="118"/>
      <c r="U468" s="118"/>
      <c r="V468" s="329"/>
      <c r="W468" s="118"/>
      <c r="X468" s="118"/>
      <c r="Y468" s="352"/>
      <c r="Z468" s="118"/>
      <c r="AA468" s="165"/>
      <c r="AB468" s="136">
        <v>29919253.68</v>
      </c>
      <c r="AC468" s="155"/>
      <c r="AD468" s="120">
        <f t="shared" si="162"/>
        <v>101856485.69</v>
      </c>
      <c r="AE468" s="557" t="s">
        <v>1297</v>
      </c>
      <c r="AF468" s="557" t="s">
        <v>1298</v>
      </c>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row>
    <row r="469" spans="1:89" s="11" customFormat="1" ht="52.5" customHeight="1" x14ac:dyDescent="0.2">
      <c r="A469" s="133"/>
      <c r="B469" s="104"/>
      <c r="C469" s="104"/>
      <c r="D469" s="104"/>
      <c r="E469" s="111"/>
      <c r="F469" s="462"/>
      <c r="G469" s="193" t="s">
        <v>206</v>
      </c>
      <c r="H469" s="307" t="s">
        <v>1251</v>
      </c>
      <c r="I469" s="193" t="s">
        <v>209</v>
      </c>
      <c r="J469" s="171">
        <v>400101500</v>
      </c>
      <c r="K469" s="220" t="s">
        <v>209</v>
      </c>
      <c r="L469" s="178" t="s">
        <v>57</v>
      </c>
      <c r="M469" s="135">
        <v>50</v>
      </c>
      <c r="N469" s="1545"/>
      <c r="O469" s="1518"/>
      <c r="P469" s="1517"/>
      <c r="Q469" s="180">
        <v>143874464.02000001</v>
      </c>
      <c r="R469" s="118"/>
      <c r="S469" s="118"/>
      <c r="T469" s="118"/>
      <c r="U469" s="118"/>
      <c r="V469" s="329"/>
      <c r="W469" s="118"/>
      <c r="X469" s="118"/>
      <c r="Y469" s="352"/>
      <c r="Z469" s="118"/>
      <c r="AA469" s="165"/>
      <c r="AB469" s="136">
        <v>59838507.359999999</v>
      </c>
      <c r="AC469" s="155"/>
      <c r="AD469" s="120">
        <f t="shared" si="162"/>
        <v>203712971.38</v>
      </c>
      <c r="AE469" s="557" t="s">
        <v>1297</v>
      </c>
      <c r="AF469" s="557" t="s">
        <v>1298</v>
      </c>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row>
    <row r="470" spans="1:89" s="442" customFormat="1" ht="31.5" customHeight="1" x14ac:dyDescent="0.2">
      <c r="A470" s="597"/>
      <c r="B470" s="598"/>
      <c r="C470" s="598"/>
      <c r="D470" s="598"/>
      <c r="E470" s="599"/>
      <c r="F470" s="600"/>
      <c r="G470" s="601"/>
      <c r="H470" s="599"/>
      <c r="I470" s="601"/>
      <c r="J470" s="602"/>
      <c r="K470" s="603"/>
      <c r="L470" s="600"/>
      <c r="M470" s="602"/>
      <c r="N470" s="600"/>
      <c r="O470" s="603"/>
      <c r="P470" s="603"/>
      <c r="Q470" s="597"/>
      <c r="R470" s="597"/>
      <c r="S470" s="597"/>
      <c r="T470" s="597"/>
      <c r="U470" s="597"/>
      <c r="V470" s="597"/>
      <c r="W470" s="648"/>
      <c r="X470" s="648"/>
      <c r="Y470" s="597"/>
      <c r="Z470" s="597"/>
      <c r="AA470" s="649"/>
      <c r="AB470" s="597"/>
      <c r="AC470" s="597"/>
      <c r="AD470" s="648"/>
      <c r="AE470" s="648"/>
      <c r="AF470" s="650"/>
      <c r="AG470" s="437"/>
      <c r="AH470" s="437"/>
      <c r="AI470" s="437"/>
      <c r="AJ470" s="437"/>
      <c r="AK470" s="437"/>
      <c r="AL470" s="437"/>
      <c r="AM470" s="437"/>
      <c r="AN470" s="437"/>
      <c r="AO470" s="437"/>
      <c r="AP470" s="437"/>
      <c r="AQ470" s="437"/>
      <c r="AR470" s="437"/>
      <c r="AS470" s="437"/>
      <c r="AT470" s="437"/>
      <c r="AU470" s="437"/>
      <c r="AV470" s="437"/>
      <c r="AW470" s="437"/>
      <c r="AX470" s="437"/>
      <c r="AY470" s="437"/>
      <c r="AZ470" s="437"/>
      <c r="BA470" s="437"/>
      <c r="BB470" s="437"/>
      <c r="BC470" s="437"/>
      <c r="BD470" s="437"/>
      <c r="BE470" s="437"/>
      <c r="BF470" s="437"/>
      <c r="BG470" s="437"/>
      <c r="BH470" s="437"/>
      <c r="BI470" s="437"/>
      <c r="BJ470" s="437"/>
      <c r="BK470" s="437"/>
      <c r="BL470" s="437"/>
      <c r="BM470" s="437"/>
      <c r="BN470" s="437"/>
      <c r="BO470" s="437"/>
      <c r="BP470" s="437"/>
      <c r="BQ470" s="437"/>
      <c r="BR470" s="437"/>
      <c r="BS470" s="437"/>
      <c r="BT470" s="437"/>
      <c r="BU470" s="437"/>
      <c r="BV470" s="437"/>
      <c r="BW470" s="437"/>
      <c r="BX470" s="437"/>
      <c r="BY470" s="437"/>
      <c r="BZ470" s="437"/>
      <c r="CA470" s="437"/>
      <c r="CB470" s="437"/>
      <c r="CC470" s="437"/>
      <c r="CD470" s="437"/>
      <c r="CE470" s="437"/>
      <c r="CF470" s="437"/>
      <c r="CG470" s="437"/>
      <c r="CH470" s="437"/>
      <c r="CI470" s="437"/>
      <c r="CJ470" s="437"/>
      <c r="CK470" s="437"/>
    </row>
    <row r="471" spans="1:89" ht="25.5" customHeight="1" x14ac:dyDescent="0.2">
      <c r="A471" s="86" t="s">
        <v>1252</v>
      </c>
      <c r="B471" s="86"/>
      <c r="C471" s="86"/>
      <c r="D471" s="86"/>
      <c r="E471" s="87"/>
      <c r="F471" s="88"/>
      <c r="G471" s="89"/>
      <c r="H471" s="90"/>
      <c r="I471" s="89"/>
      <c r="J471" s="92"/>
      <c r="K471" s="91"/>
      <c r="L471" s="93"/>
      <c r="M471" s="92"/>
      <c r="N471" s="88"/>
      <c r="O471" s="91"/>
      <c r="P471" s="91"/>
      <c r="Q471" s="144">
        <f t="shared" ref="Q471:AC473" si="163">Q472</f>
        <v>0</v>
      </c>
      <c r="R471" s="144">
        <f t="shared" si="163"/>
        <v>0</v>
      </c>
      <c r="S471" s="144">
        <f t="shared" si="163"/>
        <v>0</v>
      </c>
      <c r="T471" s="144">
        <f t="shared" si="163"/>
        <v>0</v>
      </c>
      <c r="U471" s="144">
        <f t="shared" si="163"/>
        <v>0</v>
      </c>
      <c r="V471" s="144">
        <f t="shared" si="163"/>
        <v>0</v>
      </c>
      <c r="W471" s="144">
        <f t="shared" si="163"/>
        <v>0</v>
      </c>
      <c r="X471" s="144">
        <f t="shared" si="163"/>
        <v>0</v>
      </c>
      <c r="Y471" s="144">
        <f t="shared" si="163"/>
        <v>0</v>
      </c>
      <c r="Z471" s="144">
        <f t="shared" si="163"/>
        <v>0</v>
      </c>
      <c r="AA471" s="144">
        <f t="shared" si="163"/>
        <v>0</v>
      </c>
      <c r="AB471" s="144">
        <f t="shared" si="163"/>
        <v>110210000</v>
      </c>
      <c r="AC471" s="144">
        <f t="shared" si="163"/>
        <v>0</v>
      </c>
      <c r="AD471" s="144">
        <f>AD472</f>
        <v>110210000</v>
      </c>
      <c r="AE471" s="144"/>
      <c r="AF471" s="94"/>
      <c r="AG471" s="4">
        <v>110210000</v>
      </c>
    </row>
    <row r="472" spans="1:89" ht="24.75" customHeight="1" x14ac:dyDescent="0.2">
      <c r="A472" s="103"/>
      <c r="B472" s="99">
        <v>3</v>
      </c>
      <c r="C472" s="365" t="s">
        <v>175</v>
      </c>
      <c r="D472" s="96"/>
      <c r="E472" s="365"/>
      <c r="F472" s="365"/>
      <c r="G472" s="365"/>
      <c r="H472" s="113"/>
      <c r="I472" s="489"/>
      <c r="J472" s="99"/>
      <c r="K472" s="98"/>
      <c r="L472" s="298"/>
      <c r="M472" s="99"/>
      <c r="N472" s="299"/>
      <c r="O472" s="98"/>
      <c r="P472" s="98"/>
      <c r="Q472" s="300">
        <f t="shared" si="163"/>
        <v>0</v>
      </c>
      <c r="R472" s="300">
        <f t="shared" si="163"/>
        <v>0</v>
      </c>
      <c r="S472" s="300">
        <f t="shared" si="163"/>
        <v>0</v>
      </c>
      <c r="T472" s="300">
        <f t="shared" si="163"/>
        <v>0</v>
      </c>
      <c r="U472" s="300">
        <f t="shared" si="163"/>
        <v>0</v>
      </c>
      <c r="V472" s="300">
        <f t="shared" si="163"/>
        <v>0</v>
      </c>
      <c r="W472" s="300">
        <f t="shared" si="163"/>
        <v>0</v>
      </c>
      <c r="X472" s="300">
        <f t="shared" si="163"/>
        <v>0</v>
      </c>
      <c r="Y472" s="300">
        <f t="shared" si="163"/>
        <v>0</v>
      </c>
      <c r="Z472" s="300">
        <f t="shared" si="163"/>
        <v>0</v>
      </c>
      <c r="AA472" s="300">
        <f t="shared" si="163"/>
        <v>0</v>
      </c>
      <c r="AB472" s="300">
        <f t="shared" si="163"/>
        <v>110210000</v>
      </c>
      <c r="AC472" s="300">
        <f t="shared" si="163"/>
        <v>0</v>
      </c>
      <c r="AD472" s="300">
        <f>AD473</f>
        <v>110210000</v>
      </c>
      <c r="AE472" s="300"/>
      <c r="AF472" s="551"/>
    </row>
    <row r="473" spans="1:89" s="9" customFormat="1" ht="27.75" customHeight="1" x14ac:dyDescent="0.25">
      <c r="A473" s="95"/>
      <c r="B473" s="576"/>
      <c r="C473" s="593">
        <v>24</v>
      </c>
      <c r="D473" s="578" t="s">
        <v>180</v>
      </c>
      <c r="E473" s="592"/>
      <c r="F473" s="579"/>
      <c r="G473" s="580"/>
      <c r="H473" s="581"/>
      <c r="I473" s="582"/>
      <c r="J473" s="583"/>
      <c r="K473" s="584"/>
      <c r="L473" s="585"/>
      <c r="M473" s="583"/>
      <c r="N473" s="587"/>
      <c r="O473" s="588"/>
      <c r="P473" s="588"/>
      <c r="Q473" s="589">
        <f t="shared" si="163"/>
        <v>0</v>
      </c>
      <c r="R473" s="589">
        <f t="shared" si="163"/>
        <v>0</v>
      </c>
      <c r="S473" s="589">
        <f t="shared" si="163"/>
        <v>0</v>
      </c>
      <c r="T473" s="589">
        <f t="shared" si="163"/>
        <v>0</v>
      </c>
      <c r="U473" s="589">
        <f t="shared" si="163"/>
        <v>0</v>
      </c>
      <c r="V473" s="589">
        <f t="shared" si="163"/>
        <v>0</v>
      </c>
      <c r="W473" s="589">
        <f t="shared" si="163"/>
        <v>0</v>
      </c>
      <c r="X473" s="589">
        <f t="shared" si="163"/>
        <v>0</v>
      </c>
      <c r="Y473" s="589">
        <f t="shared" si="163"/>
        <v>0</v>
      </c>
      <c r="Z473" s="589">
        <f t="shared" si="163"/>
        <v>0</v>
      </c>
      <c r="AA473" s="589">
        <f t="shared" si="163"/>
        <v>0</v>
      </c>
      <c r="AB473" s="589">
        <f t="shared" si="163"/>
        <v>110210000</v>
      </c>
      <c r="AC473" s="589">
        <f t="shared" si="163"/>
        <v>0</v>
      </c>
      <c r="AD473" s="589">
        <f>AD474</f>
        <v>110210000</v>
      </c>
      <c r="AE473" s="589"/>
      <c r="AF473" s="590"/>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c r="CI473" s="8"/>
      <c r="CJ473" s="8"/>
      <c r="CK473" s="8"/>
    </row>
    <row r="474" spans="1:89" ht="24.75" customHeight="1" x14ac:dyDescent="0.2">
      <c r="A474" s="103"/>
      <c r="B474" s="104"/>
      <c r="C474" s="104"/>
      <c r="D474" s="104"/>
      <c r="E474" s="74">
        <v>2409</v>
      </c>
      <c r="F474" s="1498" t="s">
        <v>1253</v>
      </c>
      <c r="G474" s="1499"/>
      <c r="H474" s="1499"/>
      <c r="I474" s="1500"/>
      <c r="J474" s="74"/>
      <c r="K474" s="70"/>
      <c r="L474" s="306"/>
      <c r="M474" s="74"/>
      <c r="N474" s="188"/>
      <c r="O474" s="70"/>
      <c r="P474" s="70"/>
      <c r="Q474" s="304">
        <f t="shared" ref="Q474:AC474" si="164">SUM(Q475:Q478)</f>
        <v>0</v>
      </c>
      <c r="R474" s="304">
        <f t="shared" si="164"/>
        <v>0</v>
      </c>
      <c r="S474" s="304">
        <f t="shared" si="164"/>
        <v>0</v>
      </c>
      <c r="T474" s="304">
        <f t="shared" si="164"/>
        <v>0</v>
      </c>
      <c r="U474" s="304">
        <f t="shared" si="164"/>
        <v>0</v>
      </c>
      <c r="V474" s="304">
        <f t="shared" si="164"/>
        <v>0</v>
      </c>
      <c r="W474" s="304">
        <f t="shared" si="164"/>
        <v>0</v>
      </c>
      <c r="X474" s="304">
        <f t="shared" si="164"/>
        <v>0</v>
      </c>
      <c r="Y474" s="304">
        <f t="shared" si="164"/>
        <v>0</v>
      </c>
      <c r="Z474" s="304">
        <f t="shared" si="164"/>
        <v>0</v>
      </c>
      <c r="AA474" s="304">
        <f t="shared" si="164"/>
        <v>0</v>
      </c>
      <c r="AB474" s="304">
        <f t="shared" si="164"/>
        <v>110210000</v>
      </c>
      <c r="AC474" s="304">
        <f t="shared" si="164"/>
        <v>0</v>
      </c>
      <c r="AD474" s="304">
        <f>SUM(AD475:AD478)</f>
        <v>110210000</v>
      </c>
      <c r="AE474" s="304"/>
      <c r="AF474" s="303"/>
    </row>
    <row r="475" spans="1:89" ht="132.75" customHeight="1" x14ac:dyDescent="0.2">
      <c r="A475" s="103"/>
      <c r="B475" s="104"/>
      <c r="C475" s="104"/>
      <c r="D475" s="104"/>
      <c r="E475" s="225"/>
      <c r="F475" s="457"/>
      <c r="G475" s="220" t="s">
        <v>1254</v>
      </c>
      <c r="H475" s="115">
        <v>2409009</v>
      </c>
      <c r="I475" s="272" t="s">
        <v>1255</v>
      </c>
      <c r="J475" s="115">
        <v>240900900</v>
      </c>
      <c r="K475" s="185" t="s">
        <v>1256</v>
      </c>
      <c r="L475" s="308" t="s">
        <v>45</v>
      </c>
      <c r="M475" s="466">
        <v>1</v>
      </c>
      <c r="N475" s="1545" t="s">
        <v>1257</v>
      </c>
      <c r="O475" s="1521" t="s">
        <v>2343</v>
      </c>
      <c r="P475" s="1521" t="s">
        <v>1258</v>
      </c>
      <c r="Q475" s="118"/>
      <c r="R475" s="118"/>
      <c r="S475" s="118"/>
      <c r="T475" s="118"/>
      <c r="U475" s="118"/>
      <c r="V475" s="329"/>
      <c r="W475" s="118"/>
      <c r="X475" s="118"/>
      <c r="Y475" s="352"/>
      <c r="Z475" s="118"/>
      <c r="AA475" s="186"/>
      <c r="AB475" s="186">
        <v>27192000</v>
      </c>
      <c r="AC475" s="118"/>
      <c r="AD475" s="120">
        <f>+Q475+R475+S475+T475+U475+V475+W475+X475+Y475+Z475+AA475+AB475+AC475</f>
        <v>27192000</v>
      </c>
      <c r="AE475" s="120"/>
      <c r="AF475" s="546"/>
      <c r="AG475" s="1"/>
    </row>
    <row r="476" spans="1:89" ht="109.5" customHeight="1" x14ac:dyDescent="0.2">
      <c r="A476" s="103"/>
      <c r="B476" s="104"/>
      <c r="C476" s="104"/>
      <c r="D476" s="104"/>
      <c r="E476" s="225"/>
      <c r="F476" s="457"/>
      <c r="G476" s="220" t="s">
        <v>1254</v>
      </c>
      <c r="H476" s="115">
        <v>2409022</v>
      </c>
      <c r="I476" s="272" t="s">
        <v>1259</v>
      </c>
      <c r="J476" s="115">
        <v>240902202</v>
      </c>
      <c r="K476" s="185" t="s">
        <v>1260</v>
      </c>
      <c r="L476" s="308" t="s">
        <v>45</v>
      </c>
      <c r="M476" s="466">
        <v>1</v>
      </c>
      <c r="N476" s="1545"/>
      <c r="O476" s="1521"/>
      <c r="P476" s="1521"/>
      <c r="Q476" s="118"/>
      <c r="R476" s="206"/>
      <c r="S476" s="206"/>
      <c r="T476" s="206"/>
      <c r="U476" s="206"/>
      <c r="V476" s="347"/>
      <c r="W476" s="206"/>
      <c r="X476" s="206"/>
      <c r="Y476" s="361"/>
      <c r="Z476" s="206"/>
      <c r="AA476" s="309"/>
      <c r="AB476" s="309">
        <v>8652000</v>
      </c>
      <c r="AC476" s="206"/>
      <c r="AD476" s="120">
        <f>+Q476+R476+S476+T476+U476+V476+W476+X476+Y476+Z476+AA476+AB476+AC476</f>
        <v>8652000</v>
      </c>
      <c r="AE476" s="120"/>
      <c r="AF476" s="546"/>
    </row>
    <row r="477" spans="1:89" ht="108.75" customHeight="1" x14ac:dyDescent="0.2">
      <c r="A477" s="103"/>
      <c r="B477" s="104"/>
      <c r="C477" s="104"/>
      <c r="D477" s="104"/>
      <c r="E477" s="225"/>
      <c r="F477" s="457"/>
      <c r="G477" s="220" t="s">
        <v>1254</v>
      </c>
      <c r="H477" s="115">
        <v>2409014</v>
      </c>
      <c r="I477" s="272" t="s">
        <v>1261</v>
      </c>
      <c r="J477" s="115">
        <v>240901400</v>
      </c>
      <c r="K477" s="185" t="s">
        <v>1262</v>
      </c>
      <c r="L477" s="308" t="s">
        <v>45</v>
      </c>
      <c r="M477" s="466">
        <v>1</v>
      </c>
      <c r="N477" s="1545"/>
      <c r="O477" s="1521"/>
      <c r="P477" s="1521"/>
      <c r="Q477" s="118"/>
      <c r="R477" s="206"/>
      <c r="S477" s="206"/>
      <c r="T477" s="206"/>
      <c r="U477" s="206"/>
      <c r="V477" s="347"/>
      <c r="W477" s="206"/>
      <c r="X477" s="206"/>
      <c r="Y477" s="361"/>
      <c r="Z477" s="206"/>
      <c r="AA477" s="309"/>
      <c r="AB477" s="309">
        <v>25956000</v>
      </c>
      <c r="AC477" s="206"/>
      <c r="AD477" s="120">
        <f>+Q477+R477+S477+T477+U477+V477+W477+X477+Y477+Z477+AA477+AB477+AC477</f>
        <v>25956000</v>
      </c>
      <c r="AE477" s="120"/>
      <c r="AF477" s="546"/>
    </row>
    <row r="478" spans="1:89" ht="132" customHeight="1" x14ac:dyDescent="0.2">
      <c r="A478" s="103"/>
      <c r="B478" s="104"/>
      <c r="C478" s="104"/>
      <c r="D478" s="104"/>
      <c r="E478" s="225"/>
      <c r="F478" s="457"/>
      <c r="G478" s="220" t="s">
        <v>1254</v>
      </c>
      <c r="H478" s="115">
        <v>2409039</v>
      </c>
      <c r="I478" s="140" t="s">
        <v>1263</v>
      </c>
      <c r="J478" s="125">
        <v>2403905</v>
      </c>
      <c r="K478" s="185" t="s">
        <v>1264</v>
      </c>
      <c r="L478" s="308" t="s">
        <v>45</v>
      </c>
      <c r="M478" s="466">
        <v>1</v>
      </c>
      <c r="N478" s="1545"/>
      <c r="O478" s="1521"/>
      <c r="P478" s="1521"/>
      <c r="Q478" s="206"/>
      <c r="R478" s="206"/>
      <c r="S478" s="206"/>
      <c r="T478" s="206"/>
      <c r="U478" s="206"/>
      <c r="V478" s="347"/>
      <c r="W478" s="206"/>
      <c r="X478" s="206"/>
      <c r="Y478" s="361"/>
      <c r="Z478" s="206"/>
      <c r="AA478" s="309"/>
      <c r="AB478" s="309">
        <v>48410000</v>
      </c>
      <c r="AC478" s="206"/>
      <c r="AD478" s="120">
        <f>+Q478+R478+S478+T478+U478+V478+W478+X478+Y478+Z478+AA478+AB478+AC478</f>
        <v>48410000</v>
      </c>
      <c r="AE478" s="120"/>
      <c r="AF478" s="546"/>
    </row>
    <row r="479" spans="1:89" s="33" customFormat="1" ht="27.75" customHeight="1" x14ac:dyDescent="0.25">
      <c r="A479" s="310" t="s">
        <v>1265</v>
      </c>
      <c r="B479" s="310"/>
      <c r="C479" s="310"/>
      <c r="D479" s="310"/>
      <c r="E479" s="311"/>
      <c r="F479" s="312"/>
      <c r="G479" s="313"/>
      <c r="H479" s="311"/>
      <c r="I479" s="313"/>
      <c r="J479" s="315"/>
      <c r="K479" s="314"/>
      <c r="L479" s="312"/>
      <c r="M479" s="315"/>
      <c r="N479" s="312"/>
      <c r="O479" s="314"/>
      <c r="P479" s="314"/>
      <c r="Q479" s="316">
        <f t="shared" ref="Q479:AD479" si="165">+Q471+Q449+Q437</f>
        <v>1027674743</v>
      </c>
      <c r="R479" s="316">
        <f t="shared" si="165"/>
        <v>0</v>
      </c>
      <c r="S479" s="316">
        <f t="shared" si="165"/>
        <v>0</v>
      </c>
      <c r="T479" s="316">
        <f t="shared" si="165"/>
        <v>0</v>
      </c>
      <c r="U479" s="316">
        <f t="shared" si="165"/>
        <v>0</v>
      </c>
      <c r="V479" s="316">
        <f t="shared" si="165"/>
        <v>0</v>
      </c>
      <c r="W479" s="316">
        <f t="shared" si="165"/>
        <v>0</v>
      </c>
      <c r="X479" s="316">
        <f t="shared" si="165"/>
        <v>0</v>
      </c>
      <c r="Y479" s="316">
        <f t="shared" si="165"/>
        <v>0</v>
      </c>
      <c r="Z479" s="316">
        <f t="shared" si="165"/>
        <v>0</v>
      </c>
      <c r="AA479" s="316">
        <f t="shared" si="165"/>
        <v>855248186</v>
      </c>
      <c r="AB479" s="316">
        <f t="shared" si="165"/>
        <v>2716000524.2200003</v>
      </c>
      <c r="AC479" s="316">
        <f t="shared" si="165"/>
        <v>0</v>
      </c>
      <c r="AD479" s="316">
        <f t="shared" si="165"/>
        <v>4598923453.2200003</v>
      </c>
      <c r="AE479" s="316"/>
      <c r="AF479" s="552"/>
      <c r="AG479" s="31">
        <v>4598923453.2200003</v>
      </c>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row>
    <row r="480" spans="1:89" s="41" customFormat="1" ht="32.25" customHeight="1" x14ac:dyDescent="0.2">
      <c r="A480" s="317" t="s">
        <v>1266</v>
      </c>
      <c r="B480" s="317"/>
      <c r="C480" s="317"/>
      <c r="D480" s="317"/>
      <c r="E480" s="318"/>
      <c r="F480" s="319"/>
      <c r="G480" s="320"/>
      <c r="H480" s="318"/>
      <c r="I480" s="320"/>
      <c r="J480" s="322"/>
      <c r="K480" s="321"/>
      <c r="L480" s="319"/>
      <c r="M480" s="322"/>
      <c r="N480" s="319"/>
      <c r="O480" s="321"/>
      <c r="P480" s="321"/>
      <c r="Q480" s="323">
        <v>1027674743</v>
      </c>
      <c r="R480" s="323"/>
      <c r="S480" s="323"/>
      <c r="T480" s="323"/>
      <c r="U480" s="323"/>
      <c r="V480" s="348"/>
      <c r="W480" s="323"/>
      <c r="X480" s="323"/>
      <c r="Y480" s="362"/>
      <c r="Z480" s="323"/>
      <c r="AA480" s="324">
        <v>782575952</v>
      </c>
      <c r="AB480" s="323">
        <f>251730003+611631082+997308456+110210000</f>
        <v>1970879541</v>
      </c>
      <c r="AC480" s="323"/>
      <c r="AD480" s="323">
        <f>SUM(Q480:AC480)</f>
        <v>3781130236</v>
      </c>
      <c r="AE480" s="323"/>
      <c r="AF480" s="319"/>
      <c r="AG480" s="4"/>
      <c r="AH480" s="4"/>
      <c r="AI480" s="4"/>
      <c r="AJ480" s="4"/>
      <c r="AK480" s="4"/>
      <c r="AL480" s="4"/>
      <c r="AM480" s="4"/>
      <c r="AN480" s="4"/>
      <c r="AO480" s="4"/>
      <c r="AP480" s="4"/>
      <c r="AQ480" s="4"/>
      <c r="AR480" s="4"/>
      <c r="AS480" s="4"/>
      <c r="AT480" s="4"/>
      <c r="AU480" s="4"/>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c r="BW480" s="4"/>
      <c r="BX480" s="4"/>
      <c r="BY480" s="4"/>
      <c r="BZ480" s="4"/>
      <c r="CA480" s="4"/>
      <c r="CB480" s="4"/>
      <c r="CC480" s="4"/>
      <c r="CD480" s="4"/>
      <c r="CE480" s="4"/>
      <c r="CF480" s="4"/>
      <c r="CG480" s="4"/>
      <c r="CH480" s="4"/>
      <c r="CI480" s="4"/>
      <c r="CJ480" s="4"/>
      <c r="CK480" s="4"/>
    </row>
    <row r="481" spans="1:89" ht="23.25" customHeight="1" x14ac:dyDescent="0.2">
      <c r="A481" s="528"/>
      <c r="B481" s="529" t="s">
        <v>1267</v>
      </c>
      <c r="C481" s="529"/>
      <c r="D481" s="529"/>
      <c r="E481" s="530"/>
      <c r="F481" s="531"/>
      <c r="G481" s="532"/>
      <c r="H481" s="530"/>
      <c r="I481" s="532"/>
      <c r="J481" s="533"/>
      <c r="K481" s="534"/>
      <c r="L481" s="531"/>
      <c r="M481" s="533"/>
      <c r="N481" s="531"/>
      <c r="O481" s="534"/>
      <c r="P481" s="534"/>
      <c r="Q481" s="528">
        <f>Q480-Q479</f>
        <v>0</v>
      </c>
      <c r="R481" s="528"/>
      <c r="S481" s="528"/>
      <c r="T481" s="528"/>
      <c r="U481" s="528"/>
      <c r="V481" s="535"/>
      <c r="W481" s="528"/>
      <c r="X481" s="528"/>
      <c r="Y481" s="536"/>
      <c r="Z481" s="528"/>
      <c r="AA481" s="528">
        <f>AA479-AA480</f>
        <v>72672234</v>
      </c>
      <c r="AB481" s="528">
        <f>AB479-AB480</f>
        <v>745120983.22000027</v>
      </c>
      <c r="AC481" s="528"/>
      <c r="AD481" s="528">
        <f>+AD479-AD480</f>
        <v>817793217.22000027</v>
      </c>
      <c r="AE481" s="528"/>
      <c r="AF481" s="531"/>
      <c r="AG481" s="1"/>
    </row>
    <row r="482" spans="1:89" s="56" customFormat="1" ht="15.75" x14ac:dyDescent="0.25">
      <c r="A482" s="49"/>
      <c r="B482" s="49"/>
      <c r="C482" s="49"/>
      <c r="D482" s="49"/>
      <c r="E482" s="50"/>
      <c r="F482" s="51"/>
      <c r="G482" s="52"/>
      <c r="H482" s="50"/>
      <c r="I482" s="52"/>
      <c r="J482" s="53"/>
      <c r="K482" s="54"/>
      <c r="L482" s="51"/>
      <c r="M482" s="53"/>
      <c r="N482" s="51"/>
      <c r="O482" s="54"/>
      <c r="P482" s="54"/>
      <c r="Q482" s="84"/>
      <c r="R482" s="84"/>
      <c r="S482" s="84"/>
      <c r="T482" s="84"/>
      <c r="U482" s="84"/>
      <c r="V482" s="349"/>
      <c r="W482" s="326"/>
      <c r="X482" s="326"/>
      <c r="Y482" s="363"/>
      <c r="Z482" s="84"/>
      <c r="AA482" s="84"/>
      <c r="AB482" s="84"/>
      <c r="AC482" s="84"/>
      <c r="AD482" s="84"/>
      <c r="AE482" s="55"/>
      <c r="AF482" s="553"/>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row>
    <row r="483" spans="1:89" s="40" customFormat="1" ht="24.75" customHeight="1" x14ac:dyDescent="0.25">
      <c r="A483" s="390" t="s">
        <v>1268</v>
      </c>
      <c r="B483" s="390"/>
      <c r="C483" s="390"/>
      <c r="D483" s="390"/>
      <c r="E483" s="34"/>
      <c r="F483" s="35"/>
      <c r="G483" s="36"/>
      <c r="H483" s="34"/>
      <c r="I483" s="36"/>
      <c r="J483" s="37"/>
      <c r="K483" s="38"/>
      <c r="L483" s="35"/>
      <c r="M483" s="37"/>
      <c r="N483" s="35"/>
      <c r="O483" s="38"/>
      <c r="P483" s="38"/>
      <c r="Q483" s="39">
        <f t="shared" ref="Q483:AD483" si="166">+Q432+Q479</f>
        <v>10495404871</v>
      </c>
      <c r="R483" s="39">
        <f t="shared" si="166"/>
        <v>1724182726</v>
      </c>
      <c r="S483" s="39">
        <f t="shared" si="166"/>
        <v>0</v>
      </c>
      <c r="T483" s="39">
        <f t="shared" si="166"/>
        <v>1704977490</v>
      </c>
      <c r="U483" s="39">
        <f t="shared" si="166"/>
        <v>6460193577</v>
      </c>
      <c r="V483" s="350">
        <f t="shared" si="166"/>
        <v>35242837560</v>
      </c>
      <c r="W483" s="327">
        <f t="shared" si="166"/>
        <v>143885000000</v>
      </c>
      <c r="X483" s="327">
        <f t="shared" si="166"/>
        <v>25145000000</v>
      </c>
      <c r="Y483" s="364">
        <f t="shared" si="166"/>
        <v>12990000000</v>
      </c>
      <c r="Z483" s="39">
        <f t="shared" si="166"/>
        <v>2753011221</v>
      </c>
      <c r="AA483" s="39">
        <f t="shared" si="166"/>
        <v>19324123614</v>
      </c>
      <c r="AB483" s="39">
        <f t="shared" si="166"/>
        <v>3643910970.2200003</v>
      </c>
      <c r="AC483" s="39">
        <f t="shared" si="166"/>
        <v>2849166997</v>
      </c>
      <c r="AD483" s="39">
        <f t="shared" si="166"/>
        <v>266217809026.22</v>
      </c>
      <c r="AE483" s="47"/>
      <c r="AF483" s="554"/>
      <c r="AG483" s="4">
        <v>266217809026.22</v>
      </c>
      <c r="AH483" s="4"/>
      <c r="AI483" s="4"/>
      <c r="AJ483" s="4"/>
      <c r="AK483" s="4"/>
      <c r="AL483" s="4"/>
      <c r="AM483" s="4"/>
      <c r="AN483" s="4"/>
      <c r="AO483" s="4"/>
      <c r="AP483" s="4"/>
      <c r="AQ483" s="4"/>
      <c r="AR483" s="4"/>
      <c r="AS483" s="4"/>
      <c r="AT483" s="4"/>
      <c r="AU483" s="4"/>
      <c r="AV483" s="4"/>
      <c r="AW483" s="4"/>
      <c r="AX483" s="4"/>
      <c r="AY483" s="4"/>
      <c r="AZ483" s="4"/>
      <c r="BA483" s="4"/>
      <c r="BB483" s="4"/>
      <c r="BC483" s="4"/>
      <c r="BD483" s="4"/>
      <c r="BE483" s="4"/>
      <c r="BF483" s="4"/>
      <c r="BG483" s="4"/>
      <c r="BH483" s="4"/>
      <c r="BI483" s="4"/>
      <c r="BJ483" s="4"/>
      <c r="BK483" s="4"/>
      <c r="BL483" s="4"/>
      <c r="BM483" s="4"/>
      <c r="BN483" s="4"/>
      <c r="BO483" s="4"/>
      <c r="BP483" s="4"/>
      <c r="BQ483" s="4"/>
      <c r="BR483" s="4"/>
      <c r="BS483" s="4"/>
      <c r="BT483" s="4"/>
      <c r="BU483" s="4"/>
      <c r="BV483" s="4"/>
      <c r="BW483" s="4"/>
      <c r="BX483" s="4"/>
      <c r="BY483" s="4"/>
      <c r="BZ483" s="4"/>
      <c r="CA483" s="4"/>
      <c r="CB483" s="4"/>
      <c r="CC483" s="4"/>
      <c r="CD483" s="4"/>
      <c r="CE483" s="4"/>
      <c r="CF483" s="4"/>
      <c r="CG483" s="4"/>
      <c r="CH483" s="4"/>
      <c r="CI483" s="4"/>
      <c r="CJ483" s="4"/>
      <c r="CK483" s="4"/>
    </row>
    <row r="484" spans="1:89" x14ac:dyDescent="0.2">
      <c r="K484" s="17"/>
    </row>
    <row r="485" spans="1:89" x14ac:dyDescent="0.2">
      <c r="K485" s="17"/>
    </row>
    <row r="486" spans="1:89" x14ac:dyDescent="0.2">
      <c r="K486" s="17"/>
    </row>
    <row r="487" spans="1:89" x14ac:dyDescent="0.2">
      <c r="K487" s="17"/>
    </row>
    <row r="488" spans="1:89" x14ac:dyDescent="0.2">
      <c r="K488" s="17"/>
    </row>
    <row r="489" spans="1:89" x14ac:dyDescent="0.2">
      <c r="K489" s="17"/>
    </row>
    <row r="490" spans="1:89" x14ac:dyDescent="0.2">
      <c r="K490" s="17"/>
    </row>
    <row r="491" spans="1:89" x14ac:dyDescent="0.2">
      <c r="K491" s="17"/>
    </row>
    <row r="492" spans="1:89" x14ac:dyDescent="0.2">
      <c r="K492" s="17"/>
    </row>
    <row r="493" spans="1:89" x14ac:dyDescent="0.2">
      <c r="K493" s="17"/>
    </row>
    <row r="494" spans="1:89" x14ac:dyDescent="0.2">
      <c r="K494" s="17"/>
    </row>
    <row r="495" spans="1:89" x14ac:dyDescent="0.2">
      <c r="K495" s="17"/>
    </row>
    <row r="496" spans="1:89" x14ac:dyDescent="0.2">
      <c r="K496" s="17"/>
    </row>
    <row r="497" spans="11:11" x14ac:dyDescent="0.2">
      <c r="K497" s="17"/>
    </row>
    <row r="498" spans="11:11" x14ac:dyDescent="0.2">
      <c r="K498" s="17"/>
    </row>
    <row r="499" spans="11:11" x14ac:dyDescent="0.2">
      <c r="K499" s="17"/>
    </row>
    <row r="500" spans="11:11" x14ac:dyDescent="0.2">
      <c r="K500" s="17"/>
    </row>
  </sheetData>
  <mergeCells count="208">
    <mergeCell ref="C8:G8"/>
    <mergeCell ref="C18:G18"/>
    <mergeCell ref="C36:G36"/>
    <mergeCell ref="N390:N394"/>
    <mergeCell ref="N62:N63"/>
    <mergeCell ref="N100:N104"/>
    <mergeCell ref="N141:N142"/>
    <mergeCell ref="N148:N149"/>
    <mergeCell ref="N309:N311"/>
    <mergeCell ref="N260:N262"/>
    <mergeCell ref="N191:N193"/>
    <mergeCell ref="N173:N174"/>
    <mergeCell ref="N385:N386"/>
    <mergeCell ref="N188:N189"/>
    <mergeCell ref="N181:N182"/>
    <mergeCell ref="F195:G195"/>
    <mergeCell ref="N150:N151"/>
    <mergeCell ref="N201:N202"/>
    <mergeCell ref="N332:N339"/>
    <mergeCell ref="N300:N301"/>
    <mergeCell ref="N387:N389"/>
    <mergeCell ref="N376:N377"/>
    <mergeCell ref="N369:N370"/>
    <mergeCell ref="N475:N478"/>
    <mergeCell ref="O475:O478"/>
    <mergeCell ref="N243:N244"/>
    <mergeCell ref="N245:N255"/>
    <mergeCell ref="N234:N242"/>
    <mergeCell ref="N266:N267"/>
    <mergeCell ref="N463:N469"/>
    <mergeCell ref="O292:O293"/>
    <mergeCell ref="N279:N280"/>
    <mergeCell ref="O279:O280"/>
    <mergeCell ref="N304:N305"/>
    <mergeCell ref="O304:O305"/>
    <mergeCell ref="O418:O420"/>
    <mergeCell ref="N263:N265"/>
    <mergeCell ref="N286:N287"/>
    <mergeCell ref="O286:O287"/>
    <mergeCell ref="O404:O408"/>
    <mergeCell ref="N342:N344"/>
    <mergeCell ref="N441:N444"/>
    <mergeCell ref="O355:O356"/>
    <mergeCell ref="O346:O349"/>
    <mergeCell ref="O350:O353"/>
    <mergeCell ref="N346:N349"/>
    <mergeCell ref="N350:N353"/>
    <mergeCell ref="N426:N431"/>
    <mergeCell ref="O426:O431"/>
    <mergeCell ref="N374:N375"/>
    <mergeCell ref="N364:N365"/>
    <mergeCell ref="O410:O414"/>
    <mergeCell ref="O400:O403"/>
    <mergeCell ref="N410:N414"/>
    <mergeCell ref="N400:N403"/>
    <mergeCell ref="O300:O301"/>
    <mergeCell ref="N355:N356"/>
    <mergeCell ref="O340:O341"/>
    <mergeCell ref="O342:O344"/>
    <mergeCell ref="O357:O363"/>
    <mergeCell ref="N340:N341"/>
    <mergeCell ref="P286:P287"/>
    <mergeCell ref="O309:O311"/>
    <mergeCell ref="P309:P311"/>
    <mergeCell ref="P292:P293"/>
    <mergeCell ref="P404:P408"/>
    <mergeCell ref="O366:O368"/>
    <mergeCell ref="P385:P386"/>
    <mergeCell ref="P387:P389"/>
    <mergeCell ref="N404:N408"/>
    <mergeCell ref="O385:O386"/>
    <mergeCell ref="P300:P301"/>
    <mergeCell ref="N292:N293"/>
    <mergeCell ref="P332:P339"/>
    <mergeCell ref="P346:P349"/>
    <mergeCell ref="P350:P353"/>
    <mergeCell ref="P355:P356"/>
    <mergeCell ref="P357:P363"/>
    <mergeCell ref="P340:P341"/>
    <mergeCell ref="P342:P344"/>
    <mergeCell ref="P426:P431"/>
    <mergeCell ref="O390:O394"/>
    <mergeCell ref="O387:O389"/>
    <mergeCell ref="O374:O375"/>
    <mergeCell ref="O376:O377"/>
    <mergeCell ref="O369:O370"/>
    <mergeCell ref="O364:O365"/>
    <mergeCell ref="P410:P414"/>
    <mergeCell ref="P418:P420"/>
    <mergeCell ref="P400:P403"/>
    <mergeCell ref="P133:P136"/>
    <mergeCell ref="O141:O142"/>
    <mergeCell ref="P475:P478"/>
    <mergeCell ref="N196:N197"/>
    <mergeCell ref="O196:O197"/>
    <mergeCell ref="N213:N215"/>
    <mergeCell ref="O213:O215"/>
    <mergeCell ref="N217:N219"/>
    <mergeCell ref="O217:O219"/>
    <mergeCell ref="O201:O202"/>
    <mergeCell ref="P196:P197"/>
    <mergeCell ref="P204:P207"/>
    <mergeCell ref="N204:N207"/>
    <mergeCell ref="O204:O207"/>
    <mergeCell ref="P201:P202"/>
    <mergeCell ref="N418:N420"/>
    <mergeCell ref="N256:N259"/>
    <mergeCell ref="O256:O259"/>
    <mergeCell ref="P213:P215"/>
    <mergeCell ref="P217:P219"/>
    <mergeCell ref="O441:O444"/>
    <mergeCell ref="P304:P305"/>
    <mergeCell ref="P279:P280"/>
    <mergeCell ref="P441:P444"/>
    <mergeCell ref="P191:P193"/>
    <mergeCell ref="O181:O182"/>
    <mergeCell ref="P181:P182"/>
    <mergeCell ref="O27:O32"/>
    <mergeCell ref="P27:P32"/>
    <mergeCell ref="P141:P142"/>
    <mergeCell ref="N27:N32"/>
    <mergeCell ref="O100:O104"/>
    <mergeCell ref="O117:O119"/>
    <mergeCell ref="P100:P104"/>
    <mergeCell ref="P117:P119"/>
    <mergeCell ref="O124:O127"/>
    <mergeCell ref="P124:P127"/>
    <mergeCell ref="O73:O78"/>
    <mergeCell ref="N73:N78"/>
    <mergeCell ref="P73:P78"/>
    <mergeCell ref="O62:O63"/>
    <mergeCell ref="N117:N119"/>
    <mergeCell ref="N124:N127"/>
    <mergeCell ref="P62:P63"/>
    <mergeCell ref="N175:N176"/>
    <mergeCell ref="O137:O138"/>
    <mergeCell ref="P137:P138"/>
    <mergeCell ref="O133:O136"/>
    <mergeCell ref="P260:P262"/>
    <mergeCell ref="P263:P265"/>
    <mergeCell ref="P266:P267"/>
    <mergeCell ref="P243:P244"/>
    <mergeCell ref="P234:P242"/>
    <mergeCell ref="O234:O242"/>
    <mergeCell ref="O243:O244"/>
    <mergeCell ref="P245:P255"/>
    <mergeCell ref="O260:O262"/>
    <mergeCell ref="O266:O267"/>
    <mergeCell ref="P256:P259"/>
    <mergeCell ref="O245:O255"/>
    <mergeCell ref="O263:O265"/>
    <mergeCell ref="O148:O149"/>
    <mergeCell ref="P148:P149"/>
    <mergeCell ref="O150:O151"/>
    <mergeCell ref="P150:P151"/>
    <mergeCell ref="P188:P189"/>
    <mergeCell ref="O158:O161"/>
    <mergeCell ref="P158:P161"/>
    <mergeCell ref="O152:O154"/>
    <mergeCell ref="O173:O174"/>
    <mergeCell ref="O175:O176"/>
    <mergeCell ref="P152:P154"/>
    <mergeCell ref="P173:P174"/>
    <mergeCell ref="P175:P176"/>
    <mergeCell ref="P170:P172"/>
    <mergeCell ref="P167:P169"/>
    <mergeCell ref="O170:O172"/>
    <mergeCell ref="O167:O169"/>
    <mergeCell ref="G2:AB2"/>
    <mergeCell ref="P463:P469"/>
    <mergeCell ref="O463:O469"/>
    <mergeCell ref="P390:P394"/>
    <mergeCell ref="P364:P365"/>
    <mergeCell ref="P366:P368"/>
    <mergeCell ref="P369:P370"/>
    <mergeCell ref="P371:P373"/>
    <mergeCell ref="P374:P375"/>
    <mergeCell ref="P376:P377"/>
    <mergeCell ref="N133:N136"/>
    <mergeCell ref="N158:N161"/>
    <mergeCell ref="N170:N172"/>
    <mergeCell ref="N167:N169"/>
    <mergeCell ref="N152:N154"/>
    <mergeCell ref="N137:N138"/>
    <mergeCell ref="F455:I455"/>
    <mergeCell ref="O188:O189"/>
    <mergeCell ref="O191:O193"/>
    <mergeCell ref="O332:O339"/>
    <mergeCell ref="N357:N363"/>
    <mergeCell ref="N371:N373"/>
    <mergeCell ref="O371:O373"/>
    <mergeCell ref="N366:N368"/>
    <mergeCell ref="F474:I474"/>
    <mergeCell ref="F108:J108"/>
    <mergeCell ref="F93:G93"/>
    <mergeCell ref="F445:G445"/>
    <mergeCell ref="E276:G276"/>
    <mergeCell ref="I418:I420"/>
    <mergeCell ref="H418:H420"/>
    <mergeCell ref="G418:G420"/>
    <mergeCell ref="A432:F432"/>
    <mergeCell ref="F178:G178"/>
    <mergeCell ref="F180:G180"/>
    <mergeCell ref="F354:G354"/>
    <mergeCell ref="H400:H401"/>
    <mergeCell ref="F425:I425"/>
    <mergeCell ref="F409:I409"/>
    <mergeCell ref="I400:I401"/>
  </mergeCells>
  <phoneticPr fontId="12" type="noConversion"/>
  <conditionalFormatting sqref="J332">
    <cfRule type="duplicateValues" dxfId="30" priority="43"/>
  </conditionalFormatting>
  <conditionalFormatting sqref="J340">
    <cfRule type="duplicateValues" dxfId="29" priority="41"/>
  </conditionalFormatting>
  <conditionalFormatting sqref="J340">
    <cfRule type="duplicateValues" dxfId="28" priority="42"/>
  </conditionalFormatting>
  <conditionalFormatting sqref="J347">
    <cfRule type="duplicateValues" dxfId="27" priority="39"/>
  </conditionalFormatting>
  <conditionalFormatting sqref="J347">
    <cfRule type="duplicateValues" dxfId="26" priority="40"/>
  </conditionalFormatting>
  <conditionalFormatting sqref="J138">
    <cfRule type="duplicateValues" dxfId="25" priority="37"/>
  </conditionalFormatting>
  <conditionalFormatting sqref="J168">
    <cfRule type="duplicateValues" dxfId="24" priority="36"/>
  </conditionalFormatting>
  <conditionalFormatting sqref="J169">
    <cfRule type="duplicateValues" dxfId="23" priority="35"/>
  </conditionalFormatting>
  <conditionalFormatting sqref="J316">
    <cfRule type="duplicateValues" dxfId="22" priority="33"/>
  </conditionalFormatting>
  <conditionalFormatting sqref="J316">
    <cfRule type="duplicateValues" dxfId="21" priority="34"/>
  </conditionalFormatting>
  <conditionalFormatting sqref="J171">
    <cfRule type="duplicateValues" dxfId="20" priority="32"/>
  </conditionalFormatting>
  <conditionalFormatting sqref="J172">
    <cfRule type="duplicateValues" dxfId="19" priority="28"/>
  </conditionalFormatting>
  <conditionalFormatting sqref="J172">
    <cfRule type="duplicateValues" dxfId="18" priority="29"/>
  </conditionalFormatting>
  <conditionalFormatting sqref="J172">
    <cfRule type="duplicateValues" dxfId="17" priority="30"/>
  </conditionalFormatting>
  <conditionalFormatting sqref="J176">
    <cfRule type="duplicateValues" dxfId="16" priority="26"/>
  </conditionalFormatting>
  <conditionalFormatting sqref="J176">
    <cfRule type="duplicateValues" dxfId="15" priority="27"/>
  </conditionalFormatting>
  <conditionalFormatting sqref="J177">
    <cfRule type="duplicateValues" dxfId="14" priority="24"/>
  </conditionalFormatting>
  <conditionalFormatting sqref="J177">
    <cfRule type="duplicateValues" dxfId="13" priority="25"/>
  </conditionalFormatting>
  <conditionalFormatting sqref="J179">
    <cfRule type="duplicateValues" dxfId="12" priority="21"/>
  </conditionalFormatting>
  <conditionalFormatting sqref="J179">
    <cfRule type="duplicateValues" dxfId="11" priority="22"/>
  </conditionalFormatting>
  <conditionalFormatting sqref="J188">
    <cfRule type="duplicateValues" dxfId="10" priority="19"/>
  </conditionalFormatting>
  <conditionalFormatting sqref="J188">
    <cfRule type="duplicateValues" dxfId="9" priority="20"/>
  </conditionalFormatting>
  <conditionalFormatting sqref="J189">
    <cfRule type="duplicateValues" dxfId="8" priority="17"/>
  </conditionalFormatting>
  <conditionalFormatting sqref="J189">
    <cfRule type="duplicateValues" dxfId="7" priority="18"/>
  </conditionalFormatting>
  <conditionalFormatting sqref="J191">
    <cfRule type="duplicateValues" dxfId="6" priority="15"/>
  </conditionalFormatting>
  <conditionalFormatting sqref="J191">
    <cfRule type="duplicateValues" dxfId="5" priority="16"/>
  </conditionalFormatting>
  <conditionalFormatting sqref="J192">
    <cfRule type="duplicateValues" dxfId="4" priority="13"/>
  </conditionalFormatting>
  <conditionalFormatting sqref="J192">
    <cfRule type="duplicateValues" dxfId="3" priority="14"/>
  </conditionalFormatting>
  <conditionalFormatting sqref="J348">
    <cfRule type="duplicateValues" dxfId="2" priority="11"/>
  </conditionalFormatting>
  <conditionalFormatting sqref="J348">
    <cfRule type="duplicateValues" dxfId="1" priority="12"/>
  </conditionalFormatting>
  <conditionalFormatting sqref="J170">
    <cfRule type="duplicateValues" dxfId="0" priority="44"/>
  </conditionalFormatting>
  <pageMargins left="0.7" right="0.7" top="0.75" bottom="0.75" header="0.3" footer="0.3"/>
  <pageSetup orientation="portrait" horizontalDpi="360" verticalDpi="36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85"/>
  <sheetViews>
    <sheetView zoomScale="60" zoomScaleNormal="60" workbookViewId="0">
      <selection activeCell="J5" sqref="J5"/>
    </sheetView>
  </sheetViews>
  <sheetFormatPr baseColWidth="10" defaultColWidth="11.42578125" defaultRowHeight="15" x14ac:dyDescent="0.2"/>
  <cols>
    <col min="1" max="1" width="12.5703125" style="1" customWidth="1"/>
    <col min="2" max="3" width="13.85546875" style="13" customWidth="1"/>
    <col min="4" max="4" width="18.140625" style="13" customWidth="1"/>
    <col min="5" max="5" width="64.28515625" style="14" customWidth="1"/>
    <col min="6" max="6" width="33.140625" style="14" customWidth="1"/>
    <col min="7" max="7" width="35.28515625" style="14" customWidth="1"/>
    <col min="8" max="8" width="32.85546875" style="14" customWidth="1"/>
    <col min="9" max="9" width="34.5703125" style="14" customWidth="1"/>
    <col min="10" max="10" width="33.42578125" style="21" customWidth="1"/>
    <col min="11" max="11" width="18.85546875" style="4" customWidth="1"/>
    <col min="12" max="12" width="16.140625" style="4" customWidth="1"/>
    <col min="13" max="16" width="11.42578125" style="4"/>
    <col min="17" max="16384" width="11.42578125" style="1"/>
  </cols>
  <sheetData>
    <row r="1" spans="1:16" ht="42" customHeight="1" x14ac:dyDescent="0.2">
      <c r="A1" s="1559" t="s">
        <v>0</v>
      </c>
      <c r="B1" s="1559"/>
      <c r="C1" s="1559"/>
      <c r="D1" s="1559"/>
      <c r="E1" s="1559"/>
      <c r="F1" s="1559"/>
      <c r="G1" s="1559"/>
      <c r="H1" s="1559"/>
      <c r="I1" s="1559"/>
    </row>
    <row r="2" spans="1:16" ht="27.75" customHeight="1" x14ac:dyDescent="0.2">
      <c r="A2" s="1559"/>
      <c r="B2" s="1559"/>
      <c r="C2" s="1559"/>
      <c r="D2" s="1559"/>
      <c r="E2" s="1559"/>
      <c r="F2" s="1559"/>
      <c r="G2" s="1559"/>
      <c r="H2" s="1559"/>
      <c r="I2" s="1559"/>
    </row>
    <row r="3" spans="1:16" ht="27.75" customHeight="1" x14ac:dyDescent="0.2">
      <c r="A3" s="1559"/>
      <c r="B3" s="1559"/>
      <c r="C3" s="1559"/>
      <c r="D3" s="1559"/>
      <c r="E3" s="1559"/>
      <c r="F3" s="1559"/>
      <c r="G3" s="1559"/>
      <c r="H3" s="1559"/>
      <c r="I3" s="1559"/>
    </row>
    <row r="4" spans="1:16" ht="24.75" customHeight="1" x14ac:dyDescent="0.2">
      <c r="B4" s="45"/>
      <c r="C4" s="46"/>
      <c r="D4" s="46"/>
      <c r="E4" s="46"/>
      <c r="F4" s="46"/>
      <c r="G4" s="46"/>
      <c r="H4" s="46"/>
      <c r="I4" s="46"/>
    </row>
    <row r="5" spans="1:16" s="7" customFormat="1" ht="69" customHeight="1" x14ac:dyDescent="0.25">
      <c r="A5" s="66" t="s">
        <v>8</v>
      </c>
      <c r="B5" s="66" t="s">
        <v>9</v>
      </c>
      <c r="C5" s="66"/>
      <c r="D5" s="66" t="s">
        <v>1269</v>
      </c>
      <c r="E5" s="67" t="s">
        <v>11</v>
      </c>
      <c r="F5" s="1560" t="s">
        <v>1270</v>
      </c>
      <c r="G5" s="1561"/>
      <c r="H5" s="1561"/>
      <c r="I5" s="1562"/>
      <c r="J5" s="1348" t="s">
        <v>1271</v>
      </c>
      <c r="K5" s="6"/>
      <c r="L5" s="6"/>
      <c r="M5" s="6"/>
      <c r="N5" s="6"/>
      <c r="O5" s="6"/>
      <c r="P5" s="6"/>
    </row>
    <row r="6" spans="1:16" ht="15.75" x14ac:dyDescent="0.2">
      <c r="B6" s="61"/>
      <c r="C6" s="61"/>
      <c r="D6" s="61"/>
      <c r="E6" s="78"/>
      <c r="F6" s="78"/>
      <c r="G6" s="78"/>
      <c r="H6" s="78"/>
      <c r="I6" s="78"/>
    </row>
    <row r="7" spans="1:16" s="9" customFormat="1" ht="26.25" customHeight="1" x14ac:dyDescent="0.25">
      <c r="A7" s="85" t="s">
        <v>38</v>
      </c>
      <c r="B7" s="87"/>
      <c r="C7" s="87"/>
      <c r="D7" s="87"/>
      <c r="E7" s="88"/>
      <c r="F7" s="88"/>
      <c r="G7" s="88"/>
      <c r="H7" s="88"/>
      <c r="I7" s="88">
        <f>H8</f>
        <v>176000000</v>
      </c>
      <c r="J7" s="8">
        <f>POAI!AD7</f>
        <v>176000000</v>
      </c>
      <c r="K7" s="8"/>
      <c r="L7" s="8"/>
      <c r="M7" s="8"/>
      <c r="N7" s="8"/>
      <c r="O7" s="8"/>
      <c r="P7" s="8"/>
    </row>
    <row r="8" spans="1:16" s="9" customFormat="1" ht="21.75" customHeight="1" x14ac:dyDescent="0.25">
      <c r="A8" s="95"/>
      <c r="B8" s="99">
        <v>4</v>
      </c>
      <c r="C8" s="99"/>
      <c r="D8" s="365" t="s">
        <v>39</v>
      </c>
      <c r="E8" s="365"/>
      <c r="F8" s="366"/>
      <c r="G8" s="366"/>
      <c r="H8" s="370">
        <f>G9</f>
        <v>176000000</v>
      </c>
      <c r="I8" s="365"/>
      <c r="J8" s="8"/>
      <c r="K8" s="8"/>
      <c r="L8" s="8"/>
      <c r="M8" s="8"/>
      <c r="N8" s="8"/>
      <c r="O8" s="8"/>
      <c r="P8" s="8"/>
    </row>
    <row r="9" spans="1:16" ht="25.5" customHeight="1" x14ac:dyDescent="0.2">
      <c r="A9" s="103"/>
      <c r="B9" s="373"/>
      <c r="C9" s="593">
        <v>45</v>
      </c>
      <c r="D9" s="578" t="s">
        <v>1302</v>
      </c>
      <c r="E9" s="662"/>
      <c r="F9" s="662"/>
      <c r="G9" s="665">
        <f>SUM(F10:F11)</f>
        <v>176000000</v>
      </c>
      <c r="H9" s="663"/>
      <c r="I9" s="662"/>
    </row>
    <row r="10" spans="1:16" ht="45" customHeight="1" x14ac:dyDescent="0.2">
      <c r="A10" s="103"/>
      <c r="B10" s="111"/>
      <c r="C10" s="111"/>
      <c r="D10" s="367">
        <v>4599</v>
      </c>
      <c r="E10" s="375" t="s">
        <v>40</v>
      </c>
      <c r="F10" s="368">
        <f>POAI!AA10</f>
        <v>136000000</v>
      </c>
      <c r="G10" s="368"/>
      <c r="H10" s="368"/>
      <c r="I10" s="368"/>
    </row>
    <row r="11" spans="1:16" ht="30.75" customHeight="1" x14ac:dyDescent="0.2">
      <c r="A11" s="103"/>
      <c r="B11" s="111"/>
      <c r="C11" s="111"/>
      <c r="D11" s="367">
        <v>4502</v>
      </c>
      <c r="E11" s="376" t="s">
        <v>61</v>
      </c>
      <c r="F11" s="369">
        <f>POAI!AA14</f>
        <v>40000000</v>
      </c>
      <c r="G11" s="369"/>
      <c r="H11" s="369"/>
      <c r="I11" s="369"/>
    </row>
    <row r="12" spans="1:16" ht="15.75" x14ac:dyDescent="0.2">
      <c r="A12" s="103"/>
      <c r="B12" s="111"/>
      <c r="C12" s="111"/>
      <c r="D12" s="111"/>
      <c r="E12" s="192"/>
      <c r="F12" s="192"/>
      <c r="G12" s="571"/>
      <c r="H12" s="192"/>
      <c r="I12" s="192"/>
    </row>
    <row r="13" spans="1:16" s="9" customFormat="1" ht="30.75" customHeight="1" x14ac:dyDescent="0.25">
      <c r="A13" s="86" t="s">
        <v>69</v>
      </c>
      <c r="B13" s="87"/>
      <c r="C13" s="87"/>
      <c r="D13" s="87"/>
      <c r="E13" s="88"/>
      <c r="F13" s="88"/>
      <c r="G13" s="88"/>
      <c r="H13" s="88"/>
      <c r="I13" s="88">
        <f>H14</f>
        <v>983000000</v>
      </c>
      <c r="J13" s="8">
        <f>POAI!AD17</f>
        <v>983000000</v>
      </c>
      <c r="K13" s="8"/>
      <c r="L13" s="8"/>
      <c r="M13" s="8"/>
      <c r="N13" s="8"/>
      <c r="O13" s="8"/>
      <c r="P13" s="8"/>
    </row>
    <row r="14" spans="1:16" ht="25.5" customHeight="1" x14ac:dyDescent="0.2">
      <c r="A14" s="103"/>
      <c r="B14" s="99">
        <v>4</v>
      </c>
      <c r="C14" s="99"/>
      <c r="D14" s="365" t="s">
        <v>39</v>
      </c>
      <c r="E14" s="365"/>
      <c r="F14" s="365"/>
      <c r="G14" s="365"/>
      <c r="H14" s="370">
        <f>G15</f>
        <v>983000000</v>
      </c>
      <c r="I14" s="365"/>
    </row>
    <row r="15" spans="1:16" ht="25.5" customHeight="1" x14ac:dyDescent="0.2">
      <c r="A15" s="103"/>
      <c r="B15" s="373"/>
      <c r="C15" s="593">
        <v>45</v>
      </c>
      <c r="D15" s="578" t="s">
        <v>1302</v>
      </c>
      <c r="E15" s="662"/>
      <c r="F15" s="662"/>
      <c r="G15" s="665">
        <f>SUM(F16:F17)</f>
        <v>983000000</v>
      </c>
      <c r="H15" s="663"/>
      <c r="I15" s="662"/>
    </row>
    <row r="16" spans="1:16" s="374" customFormat="1" ht="39" customHeight="1" x14ac:dyDescent="0.2">
      <c r="A16" s="372"/>
      <c r="B16" s="373"/>
      <c r="C16" s="373"/>
      <c r="D16" s="367">
        <v>4502</v>
      </c>
      <c r="E16" s="377" t="s">
        <v>61</v>
      </c>
      <c r="F16" s="368">
        <f>POAI!AA20</f>
        <v>175000000</v>
      </c>
      <c r="G16" s="368"/>
      <c r="H16" s="368"/>
      <c r="I16" s="368"/>
      <c r="J16" s="404"/>
    </row>
    <row r="17" spans="1:16" s="374" customFormat="1" ht="39" customHeight="1" x14ac:dyDescent="0.2">
      <c r="A17" s="372"/>
      <c r="B17" s="373"/>
      <c r="C17" s="373"/>
      <c r="D17" s="367">
        <v>4599</v>
      </c>
      <c r="E17" s="377" t="s">
        <v>84</v>
      </c>
      <c r="F17" s="368">
        <f>POAI!AA23</f>
        <v>808000000</v>
      </c>
      <c r="G17" s="368"/>
      <c r="H17" s="368"/>
      <c r="I17" s="368"/>
      <c r="J17" s="404"/>
    </row>
    <row r="18" spans="1:16" ht="18" customHeight="1" x14ac:dyDescent="0.2">
      <c r="A18" s="381"/>
      <c r="B18" s="382"/>
      <c r="C18" s="382"/>
      <c r="D18" s="382"/>
      <c r="E18" s="383"/>
      <c r="F18" s="383"/>
      <c r="G18" s="383"/>
      <c r="H18" s="383"/>
      <c r="I18" s="383"/>
    </row>
    <row r="19" spans="1:16" ht="31.5" customHeight="1" x14ac:dyDescent="0.2">
      <c r="A19" s="378" t="s">
        <v>119</v>
      </c>
      <c r="B19" s="379"/>
      <c r="C19" s="379"/>
      <c r="D19" s="379"/>
      <c r="E19" s="380"/>
      <c r="F19" s="380"/>
      <c r="G19" s="380"/>
      <c r="H19" s="380"/>
      <c r="I19" s="380">
        <f>F22</f>
        <v>2090000000</v>
      </c>
      <c r="J19" s="21">
        <f>POAI!AD35</f>
        <v>2090000000</v>
      </c>
    </row>
    <row r="20" spans="1:16" ht="24" customHeight="1" x14ac:dyDescent="0.2">
      <c r="A20" s="103"/>
      <c r="B20" s="99">
        <v>4</v>
      </c>
      <c r="C20" s="99"/>
      <c r="D20" s="365" t="s">
        <v>39</v>
      </c>
      <c r="E20" s="365"/>
      <c r="F20" s="365"/>
      <c r="G20" s="365"/>
      <c r="H20" s="366">
        <f>G21</f>
        <v>2090000000</v>
      </c>
      <c r="I20" s="365"/>
    </row>
    <row r="21" spans="1:16" ht="25.5" customHeight="1" x14ac:dyDescent="0.2">
      <c r="A21" s="103"/>
      <c r="B21" s="373"/>
      <c r="C21" s="593">
        <v>45</v>
      </c>
      <c r="D21" s="578" t="s">
        <v>1302</v>
      </c>
      <c r="E21" s="662"/>
      <c r="F21" s="662"/>
      <c r="G21" s="665">
        <f>SUM(F22)</f>
        <v>2090000000</v>
      </c>
      <c r="H21" s="663"/>
      <c r="I21" s="662"/>
    </row>
    <row r="22" spans="1:16" ht="29.25" customHeight="1" x14ac:dyDescent="0.2">
      <c r="A22" s="103"/>
      <c r="B22" s="111"/>
      <c r="C22" s="111"/>
      <c r="D22" s="367">
        <v>4599</v>
      </c>
      <c r="E22" s="377" t="s">
        <v>40</v>
      </c>
      <c r="F22" s="368">
        <f>POAI!AD38</f>
        <v>2090000000</v>
      </c>
      <c r="G22" s="368"/>
      <c r="H22" s="368"/>
      <c r="I22" s="368"/>
    </row>
    <row r="23" spans="1:16" s="11" customFormat="1" x14ac:dyDescent="0.2">
      <c r="A23" s="381"/>
      <c r="B23" s="382"/>
      <c r="C23" s="382"/>
      <c r="D23" s="382"/>
      <c r="E23" s="383"/>
      <c r="F23" s="383"/>
      <c r="G23" s="383"/>
      <c r="H23" s="383"/>
      <c r="I23" s="383"/>
      <c r="J23" s="405"/>
      <c r="K23" s="18"/>
      <c r="L23" s="18"/>
      <c r="M23" s="18"/>
      <c r="N23" s="18"/>
      <c r="O23" s="18"/>
      <c r="P23" s="18"/>
    </row>
    <row r="24" spans="1:16" ht="30" customHeight="1" x14ac:dyDescent="0.2">
      <c r="A24" s="86" t="s">
        <v>133</v>
      </c>
      <c r="B24" s="87"/>
      <c r="C24" s="87"/>
      <c r="D24" s="87"/>
      <c r="E24" s="88"/>
      <c r="F24" s="88"/>
      <c r="G24" s="88"/>
      <c r="H24" s="88"/>
      <c r="I24" s="88">
        <f>SUM(H25:H44)</f>
        <v>8002091816</v>
      </c>
      <c r="J24" s="21">
        <f>POAI!AD42</f>
        <v>8002091816</v>
      </c>
    </row>
    <row r="25" spans="1:16" ht="20.25" customHeight="1" x14ac:dyDescent="0.2">
      <c r="A25" s="103"/>
      <c r="B25" s="99">
        <v>1</v>
      </c>
      <c r="C25" s="99"/>
      <c r="D25" s="365" t="s">
        <v>134</v>
      </c>
      <c r="E25" s="365"/>
      <c r="F25" s="365"/>
      <c r="G25" s="365"/>
      <c r="H25" s="366">
        <f>SUM(G26:G34)</f>
        <v>4011080595</v>
      </c>
      <c r="I25" s="365"/>
    </row>
    <row r="26" spans="1:16" ht="25.5" customHeight="1" x14ac:dyDescent="0.2">
      <c r="A26" s="103"/>
      <c r="B26" s="373"/>
      <c r="C26" s="593">
        <v>12</v>
      </c>
      <c r="D26" s="578" t="s">
        <v>1303</v>
      </c>
      <c r="E26" s="662"/>
      <c r="F26" s="662"/>
      <c r="G26" s="665">
        <f>F27</f>
        <v>23750000</v>
      </c>
      <c r="H26" s="663"/>
      <c r="I26" s="662"/>
    </row>
    <row r="27" spans="1:16" ht="40.5" customHeight="1" x14ac:dyDescent="0.2">
      <c r="A27" s="103"/>
      <c r="B27" s="111"/>
      <c r="C27" s="111"/>
      <c r="D27" s="373">
        <v>1202</v>
      </c>
      <c r="E27" s="377" t="s">
        <v>135</v>
      </c>
      <c r="F27" s="368">
        <f>POAI!AD45</f>
        <v>23750000</v>
      </c>
      <c r="G27" s="368"/>
      <c r="H27" s="368"/>
      <c r="I27" s="368"/>
    </row>
    <row r="28" spans="1:16" ht="34.5" customHeight="1" x14ac:dyDescent="0.2">
      <c r="A28" s="103"/>
      <c r="B28" s="373"/>
      <c r="C28" s="593">
        <v>19</v>
      </c>
      <c r="D28" s="578" t="s">
        <v>1304</v>
      </c>
      <c r="E28" s="662"/>
      <c r="F28" s="662"/>
      <c r="G28" s="665">
        <f>F29</f>
        <v>38000000</v>
      </c>
      <c r="H28" s="663"/>
      <c r="I28" s="662"/>
    </row>
    <row r="29" spans="1:16" ht="42.75" customHeight="1" x14ac:dyDescent="0.2">
      <c r="A29" s="103"/>
      <c r="B29" s="111"/>
      <c r="C29" s="111"/>
      <c r="D29" s="373">
        <v>1906</v>
      </c>
      <c r="E29" s="377" t="s">
        <v>145</v>
      </c>
      <c r="F29" s="368">
        <f>POAI!AD48</f>
        <v>38000000</v>
      </c>
      <c r="G29" s="368"/>
      <c r="H29" s="368"/>
      <c r="I29" s="368"/>
    </row>
    <row r="30" spans="1:16" ht="36.75" customHeight="1" x14ac:dyDescent="0.2">
      <c r="A30" s="103"/>
      <c r="B30" s="373"/>
      <c r="C30" s="593">
        <v>22</v>
      </c>
      <c r="D30" s="668" t="s">
        <v>266</v>
      </c>
      <c r="E30" s="667"/>
      <c r="F30" s="662"/>
      <c r="G30" s="665">
        <f>F31</f>
        <v>2083257220</v>
      </c>
      <c r="H30" s="663"/>
      <c r="I30" s="662"/>
    </row>
    <row r="31" spans="1:16" ht="52.5" customHeight="1" x14ac:dyDescent="0.2">
      <c r="A31" s="103"/>
      <c r="B31" s="111"/>
      <c r="C31" s="111"/>
      <c r="D31" s="373">
        <v>2201</v>
      </c>
      <c r="E31" s="377" t="s">
        <v>152</v>
      </c>
      <c r="F31" s="368">
        <f>POAI!AD51</f>
        <v>2083257220</v>
      </c>
      <c r="G31" s="368"/>
      <c r="H31" s="368"/>
      <c r="I31" s="368"/>
    </row>
    <row r="32" spans="1:16" ht="34.5" customHeight="1" x14ac:dyDescent="0.2">
      <c r="A32" s="103"/>
      <c r="B32" s="373"/>
      <c r="C32" s="593">
        <v>33</v>
      </c>
      <c r="D32" s="668" t="s">
        <v>1305</v>
      </c>
      <c r="E32" s="667"/>
      <c r="F32" s="662"/>
      <c r="G32" s="665">
        <f>F33</f>
        <v>30000000</v>
      </c>
      <c r="H32" s="663"/>
      <c r="I32" s="662"/>
    </row>
    <row r="33" spans="1:16" ht="31.5" x14ac:dyDescent="0.2">
      <c r="A33" s="103"/>
      <c r="B33" s="111"/>
      <c r="C33" s="111"/>
      <c r="D33" s="373">
        <v>3301</v>
      </c>
      <c r="E33" s="377" t="s">
        <v>159</v>
      </c>
      <c r="F33" s="368">
        <f>POAI!AD54</f>
        <v>30000000</v>
      </c>
      <c r="G33" s="368"/>
      <c r="H33" s="368"/>
      <c r="I33" s="368"/>
      <c r="K33" s="58"/>
    </row>
    <row r="34" spans="1:16" ht="38.25" customHeight="1" x14ac:dyDescent="0.2">
      <c r="A34" s="103"/>
      <c r="B34" s="373"/>
      <c r="C34" s="593">
        <v>43</v>
      </c>
      <c r="D34" s="578" t="s">
        <v>1306</v>
      </c>
      <c r="E34" s="578"/>
      <c r="F34" s="662"/>
      <c r="G34" s="665">
        <f>F35</f>
        <v>1836073375</v>
      </c>
      <c r="H34" s="663"/>
      <c r="I34" s="662"/>
    </row>
    <row r="35" spans="1:16" ht="31.5" x14ac:dyDescent="0.2">
      <c r="A35" s="103"/>
      <c r="B35" s="111"/>
      <c r="C35" s="111"/>
      <c r="D35" s="373">
        <v>4301</v>
      </c>
      <c r="E35" s="377" t="s">
        <v>168</v>
      </c>
      <c r="F35" s="368">
        <f>POAI!AD57</f>
        <v>1836073375</v>
      </c>
      <c r="G35" s="368"/>
      <c r="H35" s="368"/>
      <c r="I35" s="368"/>
      <c r="J35" s="22"/>
      <c r="K35" s="1"/>
      <c r="L35" s="1"/>
      <c r="M35" s="1"/>
      <c r="N35" s="1"/>
      <c r="O35" s="1"/>
      <c r="P35" s="1"/>
    </row>
    <row r="36" spans="1:16" ht="39" customHeight="1" x14ac:dyDescent="0.2">
      <c r="A36" s="103"/>
      <c r="B36" s="99">
        <v>3</v>
      </c>
      <c r="C36" s="99"/>
      <c r="D36" s="365" t="s">
        <v>175</v>
      </c>
      <c r="E36" s="365"/>
      <c r="F36" s="365"/>
      <c r="G36" s="365"/>
      <c r="H36" s="366">
        <f>SUM(G37:G41)</f>
        <v>3913011221</v>
      </c>
      <c r="I36" s="365"/>
      <c r="J36" s="22"/>
      <c r="K36" s="1"/>
      <c r="L36" s="1"/>
      <c r="M36" s="1"/>
      <c r="N36" s="1"/>
      <c r="O36" s="1"/>
      <c r="P36" s="1"/>
    </row>
    <row r="37" spans="1:16" ht="40.5" customHeight="1" x14ac:dyDescent="0.2">
      <c r="A37" s="103"/>
      <c r="B37" s="373"/>
      <c r="C37" s="673">
        <v>24</v>
      </c>
      <c r="D37" s="686" t="s">
        <v>180</v>
      </c>
      <c r="E37" s="667"/>
      <c r="F37" s="662"/>
      <c r="G37" s="665">
        <f>F38</f>
        <v>390000000</v>
      </c>
      <c r="H37" s="663"/>
      <c r="I37" s="662"/>
    </row>
    <row r="38" spans="1:16" ht="31.5" x14ac:dyDescent="0.2">
      <c r="A38" s="103"/>
      <c r="B38" s="111"/>
      <c r="C38" s="111"/>
      <c r="D38" s="373">
        <v>2402</v>
      </c>
      <c r="E38" s="377" t="s">
        <v>176</v>
      </c>
      <c r="F38" s="368">
        <f>POAI!AD61</f>
        <v>390000000</v>
      </c>
      <c r="G38" s="368"/>
      <c r="H38" s="368"/>
      <c r="I38" s="368"/>
      <c r="J38" s="22"/>
      <c r="K38" s="1"/>
      <c r="L38" s="1"/>
      <c r="M38" s="1"/>
      <c r="N38" s="1"/>
      <c r="O38" s="1"/>
      <c r="P38" s="1"/>
    </row>
    <row r="39" spans="1:16" ht="25.5" customHeight="1" x14ac:dyDescent="0.2">
      <c r="A39" s="103"/>
      <c r="B39" s="373"/>
      <c r="C39" s="593">
        <v>32</v>
      </c>
      <c r="D39" s="578" t="s">
        <v>1307</v>
      </c>
      <c r="E39" s="578"/>
      <c r="F39" s="662"/>
      <c r="G39" s="665">
        <f>F40</f>
        <v>200000000</v>
      </c>
      <c r="H39" s="663"/>
      <c r="I39" s="662"/>
    </row>
    <row r="40" spans="1:16" ht="33.75" customHeight="1" x14ac:dyDescent="0.2">
      <c r="A40" s="103"/>
      <c r="B40" s="111"/>
      <c r="C40" s="111"/>
      <c r="D40" s="373">
        <v>3205</v>
      </c>
      <c r="E40" s="377" t="s">
        <v>191</v>
      </c>
      <c r="F40" s="368">
        <f>POAI!AD66</f>
        <v>200000000</v>
      </c>
      <c r="G40" s="368"/>
      <c r="H40" s="368"/>
      <c r="I40" s="368"/>
      <c r="J40" s="22"/>
      <c r="K40" s="1"/>
      <c r="L40" s="1"/>
      <c r="M40" s="1"/>
      <c r="N40" s="1"/>
      <c r="O40" s="1"/>
      <c r="P40" s="1"/>
    </row>
    <row r="41" spans="1:16" ht="25.5" customHeight="1" x14ac:dyDescent="0.2">
      <c r="A41" s="103"/>
      <c r="B41" s="373"/>
      <c r="C41" s="593">
        <v>40</v>
      </c>
      <c r="D41" s="668" t="s">
        <v>210</v>
      </c>
      <c r="E41" s="667"/>
      <c r="F41" s="662"/>
      <c r="G41" s="665">
        <f>SUM(F42:F43)</f>
        <v>3323011221</v>
      </c>
      <c r="H41" s="663"/>
      <c r="I41" s="662"/>
    </row>
    <row r="42" spans="1:16" ht="31.5" x14ac:dyDescent="0.2">
      <c r="A42" s="103"/>
      <c r="B42" s="111"/>
      <c r="C42" s="111"/>
      <c r="D42" s="373">
        <v>4001</v>
      </c>
      <c r="E42" s="377" t="s">
        <v>205</v>
      </c>
      <c r="F42" s="368">
        <f>POAI!AD70</f>
        <v>120000000</v>
      </c>
      <c r="G42" s="368"/>
      <c r="H42" s="368"/>
      <c r="I42" s="368"/>
      <c r="J42" s="22"/>
      <c r="K42" s="1"/>
      <c r="L42" s="1"/>
      <c r="M42" s="1"/>
      <c r="N42" s="1"/>
      <c r="O42" s="1"/>
      <c r="P42" s="1"/>
    </row>
    <row r="43" spans="1:16" ht="31.5" x14ac:dyDescent="0.2">
      <c r="A43" s="103"/>
      <c r="B43" s="111"/>
      <c r="C43" s="111"/>
      <c r="D43" s="373">
        <v>4003</v>
      </c>
      <c r="E43" s="377" t="s">
        <v>214</v>
      </c>
      <c r="F43" s="368">
        <f>POAI!AD72</f>
        <v>3203011221</v>
      </c>
      <c r="G43" s="368"/>
      <c r="H43" s="368"/>
      <c r="I43" s="368"/>
      <c r="J43" s="22"/>
      <c r="K43" s="1"/>
      <c r="L43" s="1"/>
      <c r="M43" s="1"/>
      <c r="N43" s="1"/>
      <c r="O43" s="1"/>
      <c r="P43" s="1"/>
    </row>
    <row r="44" spans="1:16" ht="25.5" customHeight="1" x14ac:dyDescent="0.2">
      <c r="A44" s="103"/>
      <c r="B44" s="99">
        <v>4</v>
      </c>
      <c r="C44" s="99"/>
      <c r="D44" s="365" t="s">
        <v>39</v>
      </c>
      <c r="E44" s="365"/>
      <c r="F44" s="365"/>
      <c r="G44" s="365"/>
      <c r="H44" s="366">
        <f>G45</f>
        <v>78000000</v>
      </c>
      <c r="I44" s="365"/>
      <c r="J44" s="22"/>
      <c r="K44" s="1"/>
      <c r="L44" s="1"/>
      <c r="M44" s="1"/>
      <c r="N44" s="1"/>
      <c r="O44" s="1"/>
      <c r="P44" s="1"/>
    </row>
    <row r="45" spans="1:16" ht="25.5" customHeight="1" x14ac:dyDescent="0.2">
      <c r="A45" s="103"/>
      <c r="B45" s="373"/>
      <c r="C45" s="593">
        <v>45</v>
      </c>
      <c r="D45" s="578" t="s">
        <v>1302</v>
      </c>
      <c r="E45" s="662"/>
      <c r="F45" s="662"/>
      <c r="G45" s="665">
        <f>SUM(F46:F47)</f>
        <v>78000000</v>
      </c>
      <c r="H45" s="663"/>
      <c r="I45" s="662"/>
    </row>
    <row r="46" spans="1:16" ht="66" customHeight="1" x14ac:dyDescent="0.2">
      <c r="A46" s="103"/>
      <c r="B46" s="111"/>
      <c r="C46" s="111"/>
      <c r="D46" s="373">
        <v>4599</v>
      </c>
      <c r="E46" s="377" t="s">
        <v>40</v>
      </c>
      <c r="F46" s="368">
        <f>POAI!AD81</f>
        <v>40000000</v>
      </c>
      <c r="G46" s="368"/>
      <c r="H46" s="368"/>
      <c r="I46" s="368"/>
      <c r="J46" s="22"/>
      <c r="K46" s="1"/>
      <c r="L46" s="1"/>
      <c r="M46" s="1"/>
      <c r="N46" s="1"/>
      <c r="O46" s="1"/>
      <c r="P46" s="1"/>
    </row>
    <row r="47" spans="1:16" ht="53.25" customHeight="1" x14ac:dyDescent="0.2">
      <c r="A47" s="103"/>
      <c r="B47" s="111"/>
      <c r="C47" s="111"/>
      <c r="D47" s="373">
        <v>4502</v>
      </c>
      <c r="E47" s="377" t="s">
        <v>61</v>
      </c>
      <c r="F47" s="368">
        <f>POAI!AD83</f>
        <v>38000000</v>
      </c>
      <c r="G47" s="368"/>
      <c r="H47" s="368"/>
      <c r="I47" s="368"/>
    </row>
    <row r="48" spans="1:16" s="11" customFormat="1" x14ac:dyDescent="0.2">
      <c r="A48" s="381"/>
      <c r="B48" s="382"/>
      <c r="C48" s="382"/>
      <c r="D48" s="382"/>
      <c r="E48" s="383"/>
      <c r="F48" s="383"/>
      <c r="G48" s="383"/>
      <c r="H48" s="383"/>
      <c r="I48" s="383"/>
      <c r="J48" s="405"/>
      <c r="K48" s="18"/>
      <c r="L48" s="18"/>
      <c r="M48" s="18"/>
      <c r="N48" s="18"/>
      <c r="O48" s="18"/>
      <c r="P48" s="18"/>
    </row>
    <row r="49" spans="1:16" ht="29.25" customHeight="1" x14ac:dyDescent="0.2">
      <c r="A49" s="86" t="s">
        <v>244</v>
      </c>
      <c r="B49" s="87"/>
      <c r="C49" s="87"/>
      <c r="D49" s="87"/>
      <c r="E49" s="88"/>
      <c r="F49" s="88"/>
      <c r="G49" s="88"/>
      <c r="H49" s="88"/>
      <c r="I49" s="88">
        <f>SUM(H50:H67)</f>
        <v>2706182726</v>
      </c>
      <c r="J49" s="21">
        <f>POAI!AD86</f>
        <v>2706182726</v>
      </c>
    </row>
    <row r="50" spans="1:16" ht="21" customHeight="1" x14ac:dyDescent="0.2">
      <c r="A50" s="103"/>
      <c r="B50" s="99">
        <v>1</v>
      </c>
      <c r="C50" s="99"/>
      <c r="D50" s="365" t="s">
        <v>134</v>
      </c>
      <c r="E50" s="365"/>
      <c r="F50" s="365"/>
      <c r="G50" s="365"/>
      <c r="H50" s="366">
        <f>SUM(G51:G60)</f>
        <v>2200182726</v>
      </c>
      <c r="I50" s="365"/>
    </row>
    <row r="51" spans="1:16" ht="25.5" customHeight="1" x14ac:dyDescent="0.2">
      <c r="A51" s="103"/>
      <c r="B51" s="373"/>
      <c r="C51" s="593">
        <v>12</v>
      </c>
      <c r="D51" s="578" t="s">
        <v>1303</v>
      </c>
      <c r="E51" s="578"/>
      <c r="F51" s="662"/>
      <c r="G51" s="665">
        <f>SUM(F52:F54)</f>
        <v>186000000</v>
      </c>
      <c r="H51" s="663"/>
      <c r="I51" s="662"/>
    </row>
    <row r="52" spans="1:16" ht="34.5" customHeight="1" x14ac:dyDescent="0.2">
      <c r="A52" s="103"/>
      <c r="B52" s="111"/>
      <c r="C52" s="111"/>
      <c r="D52" s="373">
        <v>1202</v>
      </c>
      <c r="E52" s="387" t="s">
        <v>135</v>
      </c>
      <c r="F52" s="368">
        <f>POAI!AD89</f>
        <v>114000000</v>
      </c>
      <c r="G52" s="368"/>
      <c r="H52" s="368"/>
      <c r="I52" s="368"/>
    </row>
    <row r="53" spans="1:16" ht="36.75" customHeight="1" x14ac:dyDescent="0.2">
      <c r="A53" s="103"/>
      <c r="B53" s="111"/>
      <c r="C53" s="111"/>
      <c r="D53" s="373">
        <v>1203</v>
      </c>
      <c r="E53" s="387" t="s">
        <v>251</v>
      </c>
      <c r="F53" s="368">
        <f>POAI!AD91</f>
        <v>36000000</v>
      </c>
      <c r="G53" s="368"/>
      <c r="H53" s="368"/>
      <c r="I53" s="368"/>
    </row>
    <row r="54" spans="1:16" ht="47.25" x14ac:dyDescent="0.2">
      <c r="A54" s="103"/>
      <c r="B54" s="111"/>
      <c r="C54" s="111"/>
      <c r="D54" s="373">
        <v>1206</v>
      </c>
      <c r="E54" s="387" t="s">
        <v>257</v>
      </c>
      <c r="F54" s="368">
        <f>POAI!AD93</f>
        <v>36000000</v>
      </c>
      <c r="G54" s="368"/>
      <c r="H54" s="368"/>
      <c r="I54" s="368"/>
    </row>
    <row r="55" spans="1:16" ht="25.5" customHeight="1" x14ac:dyDescent="0.2">
      <c r="A55" s="103"/>
      <c r="B55" s="373"/>
      <c r="C55" s="593">
        <v>22</v>
      </c>
      <c r="D55" s="668" t="s">
        <v>266</v>
      </c>
      <c r="E55" s="667"/>
      <c r="F55" s="662"/>
      <c r="G55" s="665">
        <f>F56</f>
        <v>30000000</v>
      </c>
      <c r="H55" s="663"/>
      <c r="I55" s="662"/>
    </row>
    <row r="56" spans="1:16" ht="32.25" customHeight="1" x14ac:dyDescent="0.2">
      <c r="A56" s="103"/>
      <c r="B56" s="111"/>
      <c r="C56" s="111"/>
      <c r="D56" s="373">
        <v>2201</v>
      </c>
      <c r="E56" s="387" t="s">
        <v>152</v>
      </c>
      <c r="F56" s="368">
        <f>POAI!AD96</f>
        <v>30000000</v>
      </c>
      <c r="G56" s="368"/>
      <c r="H56" s="368"/>
      <c r="I56" s="368"/>
    </row>
    <row r="57" spans="1:16" ht="25.5" customHeight="1" x14ac:dyDescent="0.2">
      <c r="A57" s="103"/>
      <c r="B57" s="373"/>
      <c r="C57" s="593">
        <v>41</v>
      </c>
      <c r="D57" s="578" t="s">
        <v>1308</v>
      </c>
      <c r="E57" s="662"/>
      <c r="F57" s="662"/>
      <c r="G57" s="665">
        <f>SUM(F58:F59)</f>
        <v>224000000</v>
      </c>
      <c r="H57" s="663"/>
      <c r="I57" s="662"/>
    </row>
    <row r="58" spans="1:16" ht="31.5" x14ac:dyDescent="0.2">
      <c r="A58" s="103"/>
      <c r="B58" s="111"/>
      <c r="C58" s="111"/>
      <c r="D58" s="373">
        <v>4101</v>
      </c>
      <c r="E58" s="387" t="s">
        <v>270</v>
      </c>
      <c r="F58" s="368">
        <f>POAI!AD99</f>
        <v>206000000</v>
      </c>
      <c r="G58" s="368"/>
      <c r="H58" s="368"/>
      <c r="I58" s="368"/>
    </row>
    <row r="59" spans="1:16" ht="30.75" customHeight="1" x14ac:dyDescent="0.2">
      <c r="A59" s="103"/>
      <c r="B59" s="111"/>
      <c r="C59" s="111"/>
      <c r="D59" s="373">
        <v>4103</v>
      </c>
      <c r="E59" s="387" t="s">
        <v>287</v>
      </c>
      <c r="F59" s="368">
        <f>POAI!AD105</f>
        <v>18000000</v>
      </c>
      <c r="G59" s="368"/>
      <c r="H59" s="368"/>
      <c r="I59" s="368"/>
      <c r="J59" s="22"/>
      <c r="K59" s="1"/>
      <c r="L59" s="1"/>
      <c r="M59" s="1"/>
      <c r="N59" s="1"/>
      <c r="O59" s="1"/>
      <c r="P59" s="1"/>
    </row>
    <row r="60" spans="1:16" ht="25.5" customHeight="1" x14ac:dyDescent="0.2">
      <c r="A60" s="103"/>
      <c r="B60" s="373"/>
      <c r="C60" s="593">
        <v>45</v>
      </c>
      <c r="D60" s="578" t="s">
        <v>1302</v>
      </c>
      <c r="E60" s="662"/>
      <c r="F60" s="662"/>
      <c r="G60" s="665">
        <f>F61</f>
        <v>1760182726</v>
      </c>
      <c r="H60" s="663"/>
      <c r="I60" s="662"/>
    </row>
    <row r="61" spans="1:16" ht="31.5" x14ac:dyDescent="0.2">
      <c r="A61" s="103"/>
      <c r="B61" s="111"/>
      <c r="C61" s="111"/>
      <c r="D61" s="373">
        <v>4501</v>
      </c>
      <c r="E61" s="387" t="s">
        <v>296</v>
      </c>
      <c r="F61" s="368">
        <f>POAI!AD108</f>
        <v>1760182726</v>
      </c>
      <c r="G61" s="368"/>
      <c r="H61" s="368"/>
      <c r="I61" s="368"/>
      <c r="J61" s="22"/>
      <c r="K61" s="1"/>
      <c r="L61" s="1"/>
      <c r="M61" s="1"/>
      <c r="N61" s="1"/>
      <c r="O61" s="1"/>
      <c r="P61" s="1"/>
    </row>
    <row r="62" spans="1:16" ht="20.25" customHeight="1" x14ac:dyDescent="0.2">
      <c r="A62" s="103"/>
      <c r="B62" s="99">
        <v>3</v>
      </c>
      <c r="C62" s="99"/>
      <c r="D62" s="365" t="s">
        <v>175</v>
      </c>
      <c r="E62" s="365"/>
      <c r="F62" s="365"/>
      <c r="G62" s="365"/>
      <c r="H62" s="366">
        <f>SUM(G63:G65)</f>
        <v>193000000</v>
      </c>
      <c r="I62" s="365"/>
      <c r="J62" s="22"/>
      <c r="K62" s="1"/>
      <c r="L62" s="1"/>
      <c r="M62" s="1"/>
      <c r="N62" s="1"/>
      <c r="O62" s="1"/>
      <c r="P62" s="1"/>
    </row>
    <row r="63" spans="1:16" ht="25.5" customHeight="1" x14ac:dyDescent="0.2">
      <c r="A63" s="103"/>
      <c r="B63" s="373"/>
      <c r="C63" s="593">
        <v>32</v>
      </c>
      <c r="D63" s="578" t="s">
        <v>1307</v>
      </c>
      <c r="E63" s="578"/>
      <c r="F63" s="662"/>
      <c r="G63" s="665">
        <f>F64</f>
        <v>45000000</v>
      </c>
      <c r="H63" s="663"/>
      <c r="I63" s="662"/>
    </row>
    <row r="64" spans="1:16" s="374" customFormat="1" ht="31.5" x14ac:dyDescent="0.2">
      <c r="A64" s="372"/>
      <c r="B64" s="373"/>
      <c r="C64" s="373"/>
      <c r="D64" s="373">
        <v>3205</v>
      </c>
      <c r="E64" s="387" t="s">
        <v>191</v>
      </c>
      <c r="F64" s="368">
        <f>POAI!AD113</f>
        <v>45000000</v>
      </c>
      <c r="G64" s="368"/>
      <c r="H64" s="368"/>
      <c r="I64" s="368"/>
      <c r="J64" s="404"/>
    </row>
    <row r="65" spans="1:16" ht="25.5" customHeight="1" x14ac:dyDescent="0.2">
      <c r="A65" s="103"/>
      <c r="B65" s="373"/>
      <c r="C65" s="593">
        <v>45</v>
      </c>
      <c r="D65" s="578" t="s">
        <v>1302</v>
      </c>
      <c r="E65" s="662"/>
      <c r="F65" s="662"/>
      <c r="G65" s="665">
        <f>F66</f>
        <v>148000000</v>
      </c>
      <c r="H65" s="663"/>
      <c r="I65" s="662"/>
    </row>
    <row r="66" spans="1:16" s="374" customFormat="1" ht="44.25" customHeight="1" x14ac:dyDescent="0.2">
      <c r="A66" s="372"/>
      <c r="B66" s="373"/>
      <c r="C66" s="373"/>
      <c r="D66" s="373">
        <v>4503</v>
      </c>
      <c r="E66" s="387" t="s">
        <v>317</v>
      </c>
      <c r="F66" s="368">
        <f>POAI!AD116</f>
        <v>148000000</v>
      </c>
      <c r="G66" s="368"/>
      <c r="H66" s="368"/>
      <c r="I66" s="368"/>
      <c r="J66" s="404"/>
    </row>
    <row r="67" spans="1:16" ht="22.5" customHeight="1" x14ac:dyDescent="0.2">
      <c r="A67" s="103"/>
      <c r="B67" s="99">
        <v>4</v>
      </c>
      <c r="C67" s="99"/>
      <c r="D67" s="365" t="s">
        <v>39</v>
      </c>
      <c r="E67" s="676"/>
      <c r="F67" s="365"/>
      <c r="G67" s="365"/>
      <c r="H67" s="366">
        <f>G68</f>
        <v>313000000</v>
      </c>
      <c r="I67" s="365"/>
      <c r="J67" s="22"/>
      <c r="K67" s="1"/>
      <c r="L67" s="1"/>
      <c r="M67" s="1"/>
      <c r="N67" s="1"/>
      <c r="O67" s="1"/>
      <c r="P67" s="1"/>
    </row>
    <row r="68" spans="1:16" ht="25.5" customHeight="1" x14ac:dyDescent="0.2">
      <c r="A68" s="103"/>
      <c r="B68" s="373"/>
      <c r="C68" s="593">
        <v>45</v>
      </c>
      <c r="D68" s="578" t="s">
        <v>1302</v>
      </c>
      <c r="E68" s="677"/>
      <c r="F68" s="662"/>
      <c r="G68" s="665">
        <f>F69</f>
        <v>313000000</v>
      </c>
      <c r="H68" s="663"/>
      <c r="I68" s="662"/>
    </row>
    <row r="69" spans="1:16" s="374" customFormat="1" ht="54.75" customHeight="1" x14ac:dyDescent="0.2">
      <c r="A69" s="372"/>
      <c r="B69" s="394"/>
      <c r="C69" s="394"/>
      <c r="D69" s="373">
        <v>4502</v>
      </c>
      <c r="E69" s="664" t="s">
        <v>61</v>
      </c>
      <c r="F69" s="369">
        <f>POAI!AD122</f>
        <v>313000000</v>
      </c>
      <c r="G69" s="369"/>
      <c r="H69" s="369"/>
      <c r="I69" s="369"/>
      <c r="J69" s="404"/>
    </row>
    <row r="70" spans="1:16" s="11" customFormat="1" x14ac:dyDescent="0.2">
      <c r="A70" s="381"/>
      <c r="B70" s="382"/>
      <c r="C70" s="382"/>
      <c r="D70" s="382"/>
      <c r="E70" s="383"/>
      <c r="F70" s="383"/>
      <c r="G70" s="383"/>
      <c r="H70" s="383"/>
      <c r="I70" s="383"/>
      <c r="J70" s="405"/>
      <c r="K70" s="18"/>
      <c r="L70" s="18"/>
      <c r="M70" s="18"/>
      <c r="N70" s="18"/>
      <c r="O70" s="18"/>
      <c r="P70" s="18"/>
    </row>
    <row r="71" spans="1:16" ht="32.25" customHeight="1" x14ac:dyDescent="0.2">
      <c r="A71" s="86" t="s">
        <v>337</v>
      </c>
      <c r="B71" s="87"/>
      <c r="C71" s="87"/>
      <c r="D71" s="87"/>
      <c r="E71" s="88"/>
      <c r="F71" s="88"/>
      <c r="G71" s="88"/>
      <c r="H71" s="88"/>
      <c r="I71" s="88">
        <f>H72</f>
        <v>2529898101</v>
      </c>
      <c r="J71" s="22">
        <f>POAI!AD129</f>
        <v>2529898101</v>
      </c>
      <c r="K71" s="1"/>
      <c r="L71" s="1"/>
      <c r="M71" s="1"/>
      <c r="N71" s="1"/>
      <c r="O71" s="1"/>
      <c r="P71" s="1"/>
    </row>
    <row r="72" spans="1:16" ht="20.25" customHeight="1" x14ac:dyDescent="0.2">
      <c r="A72" s="103"/>
      <c r="B72" s="99">
        <v>1</v>
      </c>
      <c r="C72" s="99"/>
      <c r="D72" s="365" t="s">
        <v>134</v>
      </c>
      <c r="E72" s="365"/>
      <c r="F72" s="365"/>
      <c r="G72" s="365"/>
      <c r="H72" s="366">
        <f>G73</f>
        <v>2529898101</v>
      </c>
      <c r="I72" s="365"/>
      <c r="J72" s="22"/>
      <c r="K72" s="1"/>
      <c r="L72" s="1"/>
      <c r="M72" s="1"/>
      <c r="N72" s="1"/>
      <c r="O72" s="1"/>
      <c r="P72" s="1"/>
    </row>
    <row r="73" spans="1:16" ht="25.5" customHeight="1" x14ac:dyDescent="0.2">
      <c r="A73" s="103"/>
      <c r="B73" s="373"/>
      <c r="C73" s="593">
        <v>33</v>
      </c>
      <c r="D73" s="668" t="s">
        <v>1305</v>
      </c>
      <c r="E73" s="667"/>
      <c r="F73" s="662"/>
      <c r="G73" s="665">
        <f>SUM(F74:F75)</f>
        <v>2529898101</v>
      </c>
      <c r="H73" s="663"/>
      <c r="I73" s="662"/>
    </row>
    <row r="74" spans="1:16" s="374" customFormat="1" ht="46.5" customHeight="1" x14ac:dyDescent="0.2">
      <c r="A74" s="372"/>
      <c r="B74" s="373"/>
      <c r="C74" s="373"/>
      <c r="D74" s="373">
        <v>3301</v>
      </c>
      <c r="E74" s="664" t="s">
        <v>159</v>
      </c>
      <c r="F74" s="368">
        <f>POAI!AD132</f>
        <v>2133859959</v>
      </c>
      <c r="G74" s="368"/>
      <c r="H74" s="368"/>
      <c r="I74" s="368"/>
      <c r="J74" s="404"/>
    </row>
    <row r="75" spans="1:16" s="374" customFormat="1" ht="51" customHeight="1" x14ac:dyDescent="0.2">
      <c r="A75" s="372"/>
      <c r="B75" s="373"/>
      <c r="C75" s="373"/>
      <c r="D75" s="373">
        <v>3302</v>
      </c>
      <c r="E75" s="664" t="s">
        <v>368</v>
      </c>
      <c r="F75" s="369">
        <f>POAI!AD140</f>
        <v>396038142</v>
      </c>
      <c r="G75" s="369"/>
      <c r="H75" s="369"/>
      <c r="I75" s="369"/>
      <c r="J75" s="404"/>
    </row>
    <row r="76" spans="1:16" s="11" customFormat="1" x14ac:dyDescent="0.2">
      <c r="A76" s="381"/>
      <c r="B76" s="382"/>
      <c r="C76" s="382"/>
      <c r="D76" s="382"/>
      <c r="E76" s="383"/>
      <c r="F76" s="383"/>
      <c r="G76" s="383"/>
      <c r="H76" s="383"/>
      <c r="I76" s="383"/>
      <c r="J76" s="405"/>
      <c r="K76" s="18"/>
      <c r="L76" s="18"/>
      <c r="M76" s="18"/>
      <c r="N76" s="18"/>
      <c r="O76" s="18"/>
      <c r="P76" s="18"/>
    </row>
    <row r="77" spans="1:16" ht="28.5" customHeight="1" x14ac:dyDescent="0.2">
      <c r="A77" s="86" t="s">
        <v>378</v>
      </c>
      <c r="B77" s="87"/>
      <c r="C77" s="87"/>
      <c r="D77" s="87"/>
      <c r="E77" s="88"/>
      <c r="F77" s="88"/>
      <c r="G77" s="88"/>
      <c r="H77" s="88"/>
      <c r="I77" s="88">
        <f>SUM(H78)</f>
        <v>1427372304</v>
      </c>
      <c r="J77" s="22">
        <f>POAI!AD144</f>
        <v>1427372304</v>
      </c>
      <c r="K77" s="1"/>
      <c r="L77" s="1"/>
      <c r="M77" s="1"/>
      <c r="N77" s="1"/>
      <c r="O77" s="1"/>
      <c r="P77" s="1"/>
    </row>
    <row r="78" spans="1:16" ht="23.25" customHeight="1" x14ac:dyDescent="0.2">
      <c r="A78" s="103"/>
      <c r="B78" s="395">
        <v>2</v>
      </c>
      <c r="C78" s="395"/>
      <c r="D78" s="365" t="s">
        <v>379</v>
      </c>
      <c r="E78" s="365"/>
      <c r="F78" s="365"/>
      <c r="G78" s="365"/>
      <c r="H78" s="366">
        <f>SUM(G79:G81)</f>
        <v>1427372304</v>
      </c>
      <c r="I78" s="365"/>
      <c r="J78" s="22"/>
      <c r="K78" s="1"/>
      <c r="L78" s="1"/>
      <c r="M78" s="1"/>
      <c r="N78" s="1"/>
      <c r="O78" s="1"/>
      <c r="P78" s="1"/>
    </row>
    <row r="79" spans="1:16" ht="25.5" customHeight="1" x14ac:dyDescent="0.2">
      <c r="A79" s="103"/>
      <c r="B79" s="373"/>
      <c r="C79" s="593">
        <v>35</v>
      </c>
      <c r="D79" s="578" t="s">
        <v>1309</v>
      </c>
      <c r="E79" s="662"/>
      <c r="F79" s="662"/>
      <c r="G79" s="665">
        <f>F80</f>
        <v>1189872304</v>
      </c>
      <c r="H79" s="663"/>
      <c r="I79" s="662"/>
    </row>
    <row r="80" spans="1:16" s="374" customFormat="1" ht="31.5" x14ac:dyDescent="0.2">
      <c r="A80" s="372"/>
      <c r="B80" s="373"/>
      <c r="C80" s="373"/>
      <c r="D80" s="367">
        <v>3502</v>
      </c>
      <c r="E80" s="664" t="s">
        <v>380</v>
      </c>
      <c r="F80" s="368">
        <f>POAI!AD147</f>
        <v>1189872304</v>
      </c>
      <c r="G80" s="368"/>
      <c r="H80" s="368"/>
      <c r="I80" s="368"/>
      <c r="J80" s="404"/>
    </row>
    <row r="81" spans="1:16" ht="25.5" customHeight="1" x14ac:dyDescent="0.2">
      <c r="A81" s="103"/>
      <c r="B81" s="373"/>
      <c r="C81" s="593">
        <v>36</v>
      </c>
      <c r="D81" s="668" t="s">
        <v>1310</v>
      </c>
      <c r="E81" s="667"/>
      <c r="F81" s="662"/>
      <c r="G81" s="665">
        <f>F82</f>
        <v>237500000</v>
      </c>
      <c r="H81" s="663"/>
      <c r="I81" s="662"/>
    </row>
    <row r="82" spans="1:16" s="374" customFormat="1" ht="31.5" x14ac:dyDescent="0.2">
      <c r="A82" s="372"/>
      <c r="B82" s="373"/>
      <c r="C82" s="373"/>
      <c r="D82" s="367">
        <v>3602</v>
      </c>
      <c r="E82" s="664" t="s">
        <v>414</v>
      </c>
      <c r="F82" s="368">
        <f>POAI!AD157</f>
        <v>237500000</v>
      </c>
      <c r="G82" s="368"/>
      <c r="H82" s="368"/>
      <c r="I82" s="368"/>
      <c r="J82" s="404"/>
    </row>
    <row r="83" spans="1:16" s="11" customFormat="1" x14ac:dyDescent="0.2">
      <c r="A83" s="381"/>
      <c r="B83" s="382"/>
      <c r="C83" s="382"/>
      <c r="D83" s="382"/>
      <c r="E83" s="383"/>
      <c r="F83" s="383"/>
      <c r="G83" s="383"/>
      <c r="H83" s="383"/>
      <c r="I83" s="383"/>
      <c r="J83" s="405"/>
      <c r="K83" s="18"/>
      <c r="L83" s="18"/>
      <c r="M83" s="18"/>
      <c r="N83" s="18"/>
      <c r="O83" s="18"/>
      <c r="P83" s="18"/>
    </row>
    <row r="84" spans="1:16" ht="23.25" customHeight="1" x14ac:dyDescent="0.2">
      <c r="A84" s="86" t="s">
        <v>430</v>
      </c>
      <c r="B84" s="87"/>
      <c r="C84" s="87"/>
      <c r="D84" s="87"/>
      <c r="E84" s="88"/>
      <c r="F84" s="88"/>
      <c r="G84" s="88"/>
      <c r="H84" s="88"/>
      <c r="I84" s="88">
        <f>SUM(H85:H96)</f>
        <v>2573248186</v>
      </c>
      <c r="J84" s="21">
        <f>POAI!AD163</f>
        <v>2573248186</v>
      </c>
    </row>
    <row r="85" spans="1:16" ht="26.25" customHeight="1" x14ac:dyDescent="0.2">
      <c r="A85" s="103"/>
      <c r="B85" s="99">
        <v>2</v>
      </c>
      <c r="C85" s="99"/>
      <c r="D85" s="365" t="s">
        <v>379</v>
      </c>
      <c r="E85" s="365"/>
      <c r="F85" s="365"/>
      <c r="G85" s="365"/>
      <c r="H85" s="366">
        <f>SUM(G86:G94)</f>
        <v>1226000000</v>
      </c>
      <c r="I85" s="365"/>
      <c r="J85" s="23"/>
      <c r="K85" s="23"/>
      <c r="L85" s="23"/>
      <c r="M85" s="23"/>
      <c r="N85" s="23"/>
      <c r="O85" s="24"/>
    </row>
    <row r="86" spans="1:16" ht="25.5" customHeight="1" x14ac:dyDescent="0.2">
      <c r="A86" s="103"/>
      <c r="B86" s="373"/>
      <c r="C86" s="593">
        <v>17</v>
      </c>
      <c r="D86" s="578" t="s">
        <v>1311</v>
      </c>
      <c r="E86" s="662"/>
      <c r="F86" s="662"/>
      <c r="G86" s="665">
        <f>SUM(F87:F93)</f>
        <v>1190000000</v>
      </c>
      <c r="H86" s="663"/>
      <c r="I86" s="662"/>
    </row>
    <row r="87" spans="1:16" ht="57.75" customHeight="1" x14ac:dyDescent="0.2">
      <c r="A87" s="103"/>
      <c r="B87" s="111"/>
      <c r="C87" s="111"/>
      <c r="D87" s="373">
        <v>1702</v>
      </c>
      <c r="E87" s="664" t="s">
        <v>431</v>
      </c>
      <c r="F87" s="368">
        <f>POAI!AD166</f>
        <v>834000000</v>
      </c>
      <c r="G87" s="368"/>
      <c r="H87" s="368"/>
      <c r="I87" s="368"/>
      <c r="J87" s="23"/>
      <c r="K87" s="23"/>
      <c r="L87" s="23"/>
      <c r="M87" s="23"/>
      <c r="N87" s="23"/>
      <c r="O87" s="24"/>
    </row>
    <row r="88" spans="1:16" ht="54" customHeight="1" x14ac:dyDescent="0.2">
      <c r="A88" s="103"/>
      <c r="B88" s="111"/>
      <c r="C88" s="111"/>
      <c r="D88" s="373">
        <v>1703</v>
      </c>
      <c r="E88" s="664" t="s">
        <v>481</v>
      </c>
      <c r="F88" s="368">
        <f>POAI!AD178</f>
        <v>75000000</v>
      </c>
      <c r="G88" s="368"/>
      <c r="H88" s="368"/>
      <c r="I88" s="368"/>
      <c r="J88" s="23"/>
      <c r="K88" s="23"/>
      <c r="L88" s="23"/>
      <c r="M88" s="23"/>
      <c r="N88" s="23"/>
      <c r="O88" s="24"/>
      <c r="P88" s="1"/>
    </row>
    <row r="89" spans="1:16" ht="42" customHeight="1" x14ac:dyDescent="0.2">
      <c r="A89" s="103"/>
      <c r="B89" s="111"/>
      <c r="C89" s="111"/>
      <c r="D89" s="373">
        <v>1704</v>
      </c>
      <c r="E89" s="664" t="s">
        <v>488</v>
      </c>
      <c r="F89" s="368">
        <f>POAI!AD180</f>
        <v>70000000</v>
      </c>
      <c r="G89" s="368"/>
      <c r="H89" s="368"/>
      <c r="I89" s="368"/>
      <c r="J89" s="28"/>
      <c r="K89" s="28"/>
      <c r="L89" s="28"/>
      <c r="M89" s="28"/>
      <c r="N89" s="28"/>
      <c r="O89" s="24"/>
      <c r="P89" s="1"/>
    </row>
    <row r="90" spans="1:16" ht="42" customHeight="1" x14ac:dyDescent="0.2">
      <c r="A90" s="103"/>
      <c r="B90" s="111"/>
      <c r="C90" s="111"/>
      <c r="D90" s="373">
        <v>1706</v>
      </c>
      <c r="E90" s="664" t="s">
        <v>497</v>
      </c>
      <c r="F90" s="368">
        <f>POAI!AD183</f>
        <v>20000000</v>
      </c>
      <c r="G90" s="368"/>
      <c r="H90" s="368"/>
      <c r="I90" s="368"/>
      <c r="J90" s="23"/>
      <c r="K90" s="23"/>
      <c r="L90" s="23"/>
      <c r="M90" s="23"/>
      <c r="N90" s="23"/>
      <c r="O90" s="24"/>
      <c r="P90" s="1"/>
    </row>
    <row r="91" spans="1:16" ht="42" customHeight="1" x14ac:dyDescent="0.2">
      <c r="A91" s="103"/>
      <c r="B91" s="111"/>
      <c r="C91" s="111"/>
      <c r="D91" s="373">
        <v>1707</v>
      </c>
      <c r="E91" s="664" t="s">
        <v>504</v>
      </c>
      <c r="F91" s="368">
        <f>POAI!AD185</f>
        <v>43000000</v>
      </c>
      <c r="G91" s="368"/>
      <c r="H91" s="368"/>
      <c r="I91" s="368"/>
      <c r="J91" s="23"/>
      <c r="K91" s="23"/>
      <c r="L91" s="23"/>
      <c r="M91" s="23"/>
      <c r="N91" s="23"/>
      <c r="O91" s="24"/>
      <c r="P91" s="1"/>
    </row>
    <row r="92" spans="1:16" ht="42" customHeight="1" x14ac:dyDescent="0.2">
      <c r="A92" s="103"/>
      <c r="B92" s="111"/>
      <c r="C92" s="111"/>
      <c r="D92" s="373">
        <v>1708</v>
      </c>
      <c r="E92" s="664" t="s">
        <v>511</v>
      </c>
      <c r="F92" s="368">
        <f>POAI!AD187</f>
        <v>40000000</v>
      </c>
      <c r="G92" s="368"/>
      <c r="H92" s="368"/>
      <c r="I92" s="368"/>
      <c r="J92" s="23"/>
      <c r="K92" s="23"/>
      <c r="L92" s="23"/>
      <c r="M92" s="23"/>
      <c r="N92" s="23"/>
      <c r="O92" s="24"/>
    </row>
    <row r="93" spans="1:16" ht="42" customHeight="1" x14ac:dyDescent="0.2">
      <c r="A93" s="103"/>
      <c r="B93" s="111"/>
      <c r="C93" s="111"/>
      <c r="D93" s="373">
        <v>1709</v>
      </c>
      <c r="E93" s="664" t="s">
        <v>520</v>
      </c>
      <c r="F93" s="368">
        <f>POAI!AD190</f>
        <v>108000000</v>
      </c>
      <c r="G93" s="368"/>
      <c r="H93" s="368"/>
      <c r="I93" s="368"/>
      <c r="J93" s="28"/>
      <c r="K93" s="28"/>
      <c r="L93" s="28"/>
      <c r="M93" s="28"/>
      <c r="N93" s="28"/>
      <c r="O93" s="24"/>
    </row>
    <row r="94" spans="1:16" ht="25.5" customHeight="1" x14ac:dyDescent="0.2">
      <c r="A94" s="103"/>
      <c r="B94" s="373"/>
      <c r="C94" s="593">
        <v>35</v>
      </c>
      <c r="D94" s="578" t="s">
        <v>1309</v>
      </c>
      <c r="E94" s="662"/>
      <c r="F94" s="662"/>
      <c r="G94" s="665">
        <f>F95</f>
        <v>36000000</v>
      </c>
      <c r="H94" s="663"/>
      <c r="I94" s="662"/>
    </row>
    <row r="95" spans="1:16" ht="45" customHeight="1" x14ac:dyDescent="0.2">
      <c r="A95" s="103"/>
      <c r="B95" s="111"/>
      <c r="C95" s="111"/>
      <c r="D95" s="373">
        <v>3502</v>
      </c>
      <c r="E95" s="377" t="s">
        <v>380</v>
      </c>
      <c r="F95" s="368">
        <f>POAI!AD195</f>
        <v>36000000</v>
      </c>
      <c r="G95" s="368"/>
      <c r="H95" s="368"/>
      <c r="I95" s="368"/>
      <c r="J95" s="23"/>
      <c r="K95" s="23"/>
      <c r="L95" s="23"/>
      <c r="M95" s="23"/>
      <c r="N95" s="23"/>
      <c r="O95" s="24"/>
    </row>
    <row r="96" spans="1:16" ht="24.75" customHeight="1" x14ac:dyDescent="0.2">
      <c r="A96" s="103"/>
      <c r="B96" s="99">
        <v>3</v>
      </c>
      <c r="C96" s="365" t="s">
        <v>175</v>
      </c>
      <c r="D96" s="365"/>
      <c r="E96" s="365"/>
      <c r="F96" s="365"/>
      <c r="G96" s="365"/>
      <c r="H96" s="366">
        <f>G97</f>
        <v>1347248186</v>
      </c>
      <c r="I96" s="365"/>
      <c r="J96" s="23"/>
      <c r="K96" s="23"/>
      <c r="L96" s="23"/>
      <c r="M96" s="23"/>
      <c r="N96" s="23"/>
      <c r="O96" s="24"/>
    </row>
    <row r="97" spans="1:16" ht="25.5" customHeight="1" x14ac:dyDescent="0.2">
      <c r="A97" s="103"/>
      <c r="B97" s="373"/>
      <c r="C97" s="593">
        <v>32</v>
      </c>
      <c r="D97" s="578" t="s">
        <v>1307</v>
      </c>
      <c r="E97" s="662"/>
      <c r="F97" s="662"/>
      <c r="G97" s="665">
        <f>SUM(F98:F102)</f>
        <v>1347248186</v>
      </c>
      <c r="H97" s="663"/>
      <c r="I97" s="662"/>
    </row>
    <row r="98" spans="1:16" s="374" customFormat="1" ht="39.75" customHeight="1" x14ac:dyDescent="0.2">
      <c r="A98" s="372"/>
      <c r="B98" s="373"/>
      <c r="C98" s="373"/>
      <c r="D98" s="373" t="s">
        <v>539</v>
      </c>
      <c r="E98" s="377" t="s">
        <v>540</v>
      </c>
      <c r="F98" s="368">
        <f>POAI!AD200</f>
        <v>82000000</v>
      </c>
      <c r="G98" s="368"/>
      <c r="H98" s="368"/>
      <c r="I98" s="368"/>
      <c r="J98" s="393"/>
      <c r="K98" s="393"/>
      <c r="L98" s="393"/>
      <c r="M98" s="393"/>
      <c r="N98" s="393"/>
      <c r="O98" s="26"/>
    </row>
    <row r="99" spans="1:16" s="374" customFormat="1" ht="39.75" customHeight="1" x14ac:dyDescent="0.2">
      <c r="A99" s="372"/>
      <c r="B99" s="373"/>
      <c r="C99" s="373"/>
      <c r="D99" s="373" t="s">
        <v>550</v>
      </c>
      <c r="E99" s="377" t="s">
        <v>551</v>
      </c>
      <c r="F99" s="368">
        <f>POAI!AD203</f>
        <v>945248186</v>
      </c>
      <c r="G99" s="368"/>
      <c r="H99" s="368"/>
      <c r="I99" s="368"/>
      <c r="J99" s="393"/>
      <c r="K99" s="393"/>
      <c r="L99" s="393"/>
      <c r="M99" s="393"/>
      <c r="N99" s="393"/>
      <c r="O99" s="26"/>
    </row>
    <row r="100" spans="1:16" s="374" customFormat="1" ht="35.25" customHeight="1" x14ac:dyDescent="0.2">
      <c r="A100" s="372"/>
      <c r="B100" s="373"/>
      <c r="C100" s="373"/>
      <c r="D100" s="373" t="s">
        <v>576</v>
      </c>
      <c r="E100" s="377" t="s">
        <v>577</v>
      </c>
      <c r="F100" s="368">
        <f>POAI!AD210</f>
        <v>120000000</v>
      </c>
      <c r="G100" s="368"/>
      <c r="H100" s="368"/>
      <c r="I100" s="368"/>
      <c r="J100" s="393"/>
      <c r="K100" s="393"/>
      <c r="L100" s="393"/>
      <c r="M100" s="393"/>
      <c r="N100" s="393"/>
      <c r="O100" s="26"/>
    </row>
    <row r="101" spans="1:16" s="374" customFormat="1" ht="32.25" customHeight="1" x14ac:dyDescent="0.2">
      <c r="A101" s="372"/>
      <c r="B101" s="373"/>
      <c r="C101" s="373"/>
      <c r="D101" s="373">
        <v>3205</v>
      </c>
      <c r="E101" s="377" t="s">
        <v>191</v>
      </c>
      <c r="F101" s="368">
        <f>POAI!AD212</f>
        <v>82000000</v>
      </c>
      <c r="G101" s="368"/>
      <c r="H101" s="368"/>
      <c r="I101" s="368"/>
      <c r="J101" s="393"/>
      <c r="K101" s="393"/>
      <c r="L101" s="393"/>
      <c r="M101" s="393"/>
      <c r="N101" s="393"/>
      <c r="O101" s="26"/>
    </row>
    <row r="102" spans="1:16" s="374" customFormat="1" ht="51.75" customHeight="1" x14ac:dyDescent="0.2">
      <c r="A102" s="372"/>
      <c r="B102" s="373"/>
      <c r="C102" s="373"/>
      <c r="D102" s="373" t="s">
        <v>595</v>
      </c>
      <c r="E102" s="377" t="s">
        <v>596</v>
      </c>
      <c r="F102" s="368">
        <f>POAI!AD216</f>
        <v>118000000</v>
      </c>
      <c r="G102" s="368"/>
      <c r="H102" s="368"/>
      <c r="I102" s="368"/>
      <c r="J102" s="393"/>
      <c r="K102" s="393"/>
      <c r="L102" s="393"/>
      <c r="M102" s="393"/>
      <c r="N102" s="393"/>
      <c r="O102" s="26"/>
    </row>
    <row r="103" spans="1:16" s="11" customFormat="1" x14ac:dyDescent="0.2">
      <c r="A103" s="381"/>
      <c r="B103" s="382"/>
      <c r="C103" s="382"/>
      <c r="D103" s="382"/>
      <c r="E103" s="383"/>
      <c r="F103" s="383"/>
      <c r="G103" s="383"/>
      <c r="H103" s="383"/>
      <c r="I103" s="383"/>
      <c r="J103" s="405"/>
      <c r="K103" s="18"/>
      <c r="L103" s="18"/>
      <c r="M103" s="18"/>
      <c r="N103" s="18"/>
      <c r="O103" s="18"/>
      <c r="P103" s="18"/>
    </row>
    <row r="104" spans="1:16" ht="25.5" customHeight="1" x14ac:dyDescent="0.2">
      <c r="A104" s="86" t="s">
        <v>611</v>
      </c>
      <c r="B104" s="87"/>
      <c r="C104" s="87"/>
      <c r="D104" s="87"/>
      <c r="E104" s="88"/>
      <c r="F104" s="88"/>
      <c r="G104" s="88"/>
      <c r="H104" s="88"/>
      <c r="I104" s="88">
        <f>H105</f>
        <v>695000000</v>
      </c>
      <c r="J104" s="21">
        <f>POAI!AD221</f>
        <v>695000000</v>
      </c>
    </row>
    <row r="105" spans="1:16" ht="24" customHeight="1" x14ac:dyDescent="0.2">
      <c r="A105" s="103"/>
      <c r="B105" s="99">
        <v>4</v>
      </c>
      <c r="C105" s="365" t="s">
        <v>39</v>
      </c>
      <c r="D105" s="365"/>
      <c r="E105" s="365"/>
      <c r="F105" s="365"/>
      <c r="G105" s="365"/>
      <c r="H105" s="366">
        <f>G106</f>
        <v>695000000</v>
      </c>
      <c r="I105" s="365"/>
    </row>
    <row r="106" spans="1:16" ht="25.5" customHeight="1" x14ac:dyDescent="0.2">
      <c r="A106" s="103"/>
      <c r="B106" s="373"/>
      <c r="C106" s="593">
        <v>45</v>
      </c>
      <c r="D106" s="578" t="s">
        <v>1302</v>
      </c>
      <c r="E106" s="662"/>
      <c r="F106" s="662"/>
      <c r="G106" s="665">
        <f>SUM(F107:F108)</f>
        <v>695000000</v>
      </c>
      <c r="H106" s="663"/>
      <c r="I106" s="662"/>
    </row>
    <row r="107" spans="1:16" s="396" customFormat="1" ht="32.25" customHeight="1" x14ac:dyDescent="0.25">
      <c r="A107" s="369"/>
      <c r="B107" s="373"/>
      <c r="C107" s="373"/>
      <c r="D107" s="373">
        <v>4599</v>
      </c>
      <c r="E107" s="664" t="s">
        <v>612</v>
      </c>
      <c r="F107" s="368">
        <f>POAI!AD224</f>
        <v>550000000</v>
      </c>
      <c r="G107" s="368"/>
      <c r="H107" s="368"/>
      <c r="I107" s="368"/>
    </row>
    <row r="108" spans="1:16" s="374" customFormat="1" ht="54.75" customHeight="1" x14ac:dyDescent="0.2">
      <c r="A108" s="372"/>
      <c r="B108" s="373"/>
      <c r="C108" s="373"/>
      <c r="D108" s="373">
        <v>4502</v>
      </c>
      <c r="E108" s="664" t="s">
        <v>61</v>
      </c>
      <c r="F108" s="369">
        <f>POAI!AD227</f>
        <v>145000000</v>
      </c>
      <c r="G108" s="369"/>
      <c r="H108" s="369"/>
      <c r="I108" s="369"/>
      <c r="J108" s="404"/>
    </row>
    <row r="109" spans="1:16" s="11" customFormat="1" x14ac:dyDescent="0.2">
      <c r="A109" s="381"/>
      <c r="B109" s="382"/>
      <c r="C109" s="382"/>
      <c r="D109" s="382"/>
      <c r="E109" s="383"/>
      <c r="F109" s="383"/>
      <c r="G109" s="383"/>
      <c r="H109" s="383"/>
      <c r="I109" s="383"/>
      <c r="J109" s="405"/>
      <c r="K109" s="18"/>
      <c r="L109" s="18"/>
      <c r="M109" s="18"/>
      <c r="N109" s="18"/>
      <c r="O109" s="18"/>
      <c r="P109" s="18"/>
    </row>
    <row r="110" spans="1:16" ht="27" customHeight="1" x14ac:dyDescent="0.2">
      <c r="A110" s="86" t="s">
        <v>629</v>
      </c>
      <c r="B110" s="87"/>
      <c r="C110" s="87"/>
      <c r="D110" s="87"/>
      <c r="E110" s="88"/>
      <c r="F110" s="88"/>
      <c r="G110" s="88"/>
      <c r="H110" s="88"/>
      <c r="I110" s="88">
        <f>SUM(H111:H115)</f>
        <v>188733124732</v>
      </c>
      <c r="J110" s="22">
        <f>POAI!AD230</f>
        <v>188733124732</v>
      </c>
      <c r="K110" s="1"/>
      <c r="L110" s="1"/>
      <c r="M110" s="1"/>
      <c r="N110" s="1"/>
      <c r="O110" s="1"/>
      <c r="P110" s="1"/>
    </row>
    <row r="111" spans="1:16" ht="27.75" customHeight="1" x14ac:dyDescent="0.2">
      <c r="A111" s="103"/>
      <c r="B111" s="99">
        <v>1</v>
      </c>
      <c r="C111" s="365" t="s">
        <v>134</v>
      </c>
      <c r="D111" s="365"/>
      <c r="E111" s="365"/>
      <c r="F111" s="365"/>
      <c r="G111" s="365"/>
      <c r="H111" s="366">
        <f>SUM(G112)</f>
        <v>188725624732</v>
      </c>
      <c r="I111" s="365"/>
      <c r="J111" s="22"/>
      <c r="K111" s="1"/>
      <c r="L111" s="1"/>
      <c r="M111" s="1"/>
      <c r="N111" s="1"/>
      <c r="O111" s="1"/>
      <c r="P111" s="1"/>
    </row>
    <row r="112" spans="1:16" ht="25.5" customHeight="1" x14ac:dyDescent="0.2">
      <c r="A112" s="103"/>
      <c r="B112" s="373"/>
      <c r="C112" s="593">
        <v>22</v>
      </c>
      <c r="D112" s="593" t="s">
        <v>266</v>
      </c>
      <c r="E112" s="662"/>
      <c r="F112" s="662"/>
      <c r="G112" s="665">
        <f>SUM(F113:F114)</f>
        <v>188725624732</v>
      </c>
      <c r="H112" s="663"/>
      <c r="I112" s="662"/>
    </row>
    <row r="113" spans="1:16" s="374" customFormat="1" ht="38.25" customHeight="1" x14ac:dyDescent="0.2">
      <c r="A113" s="372"/>
      <c r="B113" s="373"/>
      <c r="C113" s="373"/>
      <c r="D113" s="367">
        <v>2201</v>
      </c>
      <c r="E113" s="387" t="s">
        <v>152</v>
      </c>
      <c r="F113" s="369">
        <f>POAI!AD233</f>
        <v>186625624732</v>
      </c>
      <c r="G113" s="369"/>
      <c r="H113" s="369"/>
      <c r="I113" s="369"/>
      <c r="J113" s="404"/>
    </row>
    <row r="114" spans="1:16" s="374" customFormat="1" ht="31.5" customHeight="1" x14ac:dyDescent="0.2">
      <c r="A114" s="372"/>
      <c r="B114" s="373"/>
      <c r="C114" s="373"/>
      <c r="D114" s="373">
        <v>2202</v>
      </c>
      <c r="E114" s="377" t="s">
        <v>728</v>
      </c>
      <c r="F114" s="368">
        <f>POAI!AD268</f>
        <v>2100000000</v>
      </c>
      <c r="G114" s="368"/>
      <c r="H114" s="368"/>
      <c r="I114" s="368"/>
      <c r="J114" s="404"/>
    </row>
    <row r="115" spans="1:16" ht="25.5" customHeight="1" x14ac:dyDescent="0.2">
      <c r="A115" s="103"/>
      <c r="B115" s="99">
        <v>2</v>
      </c>
      <c r="C115" s="365" t="s">
        <v>379</v>
      </c>
      <c r="D115" s="365"/>
      <c r="E115" s="365"/>
      <c r="F115" s="365"/>
      <c r="G115" s="365"/>
      <c r="H115" s="366">
        <f>G116</f>
        <v>7500000</v>
      </c>
      <c r="I115" s="365"/>
      <c r="J115" s="23"/>
      <c r="K115" s="23"/>
      <c r="L115" s="23"/>
      <c r="M115" s="23"/>
      <c r="N115" s="23"/>
      <c r="O115" s="24"/>
    </row>
    <row r="116" spans="1:16" ht="25.5" customHeight="1" x14ac:dyDescent="0.2">
      <c r="A116" s="103"/>
      <c r="B116" s="373"/>
      <c r="C116" s="593">
        <v>39</v>
      </c>
      <c r="D116" s="578" t="s">
        <v>1312</v>
      </c>
      <c r="E116" s="578"/>
      <c r="F116" s="662"/>
      <c r="G116" s="665">
        <f>SUM(F117)</f>
        <v>7500000</v>
      </c>
      <c r="H116" s="663"/>
      <c r="I116" s="662"/>
    </row>
    <row r="117" spans="1:16" s="374" customFormat="1" ht="30" customHeight="1" x14ac:dyDescent="0.2">
      <c r="A117" s="372"/>
      <c r="B117" s="373"/>
      <c r="C117" s="373"/>
      <c r="D117" s="373">
        <v>3904</v>
      </c>
      <c r="E117" s="377" t="s">
        <v>735</v>
      </c>
      <c r="F117" s="368">
        <f>POAI!AD272</f>
        <v>7500000</v>
      </c>
      <c r="G117" s="368"/>
      <c r="H117" s="368"/>
      <c r="I117" s="368"/>
      <c r="J117" s="404"/>
    </row>
    <row r="118" spans="1:16" s="11" customFormat="1" x14ac:dyDescent="0.2">
      <c r="A118" s="381"/>
      <c r="B118" s="382"/>
      <c r="C118" s="382"/>
      <c r="D118" s="382"/>
      <c r="E118" s="383"/>
      <c r="F118" s="383"/>
      <c r="G118" s="383"/>
      <c r="H118" s="383"/>
      <c r="I118" s="383"/>
      <c r="J118" s="405"/>
      <c r="K118" s="18"/>
      <c r="L118" s="18"/>
      <c r="M118" s="18"/>
      <c r="N118" s="18"/>
      <c r="O118" s="18"/>
      <c r="P118" s="18"/>
    </row>
    <row r="119" spans="1:16" s="11" customFormat="1" ht="24.75" customHeight="1" x14ac:dyDescent="0.2">
      <c r="A119" s="86" t="s">
        <v>742</v>
      </c>
      <c r="B119" s="87"/>
      <c r="C119" s="87"/>
      <c r="D119" s="87"/>
      <c r="E119" s="88"/>
      <c r="F119" s="88"/>
      <c r="G119" s="88"/>
      <c r="H119" s="88"/>
      <c r="I119" s="88">
        <f>SUM(H120:H134)</f>
        <v>5182789574</v>
      </c>
      <c r="J119" s="405">
        <f>POAI!AD275</f>
        <v>5182789574</v>
      </c>
      <c r="K119" s="18"/>
      <c r="L119" s="18"/>
      <c r="M119" s="18"/>
      <c r="N119" s="18"/>
      <c r="O119" s="18"/>
      <c r="P119" s="18"/>
    </row>
    <row r="120" spans="1:16" s="11" customFormat="1" ht="20.25" customHeight="1" x14ac:dyDescent="0.2">
      <c r="A120" s="133"/>
      <c r="B120" s="99">
        <v>1</v>
      </c>
      <c r="C120" s="365" t="s">
        <v>134</v>
      </c>
      <c r="D120" s="365"/>
      <c r="E120" s="365"/>
      <c r="F120" s="365"/>
      <c r="G120" s="365"/>
      <c r="H120" s="366">
        <f>SUM(G121:G128)</f>
        <v>5062789574</v>
      </c>
      <c r="I120" s="365"/>
      <c r="J120" s="405"/>
      <c r="K120" s="18"/>
      <c r="L120" s="18"/>
      <c r="M120" s="18"/>
      <c r="N120" s="18"/>
      <c r="O120" s="18"/>
      <c r="P120" s="18"/>
    </row>
    <row r="121" spans="1:16" ht="25.5" customHeight="1" x14ac:dyDescent="0.2">
      <c r="A121" s="103"/>
      <c r="B121" s="373"/>
      <c r="C121" s="593">
        <v>19</v>
      </c>
      <c r="D121" s="578" t="s">
        <v>1304</v>
      </c>
      <c r="E121" s="662"/>
      <c r="F121" s="662"/>
      <c r="G121" s="665">
        <f>F122</f>
        <v>175000000</v>
      </c>
      <c r="H121" s="663"/>
      <c r="I121" s="662"/>
    </row>
    <row r="122" spans="1:16" s="399" customFormat="1" ht="24" customHeight="1" x14ac:dyDescent="0.2">
      <c r="A122" s="397"/>
      <c r="B122" s="373"/>
      <c r="C122" s="373"/>
      <c r="D122" s="373">
        <v>1905</v>
      </c>
      <c r="E122" s="675" t="s">
        <v>743</v>
      </c>
      <c r="F122" s="368">
        <f>POAI!AD278</f>
        <v>175000000</v>
      </c>
      <c r="G122" s="368"/>
      <c r="H122" s="398"/>
      <c r="I122" s="398"/>
      <c r="J122" s="406"/>
    </row>
    <row r="123" spans="1:16" ht="25.5" customHeight="1" x14ac:dyDescent="0.2">
      <c r="A123" s="103"/>
      <c r="B123" s="373"/>
      <c r="C123" s="593">
        <v>33</v>
      </c>
      <c r="D123" s="668" t="s">
        <v>1305</v>
      </c>
      <c r="E123" s="667"/>
      <c r="F123" s="662"/>
      <c r="G123" s="665">
        <f>F124</f>
        <v>14250000</v>
      </c>
      <c r="H123" s="663"/>
      <c r="I123" s="662"/>
    </row>
    <row r="124" spans="1:16" s="399" customFormat="1" ht="34.5" customHeight="1" x14ac:dyDescent="0.2">
      <c r="A124" s="397"/>
      <c r="B124" s="373"/>
      <c r="C124" s="373"/>
      <c r="D124" s="373">
        <v>3301</v>
      </c>
      <c r="E124" s="664" t="s">
        <v>159</v>
      </c>
      <c r="F124" s="368">
        <f>POAI!AD282</f>
        <v>14250000</v>
      </c>
      <c r="G124" s="368"/>
      <c r="H124" s="368"/>
      <c r="I124" s="368"/>
      <c r="J124" s="406"/>
    </row>
    <row r="125" spans="1:16" ht="25.5" customHeight="1" x14ac:dyDescent="0.2">
      <c r="A125" s="103"/>
      <c r="B125" s="373"/>
      <c r="C125" s="593">
        <v>41</v>
      </c>
      <c r="D125" s="578" t="s">
        <v>1308</v>
      </c>
      <c r="E125" s="662"/>
      <c r="F125" s="662"/>
      <c r="G125" s="665">
        <f>SUM(F126:F128)</f>
        <v>4873539574</v>
      </c>
      <c r="H125" s="663"/>
      <c r="I125" s="662"/>
    </row>
    <row r="126" spans="1:16" s="399" customFormat="1" ht="53.25" customHeight="1" x14ac:dyDescent="0.2">
      <c r="A126" s="397"/>
      <c r="B126" s="373"/>
      <c r="C126" s="373"/>
      <c r="D126" s="373">
        <v>4102</v>
      </c>
      <c r="E126" s="664" t="s">
        <v>761</v>
      </c>
      <c r="F126" s="368">
        <f>POAI!AD285</f>
        <v>748000000</v>
      </c>
      <c r="G126" s="368"/>
      <c r="H126" s="368"/>
      <c r="I126" s="368"/>
      <c r="J126" s="406"/>
    </row>
    <row r="127" spans="1:16" s="399" customFormat="1" ht="48.75" customHeight="1" x14ac:dyDescent="0.2">
      <c r="A127" s="397"/>
      <c r="B127" s="373"/>
      <c r="C127" s="373"/>
      <c r="D127" s="373">
        <v>4103</v>
      </c>
      <c r="E127" s="664" t="s">
        <v>287</v>
      </c>
      <c r="F127" s="368">
        <f>POAI!AD295</f>
        <v>175000000</v>
      </c>
      <c r="G127" s="368"/>
      <c r="H127" s="368"/>
      <c r="I127" s="368"/>
      <c r="J127" s="406"/>
    </row>
    <row r="128" spans="1:16" s="399" customFormat="1" ht="51.75" customHeight="1" x14ac:dyDescent="0.2">
      <c r="A128" s="397"/>
      <c r="B128" s="373"/>
      <c r="C128" s="373"/>
      <c r="D128" s="373">
        <v>4104</v>
      </c>
      <c r="E128" s="664" t="s">
        <v>848</v>
      </c>
      <c r="F128" s="368">
        <f>POAI!AD303</f>
        <v>3950539574</v>
      </c>
      <c r="G128" s="368"/>
      <c r="H128" s="368"/>
      <c r="I128" s="368"/>
      <c r="J128" s="406"/>
    </row>
    <row r="129" spans="1:16" s="11" customFormat="1" ht="20.25" customHeight="1" x14ac:dyDescent="0.2">
      <c r="A129" s="133"/>
      <c r="B129" s="99">
        <v>2</v>
      </c>
      <c r="C129" s="365" t="s">
        <v>379</v>
      </c>
      <c r="D129" s="365"/>
      <c r="E129" s="365"/>
      <c r="F129" s="365"/>
      <c r="G129" s="365"/>
      <c r="H129" s="366">
        <f>SUM(G130:G132)</f>
        <v>36000000</v>
      </c>
      <c r="I129" s="365"/>
      <c r="J129" s="405"/>
      <c r="K129" s="18"/>
      <c r="L129" s="18"/>
      <c r="M129" s="18"/>
      <c r="N129" s="18"/>
      <c r="O129" s="18"/>
      <c r="P129" s="18"/>
    </row>
    <row r="130" spans="1:16" ht="25.5" customHeight="1" x14ac:dyDescent="0.2">
      <c r="A130" s="103"/>
      <c r="B130" s="373"/>
      <c r="C130" s="593">
        <v>17</v>
      </c>
      <c r="D130" s="578" t="s">
        <v>1311</v>
      </c>
      <c r="E130" s="662"/>
      <c r="F130" s="662"/>
      <c r="G130" s="665">
        <f>F131</f>
        <v>18000000</v>
      </c>
      <c r="H130" s="663"/>
      <c r="I130" s="662"/>
    </row>
    <row r="131" spans="1:16" s="399" customFormat="1" ht="51.75" customHeight="1" x14ac:dyDescent="0.2">
      <c r="A131" s="397"/>
      <c r="B131" s="373"/>
      <c r="C131" s="373"/>
      <c r="D131" s="373">
        <v>1702</v>
      </c>
      <c r="E131" s="377" t="s">
        <v>431</v>
      </c>
      <c r="F131" s="368">
        <f>POAI!AD315</f>
        <v>18000000</v>
      </c>
      <c r="G131" s="368"/>
      <c r="H131" s="368"/>
      <c r="I131" s="368"/>
      <c r="J131" s="406"/>
    </row>
    <row r="132" spans="1:16" ht="25.5" customHeight="1" x14ac:dyDescent="0.2">
      <c r="A132" s="103"/>
      <c r="B132" s="373"/>
      <c r="C132" s="593">
        <v>36</v>
      </c>
      <c r="D132" s="668" t="s">
        <v>1310</v>
      </c>
      <c r="E132" s="667"/>
      <c r="F132" s="662"/>
      <c r="G132" s="665">
        <f>F133</f>
        <v>18000000</v>
      </c>
      <c r="H132" s="663"/>
      <c r="I132" s="662"/>
    </row>
    <row r="133" spans="1:16" s="399" customFormat="1" ht="31.5" x14ac:dyDescent="0.2">
      <c r="A133" s="397"/>
      <c r="B133" s="373"/>
      <c r="C133" s="373"/>
      <c r="D133" s="373">
        <v>3604</v>
      </c>
      <c r="E133" s="664" t="s">
        <v>909</v>
      </c>
      <c r="F133" s="368">
        <f>POAI!AD318</f>
        <v>18000000</v>
      </c>
      <c r="G133" s="368"/>
      <c r="H133" s="368"/>
      <c r="I133" s="368"/>
      <c r="J133" s="406"/>
    </row>
    <row r="134" spans="1:16" s="11" customFormat="1" ht="21" customHeight="1" x14ac:dyDescent="0.2">
      <c r="A134" s="133"/>
      <c r="B134" s="99">
        <v>4</v>
      </c>
      <c r="C134" s="365" t="s">
        <v>39</v>
      </c>
      <c r="D134" s="365"/>
      <c r="E134" s="365"/>
      <c r="F134" s="365"/>
      <c r="G134" s="365"/>
      <c r="H134" s="366">
        <f>G135</f>
        <v>84000000</v>
      </c>
      <c r="I134" s="365"/>
      <c r="J134" s="405"/>
      <c r="K134" s="18"/>
      <c r="L134" s="18"/>
      <c r="M134" s="18"/>
      <c r="N134" s="18"/>
      <c r="O134" s="18"/>
      <c r="P134" s="18"/>
    </row>
    <row r="135" spans="1:16" ht="25.5" customHeight="1" x14ac:dyDescent="0.2">
      <c r="A135" s="103"/>
      <c r="B135" s="373"/>
      <c r="C135" s="593">
        <v>45</v>
      </c>
      <c r="D135" s="578" t="s">
        <v>1313</v>
      </c>
      <c r="E135" s="662"/>
      <c r="F135" s="662"/>
      <c r="G135" s="1347">
        <f>F136</f>
        <v>84000000</v>
      </c>
      <c r="H135" s="663"/>
      <c r="I135" s="662"/>
    </row>
    <row r="136" spans="1:16" ht="50.25" customHeight="1" x14ac:dyDescent="0.2">
      <c r="A136" s="103"/>
      <c r="B136" s="373"/>
      <c r="C136" s="1342"/>
      <c r="D136" s="1343">
        <v>4502</v>
      </c>
      <c r="E136" s="1344" t="s">
        <v>61</v>
      </c>
      <c r="F136" s="1346">
        <f>POAI!AD322</f>
        <v>84000000</v>
      </c>
      <c r="G136" s="1345"/>
      <c r="H136" s="1341"/>
      <c r="I136" s="1340"/>
    </row>
    <row r="137" spans="1:16" s="11" customFormat="1" x14ac:dyDescent="0.2">
      <c r="A137" s="381"/>
      <c r="B137" s="382"/>
      <c r="C137" s="382"/>
      <c r="D137" s="382"/>
      <c r="E137" s="383"/>
      <c r="F137" s="383"/>
      <c r="G137" s="383"/>
      <c r="H137" s="383"/>
      <c r="I137" s="383"/>
      <c r="J137" s="405"/>
      <c r="K137" s="18"/>
      <c r="L137" s="18"/>
      <c r="M137" s="18"/>
      <c r="N137" s="18"/>
      <c r="O137" s="18"/>
      <c r="P137" s="18"/>
    </row>
    <row r="138" spans="1:16" ht="30.75" customHeight="1" x14ac:dyDescent="0.2">
      <c r="A138" s="86" t="s">
        <v>921</v>
      </c>
      <c r="B138" s="87"/>
      <c r="C138" s="87"/>
      <c r="D138" s="87"/>
      <c r="E138" s="88"/>
      <c r="F138" s="88"/>
      <c r="G138" s="88"/>
      <c r="H138" s="88"/>
      <c r="I138" s="88">
        <f>H139</f>
        <v>45624178134</v>
      </c>
      <c r="J138" s="21">
        <f>POAI!AD328</f>
        <v>45624178134</v>
      </c>
    </row>
    <row r="139" spans="1:16" ht="28.5" customHeight="1" x14ac:dyDescent="0.2">
      <c r="A139" s="103"/>
      <c r="B139" s="99">
        <v>1</v>
      </c>
      <c r="C139" s="365" t="s">
        <v>134</v>
      </c>
      <c r="D139" s="365"/>
      <c r="E139" s="365"/>
      <c r="F139" s="365"/>
      <c r="G139" s="365"/>
      <c r="H139" s="366">
        <f>G140</f>
        <v>45624178134</v>
      </c>
      <c r="I139" s="365"/>
    </row>
    <row r="140" spans="1:16" ht="25.5" customHeight="1" x14ac:dyDescent="0.2">
      <c r="A140" s="103"/>
      <c r="B140" s="373"/>
      <c r="C140" s="593">
        <v>19</v>
      </c>
      <c r="D140" s="578" t="s">
        <v>1304</v>
      </c>
      <c r="E140" s="662"/>
      <c r="F140" s="662"/>
      <c r="G140" s="665">
        <f>SUM(F141:F143)</f>
        <v>45624178134</v>
      </c>
      <c r="H140" s="663"/>
      <c r="I140" s="662"/>
    </row>
    <row r="141" spans="1:16" s="374" customFormat="1" ht="35.25" customHeight="1" x14ac:dyDescent="0.2">
      <c r="A141" s="372"/>
      <c r="B141" s="373"/>
      <c r="C141" s="373"/>
      <c r="D141" s="373">
        <v>1903</v>
      </c>
      <c r="E141" s="664" t="s">
        <v>922</v>
      </c>
      <c r="F141" s="368">
        <f>POAI!AD331</f>
        <v>2546191448</v>
      </c>
      <c r="G141" s="368"/>
      <c r="H141" s="368"/>
      <c r="I141" s="368"/>
      <c r="J141" s="404"/>
    </row>
    <row r="142" spans="1:16" s="374" customFormat="1" ht="31.5" customHeight="1" x14ac:dyDescent="0.2">
      <c r="A142" s="372"/>
      <c r="B142" s="373"/>
      <c r="C142" s="373"/>
      <c r="D142" s="373">
        <v>1905</v>
      </c>
      <c r="E142" s="664" t="s">
        <v>743</v>
      </c>
      <c r="F142" s="368">
        <f>POAI!AD354</f>
        <v>4169118457</v>
      </c>
      <c r="G142" s="368"/>
      <c r="H142" s="368"/>
      <c r="I142" s="368"/>
      <c r="J142" s="404"/>
    </row>
    <row r="143" spans="1:16" s="374" customFormat="1" ht="40.5" customHeight="1" x14ac:dyDescent="0.2">
      <c r="A143" s="372"/>
      <c r="B143" s="373"/>
      <c r="C143" s="373"/>
      <c r="D143" s="373">
        <v>1906</v>
      </c>
      <c r="E143" s="664" t="s">
        <v>145</v>
      </c>
      <c r="F143" s="368">
        <f>POAI!AD384</f>
        <v>38908868229</v>
      </c>
      <c r="G143" s="368"/>
      <c r="H143" s="368"/>
      <c r="I143" s="368"/>
      <c r="J143" s="404"/>
    </row>
    <row r="144" spans="1:16" s="11" customFormat="1" x14ac:dyDescent="0.2">
      <c r="A144" s="381"/>
      <c r="B144" s="382"/>
      <c r="C144" s="382"/>
      <c r="D144" s="382"/>
      <c r="E144" s="383"/>
      <c r="F144" s="383"/>
      <c r="G144" s="383"/>
      <c r="H144" s="383"/>
      <c r="I144" s="383"/>
      <c r="J144" s="405"/>
      <c r="K144" s="18"/>
      <c r="L144" s="18"/>
      <c r="M144" s="18"/>
      <c r="N144" s="18"/>
      <c r="O144" s="18"/>
      <c r="P144" s="18"/>
    </row>
    <row r="145" spans="1:16" s="9" customFormat="1" ht="29.25" customHeight="1" x14ac:dyDescent="0.25">
      <c r="A145" s="86" t="s">
        <v>1116</v>
      </c>
      <c r="B145" s="87"/>
      <c r="C145" s="87"/>
      <c r="D145" s="87"/>
      <c r="E145" s="88"/>
      <c r="F145" s="88"/>
      <c r="G145" s="88"/>
      <c r="H145" s="88"/>
      <c r="I145" s="88">
        <f>SUM(H146:H154)</f>
        <v>896000000</v>
      </c>
      <c r="J145" s="8">
        <f>POAI!AD396</f>
        <v>896000000</v>
      </c>
      <c r="K145" s="8"/>
      <c r="L145" s="8"/>
      <c r="M145" s="8"/>
      <c r="N145" s="8"/>
      <c r="O145" s="8"/>
      <c r="P145" s="8"/>
    </row>
    <row r="146" spans="1:16" s="9" customFormat="1" ht="25.5" customHeight="1" x14ac:dyDescent="0.25">
      <c r="A146" s="95"/>
      <c r="B146" s="99">
        <v>1</v>
      </c>
      <c r="C146" s="365" t="s">
        <v>134</v>
      </c>
      <c r="D146" s="365"/>
      <c r="E146" s="365"/>
      <c r="F146" s="365"/>
      <c r="G146" s="365"/>
      <c r="H146" s="366">
        <f>G147</f>
        <v>520000000</v>
      </c>
      <c r="I146" s="365"/>
      <c r="J146" s="8"/>
      <c r="K146" s="8"/>
      <c r="L146" s="8"/>
      <c r="M146" s="8"/>
      <c r="N146" s="8"/>
      <c r="O146" s="8"/>
      <c r="P146" s="8"/>
    </row>
    <row r="147" spans="1:16" ht="25.5" customHeight="1" x14ac:dyDescent="0.2">
      <c r="A147" s="103"/>
      <c r="B147" s="373"/>
      <c r="C147" s="593">
        <v>23</v>
      </c>
      <c r="D147" s="578" t="s">
        <v>1314</v>
      </c>
      <c r="E147" s="662"/>
      <c r="F147" s="662"/>
      <c r="G147" s="665">
        <f>SUM(F148:F149)</f>
        <v>520000000</v>
      </c>
      <c r="H147" s="663"/>
      <c r="I147" s="662"/>
    </row>
    <row r="148" spans="1:16" s="396" customFormat="1" ht="63" x14ac:dyDescent="0.25">
      <c r="A148" s="369"/>
      <c r="B148" s="373"/>
      <c r="C148" s="373"/>
      <c r="D148" s="367">
        <v>2301</v>
      </c>
      <c r="E148" s="664" t="s">
        <v>1117</v>
      </c>
      <c r="F148" s="368">
        <f>POAI!AD399</f>
        <v>374000000</v>
      </c>
      <c r="G148" s="368"/>
      <c r="H148" s="368"/>
      <c r="I148" s="368"/>
    </row>
    <row r="149" spans="1:16" s="396" customFormat="1" ht="64.5" customHeight="1" x14ac:dyDescent="0.25">
      <c r="A149" s="369"/>
      <c r="B149" s="373"/>
      <c r="C149" s="373"/>
      <c r="D149" s="367">
        <v>2302</v>
      </c>
      <c r="E149" s="664" t="s">
        <v>1144</v>
      </c>
      <c r="F149" s="368">
        <f>POAI!AD409</f>
        <v>146000000</v>
      </c>
      <c r="G149" s="368"/>
      <c r="H149" s="368"/>
      <c r="I149" s="368"/>
    </row>
    <row r="150" spans="1:16" s="9" customFormat="1" ht="26.25" customHeight="1" x14ac:dyDescent="0.25">
      <c r="A150" s="95"/>
      <c r="B150" s="99">
        <v>2</v>
      </c>
      <c r="C150" s="365" t="s">
        <v>379</v>
      </c>
      <c r="D150" s="365"/>
      <c r="E150" s="365"/>
      <c r="F150" s="365"/>
      <c r="G150" s="365"/>
      <c r="H150" s="366">
        <f>G151</f>
        <v>78000000</v>
      </c>
      <c r="I150" s="365"/>
      <c r="J150" s="8"/>
      <c r="K150" s="8"/>
      <c r="L150" s="8"/>
      <c r="M150" s="8"/>
      <c r="N150" s="8"/>
      <c r="O150" s="8"/>
      <c r="P150" s="8"/>
    </row>
    <row r="151" spans="1:16" ht="25.5" customHeight="1" x14ac:dyDescent="0.2">
      <c r="A151" s="103"/>
      <c r="B151" s="373"/>
      <c r="C151" s="593">
        <v>39</v>
      </c>
      <c r="D151" s="578" t="s">
        <v>1312</v>
      </c>
      <c r="E151" s="662"/>
      <c r="F151" s="662"/>
      <c r="G151" s="665">
        <f>SUM(F152:F153)</f>
        <v>78000000</v>
      </c>
      <c r="H151" s="663"/>
      <c r="I151" s="662"/>
    </row>
    <row r="152" spans="1:16" s="396" customFormat="1" ht="31.5" x14ac:dyDescent="0.25">
      <c r="A152" s="369"/>
      <c r="B152" s="373"/>
      <c r="C152" s="373"/>
      <c r="D152" s="367" t="s">
        <v>1159</v>
      </c>
      <c r="E152" s="664" t="s">
        <v>1160</v>
      </c>
      <c r="F152" s="368">
        <f>POAI!AD417</f>
        <v>60000000</v>
      </c>
      <c r="G152" s="368"/>
      <c r="H152" s="368"/>
      <c r="I152" s="368"/>
    </row>
    <row r="153" spans="1:16" s="396" customFormat="1" ht="31.5" x14ac:dyDescent="0.25">
      <c r="A153" s="369"/>
      <c r="B153" s="373"/>
      <c r="C153" s="373"/>
      <c r="D153" s="367">
        <v>3904</v>
      </c>
      <c r="E153" s="664" t="s">
        <v>735</v>
      </c>
      <c r="F153" s="368">
        <f>POAI!AD421</f>
        <v>18000000</v>
      </c>
      <c r="G153" s="368"/>
      <c r="H153" s="368"/>
      <c r="I153" s="368"/>
    </row>
    <row r="154" spans="1:16" s="9" customFormat="1" ht="21" customHeight="1" x14ac:dyDescent="0.25">
      <c r="A154" s="95"/>
      <c r="B154" s="99">
        <v>4</v>
      </c>
      <c r="C154" s="365" t="s">
        <v>39</v>
      </c>
      <c r="D154" s="365"/>
      <c r="E154" s="365"/>
      <c r="F154" s="365"/>
      <c r="G154" s="365"/>
      <c r="H154" s="366">
        <f>G155</f>
        <v>298000000</v>
      </c>
      <c r="I154" s="365"/>
      <c r="J154" s="8"/>
      <c r="K154" s="8"/>
      <c r="L154" s="8"/>
      <c r="M154" s="8"/>
      <c r="N154" s="8"/>
      <c r="O154" s="8"/>
      <c r="P154" s="8"/>
    </row>
    <row r="155" spans="1:16" ht="25.5" customHeight="1" x14ac:dyDescent="0.2">
      <c r="A155" s="103"/>
      <c r="B155" s="373"/>
      <c r="C155" s="593">
        <v>23</v>
      </c>
      <c r="D155" s="578" t="s">
        <v>1314</v>
      </c>
      <c r="E155" s="578"/>
      <c r="F155" s="662"/>
      <c r="G155" s="665">
        <f>F156</f>
        <v>298000000</v>
      </c>
      <c r="H155" s="663"/>
      <c r="I155" s="662"/>
    </row>
    <row r="156" spans="1:16" s="396" customFormat="1" ht="64.5" customHeight="1" x14ac:dyDescent="0.25">
      <c r="A156" s="369"/>
      <c r="B156" s="373"/>
      <c r="C156" s="373"/>
      <c r="D156" s="367">
        <v>2302</v>
      </c>
      <c r="E156" s="664" t="s">
        <v>1144</v>
      </c>
      <c r="F156" s="368">
        <f>POAI!AD425</f>
        <v>298000000</v>
      </c>
      <c r="G156" s="368"/>
      <c r="H156" s="368"/>
      <c r="I156" s="368"/>
    </row>
    <row r="157" spans="1:16" s="11" customFormat="1" ht="18.75" customHeight="1" x14ac:dyDescent="0.2">
      <c r="A157" s="381"/>
      <c r="B157" s="382"/>
      <c r="C157" s="382"/>
      <c r="D157" s="382"/>
      <c r="E157" s="383"/>
      <c r="F157" s="383"/>
      <c r="G157" s="383"/>
      <c r="H157" s="383"/>
      <c r="I157" s="383"/>
      <c r="J157" s="405"/>
      <c r="K157" s="18"/>
      <c r="L157" s="18"/>
      <c r="M157" s="18"/>
      <c r="N157" s="18"/>
      <c r="O157" s="18"/>
      <c r="P157" s="18"/>
    </row>
    <row r="158" spans="1:16" s="32" customFormat="1" ht="39" customHeight="1" x14ac:dyDescent="0.25">
      <c r="A158" s="408" t="s">
        <v>1192</v>
      </c>
      <c r="B158" s="409"/>
      <c r="C158" s="409"/>
      <c r="D158" s="408"/>
      <c r="E158" s="282"/>
      <c r="F158" s="403">
        <f>SUM(F7:F156)</f>
        <v>261618885573</v>
      </c>
      <c r="G158" s="403">
        <f>SUM(G7:G156)</f>
        <v>261618885573</v>
      </c>
      <c r="H158" s="403">
        <f>SUM(H7:H156)</f>
        <v>261618885573</v>
      </c>
      <c r="I158" s="403">
        <f>SUM(I7:I156)</f>
        <v>261618885573</v>
      </c>
      <c r="J158" s="8">
        <f>POAI!AD432</f>
        <v>261618885573</v>
      </c>
      <c r="K158" s="31"/>
      <c r="L158" s="31"/>
      <c r="M158" s="31"/>
      <c r="N158" s="31"/>
      <c r="O158" s="31"/>
      <c r="P158" s="31"/>
    </row>
    <row r="159" spans="1:16" s="11" customFormat="1" ht="29.25" customHeight="1" x14ac:dyDescent="0.2">
      <c r="A159" s="381"/>
      <c r="B159" s="382"/>
      <c r="C159" s="382"/>
      <c r="D159" s="382"/>
      <c r="E159" s="383"/>
      <c r="F159" s="383"/>
      <c r="G159" s="383"/>
      <c r="H159" s="383"/>
      <c r="I159" s="383"/>
      <c r="J159" s="405"/>
      <c r="K159" s="18"/>
      <c r="L159" s="18"/>
      <c r="M159" s="18"/>
      <c r="N159" s="18"/>
      <c r="O159" s="18"/>
      <c r="P159" s="18"/>
    </row>
    <row r="160" spans="1:16" ht="30.75" customHeight="1" x14ac:dyDescent="0.2">
      <c r="A160" s="86" t="s">
        <v>1198</v>
      </c>
      <c r="B160" s="87"/>
      <c r="C160" s="87"/>
      <c r="D160" s="87"/>
      <c r="E160" s="88"/>
      <c r="F160" s="88"/>
      <c r="G160" s="88"/>
      <c r="H160" s="88"/>
      <c r="I160" s="88">
        <f>H161</f>
        <v>2463730254.2200003</v>
      </c>
      <c r="J160" s="21">
        <f>POAI!AD437</f>
        <v>2463730254.2200003</v>
      </c>
    </row>
    <row r="161" spans="1:16" ht="24" customHeight="1" x14ac:dyDescent="0.2">
      <c r="A161" s="103"/>
      <c r="B161" s="99">
        <v>1</v>
      </c>
      <c r="C161" s="365" t="s">
        <v>134</v>
      </c>
      <c r="D161" s="365"/>
      <c r="E161" s="365"/>
      <c r="F161" s="365"/>
      <c r="G161" s="365"/>
      <c r="H161" s="366">
        <f>G162</f>
        <v>2463730254.2200003</v>
      </c>
      <c r="I161" s="365"/>
    </row>
    <row r="162" spans="1:16" ht="25.5" customHeight="1" x14ac:dyDescent="0.2">
      <c r="A162" s="103"/>
      <c r="B162" s="373"/>
      <c r="C162" s="593">
        <v>43</v>
      </c>
      <c r="D162" s="578" t="s">
        <v>1306</v>
      </c>
      <c r="E162" s="662"/>
      <c r="F162" s="662"/>
      <c r="G162" s="665">
        <f>SUM(F163:F164)</f>
        <v>2463730254.2200003</v>
      </c>
      <c r="H162" s="663"/>
      <c r="I162" s="662"/>
    </row>
    <row r="163" spans="1:16" s="374" customFormat="1" ht="41.25" customHeight="1" x14ac:dyDescent="0.2">
      <c r="A163" s="372"/>
      <c r="B163" s="373"/>
      <c r="C163" s="373"/>
      <c r="D163" s="373">
        <v>4301</v>
      </c>
      <c r="E163" s="674" t="s">
        <v>168</v>
      </c>
      <c r="F163" s="368">
        <f>POAI!AD440</f>
        <v>1456249518.22</v>
      </c>
      <c r="G163" s="368"/>
      <c r="H163" s="368"/>
      <c r="I163" s="368"/>
      <c r="J163" s="404"/>
    </row>
    <row r="164" spans="1:16" s="374" customFormat="1" ht="37.5" customHeight="1" x14ac:dyDescent="0.2">
      <c r="A164" s="372"/>
      <c r="B164" s="373"/>
      <c r="C164" s="373"/>
      <c r="D164" s="373">
        <v>4302</v>
      </c>
      <c r="E164" s="674" t="s">
        <v>1210</v>
      </c>
      <c r="F164" s="368">
        <f>POAI!AD445</f>
        <v>1007480736</v>
      </c>
      <c r="G164" s="368"/>
      <c r="H164" s="368"/>
      <c r="I164" s="368"/>
      <c r="J164" s="404"/>
    </row>
    <row r="165" spans="1:16" s="11" customFormat="1" ht="18.75" customHeight="1" x14ac:dyDescent="0.2">
      <c r="A165" s="381"/>
      <c r="B165" s="382"/>
      <c r="C165" s="382"/>
      <c r="D165" s="382"/>
      <c r="E165" s="383"/>
      <c r="F165" s="383"/>
      <c r="G165" s="383"/>
      <c r="H165" s="383"/>
      <c r="I165" s="383"/>
      <c r="J165" s="405"/>
      <c r="K165" s="18"/>
      <c r="L165" s="18"/>
      <c r="M165" s="18"/>
      <c r="N165" s="18"/>
      <c r="O165" s="18"/>
      <c r="P165" s="18"/>
    </row>
    <row r="166" spans="1:16" s="11" customFormat="1" ht="27.75" customHeight="1" x14ac:dyDescent="0.2">
      <c r="A166" s="86" t="s">
        <v>1220</v>
      </c>
      <c r="B166" s="87"/>
      <c r="C166" s="87"/>
      <c r="D166" s="87"/>
      <c r="E166" s="88"/>
      <c r="F166" s="88"/>
      <c r="G166" s="88"/>
      <c r="H166" s="88"/>
      <c r="I166" s="88">
        <f>SUM(H167:H176)</f>
        <v>2024983199</v>
      </c>
      <c r="J166" s="405">
        <f>POAI!AD449</f>
        <v>2024983199</v>
      </c>
      <c r="K166" s="18"/>
      <c r="L166" s="18"/>
      <c r="M166" s="18"/>
      <c r="N166" s="18"/>
      <c r="O166" s="18"/>
      <c r="P166" s="18"/>
    </row>
    <row r="167" spans="1:16" s="11" customFormat="1" ht="24" customHeight="1" x14ac:dyDescent="0.2">
      <c r="A167" s="133"/>
      <c r="B167" s="99">
        <v>1</v>
      </c>
      <c r="C167" s="365" t="s">
        <v>134</v>
      </c>
      <c r="D167" s="365"/>
      <c r="E167" s="365"/>
      <c r="F167" s="365"/>
      <c r="G167" s="365"/>
      <c r="H167" s="366">
        <f>G168+G170</f>
        <v>616604845.79999995</v>
      </c>
      <c r="I167" s="365"/>
      <c r="J167" s="405"/>
      <c r="K167" s="18"/>
      <c r="L167" s="18"/>
      <c r="M167" s="18"/>
      <c r="N167" s="18"/>
      <c r="O167" s="18"/>
      <c r="P167" s="18"/>
    </row>
    <row r="168" spans="1:16" ht="25.5" customHeight="1" x14ac:dyDescent="0.2">
      <c r="A168" s="103"/>
      <c r="B168" s="373"/>
      <c r="C168" s="673">
        <v>43</v>
      </c>
      <c r="D168" s="672" t="s">
        <v>1306</v>
      </c>
      <c r="E168" s="662"/>
      <c r="F168" s="662"/>
      <c r="G168" s="665">
        <f>F169</f>
        <v>308302422.89999998</v>
      </c>
      <c r="H168" s="663"/>
      <c r="I168" s="662"/>
    </row>
    <row r="169" spans="1:16" s="399" customFormat="1" ht="35.25" customHeight="1" x14ac:dyDescent="0.2">
      <c r="A169" s="397"/>
      <c r="B169" s="367"/>
      <c r="C169" s="367"/>
      <c r="D169" s="373">
        <v>4301</v>
      </c>
      <c r="E169" s="664" t="s">
        <v>168</v>
      </c>
      <c r="F169" s="368">
        <f>POAI!AD452</f>
        <v>308302422.89999998</v>
      </c>
      <c r="G169" s="368"/>
      <c r="H169" s="368"/>
      <c r="I169" s="368"/>
      <c r="J169" s="406"/>
    </row>
    <row r="170" spans="1:16" ht="25.5" customHeight="1" x14ac:dyDescent="0.2">
      <c r="A170" s="103"/>
      <c r="B170" s="373"/>
      <c r="C170" s="673">
        <v>22</v>
      </c>
      <c r="D170" s="671" t="s">
        <v>266</v>
      </c>
      <c r="E170" s="662"/>
      <c r="F170" s="662"/>
      <c r="G170" s="665">
        <f>F171</f>
        <v>308302422.89999998</v>
      </c>
      <c r="H170" s="663"/>
      <c r="I170" s="662"/>
    </row>
    <row r="171" spans="1:16" s="399" customFormat="1" ht="53.25" customHeight="1" x14ac:dyDescent="0.2">
      <c r="A171" s="397"/>
      <c r="B171" s="367"/>
      <c r="C171" s="367"/>
      <c r="D171" s="373">
        <v>2201</v>
      </c>
      <c r="E171" s="664" t="s">
        <v>152</v>
      </c>
      <c r="F171" s="368">
        <f>POAI!AD455</f>
        <v>308302422.89999998</v>
      </c>
      <c r="G171" s="368"/>
      <c r="H171" s="368"/>
      <c r="I171" s="368"/>
      <c r="J171" s="406"/>
    </row>
    <row r="172" spans="1:16" s="11" customFormat="1" ht="21" customHeight="1" x14ac:dyDescent="0.2">
      <c r="A172" s="133"/>
      <c r="B172" s="99">
        <v>3</v>
      </c>
      <c r="C172" s="365" t="s">
        <v>175</v>
      </c>
      <c r="D172" s="365"/>
      <c r="E172" s="365"/>
      <c r="F172" s="365"/>
      <c r="G172" s="365"/>
      <c r="H172" s="366">
        <f>G173+G175</f>
        <v>1408378353.2</v>
      </c>
      <c r="I172" s="365"/>
      <c r="J172" s="405"/>
      <c r="K172" s="18"/>
      <c r="L172" s="18"/>
      <c r="M172" s="18"/>
      <c r="N172" s="18"/>
      <c r="O172" s="18"/>
      <c r="P172" s="18"/>
    </row>
    <row r="173" spans="1:16" ht="25.5" customHeight="1" x14ac:dyDescent="0.2">
      <c r="A173" s="103"/>
      <c r="B173" s="373"/>
      <c r="C173" s="673">
        <v>24</v>
      </c>
      <c r="D173" s="671" t="s">
        <v>180</v>
      </c>
      <c r="E173" s="667"/>
      <c r="F173" s="662"/>
      <c r="G173" s="665">
        <f>F174</f>
        <v>199461691.20000002</v>
      </c>
      <c r="H173" s="663"/>
      <c r="I173" s="662"/>
    </row>
    <row r="174" spans="1:16" s="11" customFormat="1" ht="42" customHeight="1" x14ac:dyDescent="0.2">
      <c r="A174" s="133"/>
      <c r="B174" s="225"/>
      <c r="C174" s="225"/>
      <c r="D174" s="373">
        <v>2402</v>
      </c>
      <c r="E174" s="669" t="s">
        <v>176</v>
      </c>
      <c r="F174" s="233">
        <f>POAI!AD459</f>
        <v>199461691.20000002</v>
      </c>
      <c r="G174" s="233"/>
      <c r="H174" s="410"/>
      <c r="I174" s="410"/>
      <c r="J174" s="405"/>
      <c r="K174" s="18"/>
      <c r="L174" s="18"/>
      <c r="M174" s="18"/>
      <c r="N174" s="18"/>
      <c r="O174" s="18"/>
      <c r="P174" s="18"/>
    </row>
    <row r="175" spans="1:16" ht="25.5" customHeight="1" x14ac:dyDescent="0.2">
      <c r="A175" s="103"/>
      <c r="B175" s="373"/>
      <c r="C175" s="668">
        <v>40</v>
      </c>
      <c r="D175" s="671" t="s">
        <v>210</v>
      </c>
      <c r="E175" s="667"/>
      <c r="F175" s="662"/>
      <c r="G175" s="665">
        <f>F176</f>
        <v>1208916662</v>
      </c>
      <c r="H175" s="663"/>
      <c r="I175" s="662"/>
    </row>
    <row r="176" spans="1:16" s="11" customFormat="1" ht="44.25" customHeight="1" x14ac:dyDescent="0.2">
      <c r="A176" s="133"/>
      <c r="B176" s="225"/>
      <c r="C176" s="225"/>
      <c r="D176" s="373">
        <v>4001</v>
      </c>
      <c r="E176" s="670" t="s">
        <v>205</v>
      </c>
      <c r="F176" s="233">
        <f>POAI!AD462</f>
        <v>1208916662</v>
      </c>
      <c r="G176" s="233"/>
      <c r="H176" s="410"/>
      <c r="I176" s="410"/>
      <c r="J176" s="405"/>
      <c r="K176" s="18"/>
      <c r="L176" s="18"/>
      <c r="M176" s="18"/>
      <c r="N176" s="18"/>
      <c r="O176" s="18"/>
      <c r="P176" s="18"/>
    </row>
    <row r="177" spans="1:16" s="11" customFormat="1" ht="18.75" customHeight="1" x14ac:dyDescent="0.2">
      <c r="A177" s="381"/>
      <c r="B177" s="382"/>
      <c r="C177" s="382"/>
      <c r="D177" s="382"/>
      <c r="E177" s="383"/>
      <c r="F177" s="383"/>
      <c r="G177" s="383"/>
      <c r="H177" s="383"/>
      <c r="I177" s="383"/>
      <c r="J177" s="405"/>
      <c r="K177" s="18"/>
      <c r="L177" s="18"/>
      <c r="M177" s="18"/>
      <c r="N177" s="18"/>
      <c r="O177" s="18"/>
      <c r="P177" s="18"/>
    </row>
    <row r="178" spans="1:16" ht="25.5" customHeight="1" x14ac:dyDescent="0.2">
      <c r="A178" s="86" t="s">
        <v>1252</v>
      </c>
      <c r="B178" s="87"/>
      <c r="C178" s="87"/>
      <c r="D178" s="87"/>
      <c r="E178" s="88"/>
      <c r="F178" s="88"/>
      <c r="G178" s="88"/>
      <c r="H178" s="88"/>
      <c r="I178" s="88">
        <f>H179</f>
        <v>110210000</v>
      </c>
      <c r="J178" s="21">
        <f>POAI!AD471</f>
        <v>110210000</v>
      </c>
    </row>
    <row r="179" spans="1:16" ht="24" customHeight="1" x14ac:dyDescent="0.2">
      <c r="A179" s="103"/>
      <c r="B179" s="99">
        <v>3</v>
      </c>
      <c r="C179" s="365" t="s">
        <v>175</v>
      </c>
      <c r="D179" s="365"/>
      <c r="E179" s="365"/>
      <c r="F179" s="365"/>
      <c r="G179" s="365"/>
      <c r="H179" s="366">
        <f>G180</f>
        <v>110210000</v>
      </c>
      <c r="I179" s="365"/>
    </row>
    <row r="180" spans="1:16" ht="25.5" customHeight="1" x14ac:dyDescent="0.2">
      <c r="A180" s="103"/>
      <c r="B180" s="373"/>
      <c r="C180" s="593">
        <v>24</v>
      </c>
      <c r="D180" s="666" t="s">
        <v>180</v>
      </c>
      <c r="E180" s="667"/>
      <c r="F180" s="662"/>
      <c r="G180" s="665">
        <f>F181</f>
        <v>110210000</v>
      </c>
      <c r="H180" s="663"/>
      <c r="I180" s="662"/>
    </row>
    <row r="181" spans="1:16" s="374" customFormat="1" ht="30" customHeight="1" x14ac:dyDescent="0.2">
      <c r="A181" s="372"/>
      <c r="B181" s="373"/>
      <c r="C181" s="373"/>
      <c r="D181" s="373">
        <v>2409</v>
      </c>
      <c r="E181" s="368" t="s">
        <v>1253</v>
      </c>
      <c r="F181" s="368">
        <f>POAI!AD471</f>
        <v>110210000</v>
      </c>
      <c r="G181" s="368"/>
      <c r="H181" s="368"/>
      <c r="I181" s="368"/>
      <c r="J181" s="404"/>
    </row>
    <row r="182" spans="1:16" s="411" customFormat="1" ht="23.25" customHeight="1" x14ac:dyDescent="0.2">
      <c r="A182" s="412"/>
      <c r="B182" s="413"/>
      <c r="C182" s="413"/>
      <c r="D182" s="413"/>
      <c r="E182" s="414"/>
      <c r="F182" s="414"/>
      <c r="G182" s="414"/>
      <c r="H182" s="414"/>
      <c r="I182" s="414"/>
      <c r="J182" s="415"/>
      <c r="K182" s="416"/>
      <c r="L182" s="416"/>
      <c r="M182" s="416"/>
      <c r="N182" s="416"/>
      <c r="O182" s="416"/>
      <c r="P182" s="416"/>
    </row>
    <row r="183" spans="1:16" s="33" customFormat="1" ht="26.25" customHeight="1" x14ac:dyDescent="0.25">
      <c r="A183" s="408" t="s">
        <v>1265</v>
      </c>
      <c r="B183" s="408"/>
      <c r="C183" s="408"/>
      <c r="D183" s="408"/>
      <c r="E183" s="408"/>
      <c r="F183" s="422">
        <f>SUM(F160:F181)</f>
        <v>4598923453.2200003</v>
      </c>
      <c r="G183" s="422">
        <f>SUM(G160:G181)</f>
        <v>4598923453.2200003</v>
      </c>
      <c r="H183" s="423">
        <f>SUM(H160:H181)</f>
        <v>4598923453.2200003</v>
      </c>
      <c r="I183" s="423">
        <f>SUM(I160:I181)</f>
        <v>4598923453.2200003</v>
      </c>
      <c r="J183" s="8">
        <f>POAI!AD479</f>
        <v>4598923453.2200003</v>
      </c>
      <c r="K183" s="31"/>
      <c r="L183" s="31"/>
      <c r="M183" s="31"/>
      <c r="N183" s="31"/>
      <c r="O183" s="31"/>
      <c r="P183" s="31"/>
    </row>
    <row r="184" spans="1:16" s="56" customFormat="1" ht="15.75" x14ac:dyDescent="0.25">
      <c r="A184" s="49"/>
      <c r="B184" s="50"/>
      <c r="C184" s="50"/>
      <c r="D184" s="50"/>
      <c r="E184" s="51"/>
      <c r="F184" s="51"/>
      <c r="G184" s="51"/>
      <c r="H184" s="51"/>
      <c r="I184" s="51"/>
      <c r="J184" s="396"/>
    </row>
    <row r="185" spans="1:16" s="40" customFormat="1" ht="27" customHeight="1" x14ac:dyDescent="0.2">
      <c r="A185" s="417" t="s">
        <v>1268</v>
      </c>
      <c r="B185" s="418"/>
      <c r="C185" s="418"/>
      <c r="D185" s="419"/>
      <c r="E185" s="420"/>
      <c r="F185" s="424">
        <f>F158+F183</f>
        <v>266217809026.22</v>
      </c>
      <c r="G185" s="424">
        <f>G158+G183</f>
        <v>266217809026.22</v>
      </c>
      <c r="H185" s="425">
        <f>H158+H183</f>
        <v>266217809026.22</v>
      </c>
      <c r="I185" s="425">
        <f>I158+I183</f>
        <v>266217809026.22</v>
      </c>
      <c r="J185" s="21">
        <f>POAI!AD483</f>
        <v>266217809026.22</v>
      </c>
      <c r="K185" s="4"/>
      <c r="L185" s="4"/>
      <c r="M185" s="4"/>
      <c r="N185" s="4"/>
      <c r="O185" s="4"/>
      <c r="P185" s="4"/>
    </row>
  </sheetData>
  <mergeCells count="2">
    <mergeCell ref="A1:I3"/>
    <mergeCell ref="F5:I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201"/>
  <sheetViews>
    <sheetView topLeftCell="A169" zoomScale="70" zoomScaleNormal="70" workbookViewId="0">
      <selection activeCell="F129" sqref="F129:H129"/>
    </sheetView>
  </sheetViews>
  <sheetFormatPr baseColWidth="10" defaultColWidth="11.42578125" defaultRowHeight="15" x14ac:dyDescent="0.2"/>
  <cols>
    <col min="1" max="1" width="15.85546875" style="1" customWidth="1"/>
    <col min="2" max="2" width="19.140625" style="13" customWidth="1"/>
    <col min="3" max="3" width="13.85546875" style="13" customWidth="1"/>
    <col min="4" max="4" width="15" style="13" customWidth="1"/>
    <col min="5" max="5" width="64.28515625" style="14" customWidth="1"/>
    <col min="6" max="6" width="25.140625" style="14" customWidth="1"/>
    <col min="7" max="7" width="25.85546875" style="21" customWidth="1"/>
    <col min="8" max="8" width="24.5703125" style="4" customWidth="1"/>
    <col min="9" max="9" width="24.140625" style="4" customWidth="1"/>
    <col min="10" max="10" width="23.42578125" style="4" customWidth="1"/>
    <col min="11" max="11" width="24.28515625" style="4" customWidth="1"/>
    <col min="12" max="12" width="11.42578125" style="437"/>
    <col min="13" max="13" width="28.85546875" style="1" customWidth="1"/>
    <col min="14" max="14" width="11.42578125" style="1"/>
    <col min="15" max="15" width="26.42578125" style="1" customWidth="1"/>
    <col min="16" max="16384" width="11.42578125" style="1"/>
  </cols>
  <sheetData>
    <row r="1" spans="1:12" ht="42" customHeight="1" x14ac:dyDescent="0.2">
      <c r="A1" s="1559" t="s">
        <v>0</v>
      </c>
      <c r="B1" s="1559"/>
      <c r="C1" s="1559"/>
      <c r="D1" s="1559"/>
      <c r="E1" s="1559"/>
      <c r="F1" s="1559"/>
    </row>
    <row r="2" spans="1:12" ht="27.75" customHeight="1" x14ac:dyDescent="0.2">
      <c r="A2" s="1559"/>
      <c r="B2" s="1559"/>
      <c r="C2" s="1559"/>
      <c r="D2" s="1559"/>
      <c r="E2" s="1559"/>
      <c r="F2" s="1559"/>
    </row>
    <row r="3" spans="1:12" ht="27.75" customHeight="1" x14ac:dyDescent="0.2">
      <c r="A3" s="1559"/>
      <c r="B3" s="1559"/>
      <c r="C3" s="1559"/>
      <c r="D3" s="1559"/>
      <c r="E3" s="1559"/>
      <c r="F3" s="1559"/>
    </row>
    <row r="4" spans="1:12" ht="24.75" customHeight="1" x14ac:dyDescent="0.2">
      <c r="B4" s="45"/>
      <c r="C4" s="46"/>
      <c r="D4" s="46"/>
      <c r="E4" s="46"/>
      <c r="F4" s="46"/>
    </row>
    <row r="5" spans="1:12" s="7" customFormat="1" ht="36" customHeight="1" x14ac:dyDescent="0.25">
      <c r="A5" s="66" t="s">
        <v>8</v>
      </c>
      <c r="B5" s="66" t="s">
        <v>9</v>
      </c>
      <c r="C5" s="678"/>
      <c r="D5" s="432" t="s">
        <v>1269</v>
      </c>
      <c r="E5" s="452" t="s">
        <v>11</v>
      </c>
      <c r="F5" s="467" t="s">
        <v>1272</v>
      </c>
      <c r="G5" s="6" t="s">
        <v>1271</v>
      </c>
      <c r="H5" s="6"/>
      <c r="I5" s="6"/>
      <c r="J5" s="6"/>
      <c r="K5" s="6"/>
      <c r="L5" s="438"/>
    </row>
    <row r="6" spans="1:12" s="9" customFormat="1" ht="26.25" customHeight="1" x14ac:dyDescent="0.25">
      <c r="A6" s="85" t="s">
        <v>38</v>
      </c>
      <c r="B6" s="87"/>
      <c r="C6" s="87"/>
      <c r="D6" s="87"/>
      <c r="E6" s="88"/>
      <c r="F6" s="88">
        <f>F7</f>
        <v>176000000</v>
      </c>
      <c r="G6" s="8">
        <f>POAI!AD7</f>
        <v>176000000</v>
      </c>
      <c r="H6" s="8"/>
      <c r="I6" s="8"/>
      <c r="J6" s="8"/>
      <c r="K6" s="8"/>
      <c r="L6" s="439"/>
    </row>
    <row r="7" spans="1:12" s="9" customFormat="1" ht="21.75" customHeight="1" x14ac:dyDescent="0.25">
      <c r="A7" s="95"/>
      <c r="B7" s="99">
        <v>4</v>
      </c>
      <c r="C7" s="365" t="s">
        <v>39</v>
      </c>
      <c r="D7" s="365"/>
      <c r="E7" s="365"/>
      <c r="F7" s="366">
        <f>F8</f>
        <v>176000000</v>
      </c>
      <c r="G7" s="8"/>
      <c r="H7" s="8"/>
      <c r="I7" s="8"/>
      <c r="J7" s="8"/>
      <c r="K7" s="8"/>
      <c r="L7" s="439"/>
    </row>
    <row r="8" spans="1:12" s="9" customFormat="1" ht="21.75" customHeight="1" x14ac:dyDescent="0.25">
      <c r="A8" s="95"/>
      <c r="B8" s="111"/>
      <c r="C8" s="593">
        <v>45</v>
      </c>
      <c r="D8" s="578" t="s">
        <v>1302</v>
      </c>
      <c r="E8" s="662"/>
      <c r="F8" s="665">
        <f>SUM(F9:F10)</f>
        <v>176000000</v>
      </c>
      <c r="G8" s="8"/>
      <c r="H8" s="8"/>
      <c r="I8" s="8"/>
      <c r="J8" s="8"/>
      <c r="K8" s="8"/>
      <c r="L8" s="439"/>
    </row>
    <row r="9" spans="1:12" ht="45" customHeight="1" x14ac:dyDescent="0.2">
      <c r="A9" s="103"/>
      <c r="B9" s="111"/>
      <c r="C9" s="111"/>
      <c r="D9" s="367">
        <v>4599</v>
      </c>
      <c r="E9" s="664" t="s">
        <v>40</v>
      </c>
      <c r="F9" s="368">
        <f>POAI!AA10</f>
        <v>136000000</v>
      </c>
    </row>
    <row r="10" spans="1:12" ht="30.75" customHeight="1" x14ac:dyDescent="0.2">
      <c r="A10" s="103"/>
      <c r="B10" s="111"/>
      <c r="C10" s="111"/>
      <c r="D10" s="367">
        <v>4502</v>
      </c>
      <c r="E10" s="664" t="s">
        <v>61</v>
      </c>
      <c r="F10" s="369">
        <f>POAI!AA14</f>
        <v>40000000</v>
      </c>
    </row>
    <row r="11" spans="1:12" ht="15.75" x14ac:dyDescent="0.2">
      <c r="A11" s="103"/>
      <c r="B11" s="111"/>
      <c r="C11" s="111"/>
      <c r="D11" s="111"/>
      <c r="E11" s="571"/>
      <c r="F11" s="192"/>
    </row>
    <row r="12" spans="1:12" s="7" customFormat="1" ht="33" customHeight="1" x14ac:dyDescent="0.25">
      <c r="A12" s="66" t="s">
        <v>8</v>
      </c>
      <c r="B12" s="66" t="s">
        <v>9</v>
      </c>
      <c r="C12" s="678"/>
      <c r="D12" s="432" t="s">
        <v>1269</v>
      </c>
      <c r="E12" s="452" t="s">
        <v>11</v>
      </c>
      <c r="F12" s="467" t="s">
        <v>1272</v>
      </c>
      <c r="G12" s="6" t="s">
        <v>1271</v>
      </c>
      <c r="H12" s="6"/>
      <c r="I12" s="6"/>
      <c r="J12" s="6"/>
      <c r="K12" s="6"/>
      <c r="L12" s="438"/>
    </row>
    <row r="13" spans="1:12" s="9" customFormat="1" ht="30.75" customHeight="1" x14ac:dyDescent="0.25">
      <c r="A13" s="86" t="s">
        <v>69</v>
      </c>
      <c r="B13" s="87"/>
      <c r="C13" s="87"/>
      <c r="D13" s="87"/>
      <c r="E13" s="679"/>
      <c r="F13" s="88">
        <f>F14</f>
        <v>983000000</v>
      </c>
      <c r="G13" s="8">
        <f>POAI!AD17</f>
        <v>983000000</v>
      </c>
      <c r="H13" s="8"/>
      <c r="I13" s="8"/>
      <c r="J13" s="8"/>
      <c r="K13" s="8"/>
      <c r="L13" s="439"/>
    </row>
    <row r="14" spans="1:12" ht="25.5" customHeight="1" x14ac:dyDescent="0.2">
      <c r="A14" s="103"/>
      <c r="B14" s="99">
        <v>4</v>
      </c>
      <c r="C14" s="365" t="s">
        <v>39</v>
      </c>
      <c r="D14" s="365"/>
      <c r="E14" s="676"/>
      <c r="F14" s="366">
        <f>F15</f>
        <v>983000000</v>
      </c>
    </row>
    <row r="15" spans="1:12" ht="25.5" customHeight="1" x14ac:dyDescent="0.2">
      <c r="A15" s="103"/>
      <c r="B15" s="111"/>
      <c r="C15" s="593">
        <v>45</v>
      </c>
      <c r="D15" s="578" t="s">
        <v>1302</v>
      </c>
      <c r="E15" s="662"/>
      <c r="F15" s="665">
        <f>SUM(F16:F17)</f>
        <v>983000000</v>
      </c>
    </row>
    <row r="16" spans="1:12" s="374" customFormat="1" ht="39" customHeight="1" x14ac:dyDescent="0.2">
      <c r="A16" s="372"/>
      <c r="B16" s="373"/>
      <c r="C16" s="373"/>
      <c r="D16" s="367">
        <v>4502</v>
      </c>
      <c r="E16" s="664" t="s">
        <v>61</v>
      </c>
      <c r="F16" s="368">
        <f>POAI!AA20</f>
        <v>175000000</v>
      </c>
      <c r="G16" s="404"/>
      <c r="L16" s="440"/>
    </row>
    <row r="17" spans="1:12" s="374" customFormat="1" ht="39" customHeight="1" x14ac:dyDescent="0.2">
      <c r="A17" s="372"/>
      <c r="B17" s="373"/>
      <c r="C17" s="373"/>
      <c r="D17" s="367">
        <v>4599</v>
      </c>
      <c r="E17" s="664" t="s">
        <v>61</v>
      </c>
      <c r="F17" s="368">
        <f>POAI!AA23</f>
        <v>808000000</v>
      </c>
      <c r="G17" s="404"/>
      <c r="L17" s="440"/>
    </row>
    <row r="18" spans="1:12" ht="18" customHeight="1" x14ac:dyDescent="0.2">
      <c r="A18" s="381"/>
      <c r="B18" s="382"/>
      <c r="C18" s="382"/>
      <c r="D18" s="382"/>
      <c r="E18" s="680"/>
      <c r="F18" s="383"/>
    </row>
    <row r="19" spans="1:12" ht="31.5" customHeight="1" x14ac:dyDescent="0.2">
      <c r="A19" s="431" t="s">
        <v>8</v>
      </c>
      <c r="B19" s="432" t="s">
        <v>9</v>
      </c>
      <c r="C19" s="432"/>
      <c r="D19" s="432" t="s">
        <v>1269</v>
      </c>
      <c r="E19" s="452" t="s">
        <v>11</v>
      </c>
      <c r="F19" s="433" t="s">
        <v>1272</v>
      </c>
      <c r="G19" s="435" t="s">
        <v>1273</v>
      </c>
      <c r="H19" s="434" t="s">
        <v>1274</v>
      </c>
    </row>
    <row r="20" spans="1:12" ht="31.5" customHeight="1" x14ac:dyDescent="0.2">
      <c r="A20" s="378" t="s">
        <v>119</v>
      </c>
      <c r="B20" s="379"/>
      <c r="C20" s="379"/>
      <c r="D20" s="379"/>
      <c r="E20" s="681"/>
      <c r="F20" s="380">
        <f t="shared" ref="F20:H21" si="0">F21</f>
        <v>1840000000</v>
      </c>
      <c r="G20" s="380">
        <f t="shared" si="0"/>
        <v>250000000</v>
      </c>
      <c r="H20" s="380">
        <f t="shared" si="0"/>
        <v>2090000000</v>
      </c>
      <c r="I20" s="4">
        <f>POAI!AD35</f>
        <v>2090000000</v>
      </c>
    </row>
    <row r="21" spans="1:12" ht="24" customHeight="1" x14ac:dyDescent="0.2">
      <c r="A21" s="103"/>
      <c r="B21" s="99">
        <v>4</v>
      </c>
      <c r="C21" s="365" t="s">
        <v>39</v>
      </c>
      <c r="D21" s="365"/>
      <c r="E21" s="676"/>
      <c r="F21" s="366">
        <f>F22</f>
        <v>1840000000</v>
      </c>
      <c r="G21" s="366">
        <f t="shared" si="0"/>
        <v>250000000</v>
      </c>
      <c r="H21" s="366">
        <f>H22</f>
        <v>2090000000</v>
      </c>
    </row>
    <row r="22" spans="1:12" ht="24" customHeight="1" x14ac:dyDescent="0.2">
      <c r="A22" s="103"/>
      <c r="B22" s="111"/>
      <c r="C22" s="593">
        <v>45</v>
      </c>
      <c r="D22" s="578" t="s">
        <v>1302</v>
      </c>
      <c r="E22" s="662"/>
      <c r="F22" s="665">
        <f>F23</f>
        <v>1840000000</v>
      </c>
      <c r="G22" s="665">
        <f>G23</f>
        <v>250000000</v>
      </c>
      <c r="H22" s="665">
        <f>H23</f>
        <v>2090000000</v>
      </c>
    </row>
    <row r="23" spans="1:12" ht="54.75" customHeight="1" x14ac:dyDescent="0.2">
      <c r="A23" s="103"/>
      <c r="B23" s="111"/>
      <c r="C23" s="111"/>
      <c r="D23" s="367">
        <v>4599</v>
      </c>
      <c r="E23" s="664" t="s">
        <v>40</v>
      </c>
      <c r="F23" s="368">
        <f>POAI!AA35</f>
        <v>1840000000</v>
      </c>
      <c r="G23" s="368">
        <f>POAI!AC35</f>
        <v>250000000</v>
      </c>
      <c r="H23" s="368">
        <f>SUM(F23:G23)</f>
        <v>2090000000</v>
      </c>
    </row>
    <row r="24" spans="1:12" s="11" customFormat="1" x14ac:dyDescent="0.2">
      <c r="A24" s="381"/>
      <c r="B24" s="382"/>
      <c r="C24" s="382"/>
      <c r="D24" s="382"/>
      <c r="E24" s="682"/>
      <c r="F24" s="383"/>
      <c r="G24" s="405"/>
      <c r="H24" s="18"/>
      <c r="I24" s="18"/>
      <c r="J24" s="18"/>
      <c r="K24" s="18"/>
      <c r="L24" s="441"/>
    </row>
    <row r="25" spans="1:12" s="11" customFormat="1" ht="30" customHeight="1" x14ac:dyDescent="0.2">
      <c r="A25" s="66" t="s">
        <v>8</v>
      </c>
      <c r="B25" s="66" t="s">
        <v>9</v>
      </c>
      <c r="C25" s="678"/>
      <c r="D25" s="432" t="s">
        <v>1269</v>
      </c>
      <c r="E25" s="452" t="s">
        <v>11</v>
      </c>
      <c r="F25" s="435" t="s">
        <v>1275</v>
      </c>
      <c r="G25" s="435" t="s">
        <v>1276</v>
      </c>
      <c r="H25" s="435" t="s">
        <v>1277</v>
      </c>
      <c r="I25" s="434" t="s">
        <v>1274</v>
      </c>
      <c r="J25" s="18"/>
      <c r="K25" s="18"/>
      <c r="L25" s="441"/>
    </row>
    <row r="26" spans="1:12" ht="30" customHeight="1" x14ac:dyDescent="0.2">
      <c r="A26" s="86" t="s">
        <v>133</v>
      </c>
      <c r="B26" s="87"/>
      <c r="C26" s="87"/>
      <c r="D26" s="87"/>
      <c r="E26" s="679"/>
      <c r="F26" s="380">
        <f>F27+F38+F46</f>
        <v>4469330595</v>
      </c>
      <c r="G26" s="380">
        <f>G27+G38+G46</f>
        <v>2753011221</v>
      </c>
      <c r="H26" s="380">
        <f>H27+H38+H46</f>
        <v>779750000</v>
      </c>
      <c r="I26" s="380">
        <f>I27+I38+I46</f>
        <v>8002091816</v>
      </c>
      <c r="K26" s="21">
        <f>POAI!AD42</f>
        <v>8002091816</v>
      </c>
    </row>
    <row r="27" spans="1:12" ht="20.25" customHeight="1" x14ac:dyDescent="0.2">
      <c r="A27" s="103"/>
      <c r="B27" s="99">
        <v>1</v>
      </c>
      <c r="C27" s="99"/>
      <c r="D27" s="365" t="s">
        <v>134</v>
      </c>
      <c r="E27" s="676"/>
      <c r="F27" s="366">
        <f>F28+F30+F32+F34+F36</f>
        <v>3919330595</v>
      </c>
      <c r="G27" s="366">
        <f>G28+G30+G32+G34+G36</f>
        <v>0</v>
      </c>
      <c r="H27" s="366">
        <f>H28+H30+H32+H34+H36</f>
        <v>91750000</v>
      </c>
      <c r="I27" s="366">
        <f>I28+I30+I32+I34+I36</f>
        <v>4011080595</v>
      </c>
    </row>
    <row r="28" spans="1:12" ht="20.25" customHeight="1" x14ac:dyDescent="0.2">
      <c r="A28" s="103"/>
      <c r="B28" s="111"/>
      <c r="C28" s="593">
        <v>12</v>
      </c>
      <c r="D28" s="578" t="s">
        <v>1303</v>
      </c>
      <c r="E28" s="578" t="s">
        <v>1303</v>
      </c>
      <c r="F28" s="683">
        <f>F29</f>
        <v>0</v>
      </c>
      <c r="G28" s="683">
        <f>G29</f>
        <v>0</v>
      </c>
      <c r="H28" s="683">
        <f>H29</f>
        <v>23750000</v>
      </c>
      <c r="I28" s="683">
        <f>I29</f>
        <v>23750000</v>
      </c>
    </row>
    <row r="29" spans="1:12" ht="25.5" customHeight="1" x14ac:dyDescent="0.2">
      <c r="A29" s="103"/>
      <c r="B29" s="111"/>
      <c r="C29" s="111"/>
      <c r="D29" s="373">
        <v>1202</v>
      </c>
      <c r="E29" s="664" t="s">
        <v>135</v>
      </c>
      <c r="F29" s="368">
        <f>POAI!Q45</f>
        <v>0</v>
      </c>
      <c r="G29" s="368">
        <f>POAI!Z45</f>
        <v>0</v>
      </c>
      <c r="H29" s="368">
        <f>POAI!AA45</f>
        <v>23750000</v>
      </c>
      <c r="I29" s="368">
        <f>SUM(F29:H29)</f>
        <v>23750000</v>
      </c>
    </row>
    <row r="30" spans="1:12" ht="25.5" customHeight="1" x14ac:dyDescent="0.2">
      <c r="A30" s="103"/>
      <c r="B30" s="111"/>
      <c r="C30" s="593">
        <v>19</v>
      </c>
      <c r="D30" s="578" t="s">
        <v>1304</v>
      </c>
      <c r="E30" s="662"/>
      <c r="F30" s="665">
        <f>F31</f>
        <v>0</v>
      </c>
      <c r="G30" s="665">
        <f>G31</f>
        <v>0</v>
      </c>
      <c r="H30" s="665">
        <f>H31</f>
        <v>38000000</v>
      </c>
      <c r="I30" s="665">
        <f>I31</f>
        <v>38000000</v>
      </c>
    </row>
    <row r="31" spans="1:12" ht="31.5" x14ac:dyDescent="0.2">
      <c r="A31" s="103"/>
      <c r="B31" s="111"/>
      <c r="C31" s="111"/>
      <c r="D31" s="373">
        <v>1906</v>
      </c>
      <c r="E31" s="664" t="s">
        <v>145</v>
      </c>
      <c r="F31" s="368">
        <f>POAI!Q48</f>
        <v>0</v>
      </c>
      <c r="G31" s="368">
        <f>POAI!Z48</f>
        <v>0</v>
      </c>
      <c r="H31" s="368">
        <f>POAI!AA48</f>
        <v>38000000</v>
      </c>
      <c r="I31" s="368">
        <f>SUM(F31:H31)</f>
        <v>38000000</v>
      </c>
    </row>
    <row r="32" spans="1:12" ht="22.5" customHeight="1" x14ac:dyDescent="0.2">
      <c r="A32" s="103"/>
      <c r="B32" s="111"/>
      <c r="C32" s="593">
        <v>22</v>
      </c>
      <c r="D32" s="668" t="s">
        <v>266</v>
      </c>
      <c r="E32" s="667"/>
      <c r="F32" s="684">
        <f>F33</f>
        <v>2083257220</v>
      </c>
      <c r="G32" s="684">
        <f>G33</f>
        <v>0</v>
      </c>
      <c r="H32" s="684">
        <f>H33</f>
        <v>0</v>
      </c>
      <c r="I32" s="684">
        <f>I33</f>
        <v>2083257220</v>
      </c>
    </row>
    <row r="33" spans="1:12" ht="47.25" x14ac:dyDescent="0.2">
      <c r="A33" s="103"/>
      <c r="B33" s="111"/>
      <c r="C33" s="111"/>
      <c r="D33" s="373">
        <v>2201</v>
      </c>
      <c r="E33" s="664" t="s">
        <v>152</v>
      </c>
      <c r="F33" s="368">
        <f>POAI!Q51</f>
        <v>2083257220</v>
      </c>
      <c r="G33" s="368">
        <f>POAI!Z51</f>
        <v>0</v>
      </c>
      <c r="H33" s="368">
        <f>POAI!AA51</f>
        <v>0</v>
      </c>
      <c r="I33" s="368">
        <f>SUM(F33:H33)</f>
        <v>2083257220</v>
      </c>
    </row>
    <row r="34" spans="1:12" ht="19.5" customHeight="1" x14ac:dyDescent="0.2">
      <c r="A34" s="103"/>
      <c r="B34" s="111"/>
      <c r="C34" s="593">
        <v>33</v>
      </c>
      <c r="D34" s="668" t="s">
        <v>1305</v>
      </c>
      <c r="E34" s="667"/>
      <c r="F34" s="684">
        <f>SUM(F35)</f>
        <v>0</v>
      </c>
      <c r="G34" s="684">
        <f>SUM(G35)</f>
        <v>0</v>
      </c>
      <c r="H34" s="684">
        <f>SUM(H35)</f>
        <v>30000000</v>
      </c>
      <c r="I34" s="684">
        <f>SUM(I35)</f>
        <v>30000000</v>
      </c>
    </row>
    <row r="35" spans="1:12" ht="31.5" x14ac:dyDescent="0.2">
      <c r="A35" s="103"/>
      <c r="B35" s="111"/>
      <c r="C35" s="111"/>
      <c r="D35" s="373">
        <v>3301</v>
      </c>
      <c r="E35" s="664" t="s">
        <v>159</v>
      </c>
      <c r="F35" s="368">
        <f>POAI!Q54</f>
        <v>0</v>
      </c>
      <c r="G35" s="368">
        <f>POAI!Z54</f>
        <v>0</v>
      </c>
      <c r="H35" s="368">
        <f>POAI!AA54</f>
        <v>30000000</v>
      </c>
      <c r="I35" s="368">
        <f>SUM(F35:H35)</f>
        <v>30000000</v>
      </c>
    </row>
    <row r="36" spans="1:12" ht="21" customHeight="1" x14ac:dyDescent="0.2">
      <c r="A36" s="103"/>
      <c r="B36" s="111"/>
      <c r="C36" s="593">
        <v>43</v>
      </c>
      <c r="D36" s="578" t="s">
        <v>1306</v>
      </c>
      <c r="E36" s="588"/>
      <c r="F36" s="685">
        <f>SUM(F37)</f>
        <v>1836073375</v>
      </c>
      <c r="G36" s="685">
        <f>SUM(G37)</f>
        <v>0</v>
      </c>
      <c r="H36" s="685">
        <f>SUM(H37)</f>
        <v>0</v>
      </c>
      <c r="I36" s="685">
        <f>SUM(I37)</f>
        <v>1836073375</v>
      </c>
    </row>
    <row r="37" spans="1:12" ht="31.5" x14ac:dyDescent="0.2">
      <c r="A37" s="103"/>
      <c r="B37" s="111"/>
      <c r="C37" s="111"/>
      <c r="D37" s="373">
        <v>4301</v>
      </c>
      <c r="E37" s="664" t="s">
        <v>168</v>
      </c>
      <c r="F37" s="368">
        <f>POAI!Q57</f>
        <v>1836073375</v>
      </c>
      <c r="G37" s="368">
        <f>POAI!Z57</f>
        <v>0</v>
      </c>
      <c r="H37" s="368">
        <f>POAI!AA57</f>
        <v>0</v>
      </c>
      <c r="I37" s="368">
        <f>SUM(F37:H37)</f>
        <v>1836073375</v>
      </c>
      <c r="J37" s="1"/>
      <c r="K37" s="1"/>
      <c r="L37" s="442"/>
    </row>
    <row r="38" spans="1:12" ht="20.25" customHeight="1" x14ac:dyDescent="0.2">
      <c r="A38" s="103"/>
      <c r="B38" s="99">
        <v>3</v>
      </c>
      <c r="C38" s="99"/>
      <c r="D38" s="365" t="s">
        <v>175</v>
      </c>
      <c r="E38" s="676"/>
      <c r="F38" s="366">
        <f>F39+F41+F43</f>
        <v>550000000</v>
      </c>
      <c r="G38" s="366">
        <f>G39+G41+G43</f>
        <v>2753011221</v>
      </c>
      <c r="H38" s="366">
        <f>H39+H41+H43</f>
        <v>610000000</v>
      </c>
      <c r="I38" s="366">
        <f>I39+I41+I43</f>
        <v>3913011221</v>
      </c>
      <c r="J38" s="1"/>
      <c r="K38" s="1"/>
      <c r="L38" s="442"/>
    </row>
    <row r="39" spans="1:12" ht="30" customHeight="1" x14ac:dyDescent="0.2">
      <c r="A39" s="103"/>
      <c r="B39" s="111"/>
      <c r="C39" s="673">
        <v>24</v>
      </c>
      <c r="D39" s="686" t="s">
        <v>180</v>
      </c>
      <c r="E39" s="662"/>
      <c r="F39" s="665">
        <f>F40</f>
        <v>0</v>
      </c>
      <c r="G39" s="665">
        <f>G40</f>
        <v>0</v>
      </c>
      <c r="H39" s="665">
        <f>H40</f>
        <v>390000000</v>
      </c>
      <c r="I39" s="665">
        <f>I40</f>
        <v>390000000</v>
      </c>
      <c r="J39" s="1"/>
      <c r="K39" s="1"/>
      <c r="L39" s="442"/>
    </row>
    <row r="40" spans="1:12" ht="31.5" x14ac:dyDescent="0.2">
      <c r="A40" s="103"/>
      <c r="B40" s="111"/>
      <c r="C40" s="111"/>
      <c r="D40" s="373">
        <v>2402</v>
      </c>
      <c r="E40" s="664" t="s">
        <v>176</v>
      </c>
      <c r="F40" s="368">
        <f>POAI!Q61</f>
        <v>0</v>
      </c>
      <c r="G40" s="368">
        <f>POAI!Z61</f>
        <v>0</v>
      </c>
      <c r="H40" s="368">
        <f>POAI!AA61</f>
        <v>390000000</v>
      </c>
      <c r="I40" s="368">
        <f>SUM(F40:H40)</f>
        <v>390000000</v>
      </c>
      <c r="J40" s="1"/>
      <c r="K40" s="1"/>
      <c r="L40" s="442"/>
    </row>
    <row r="41" spans="1:12" ht="30" customHeight="1" x14ac:dyDescent="0.2">
      <c r="A41" s="103"/>
      <c r="B41" s="111"/>
      <c r="C41" s="593">
        <v>32</v>
      </c>
      <c r="D41" s="578" t="s">
        <v>1307</v>
      </c>
      <c r="E41" s="588"/>
      <c r="F41" s="685">
        <f>F42</f>
        <v>0</v>
      </c>
      <c r="G41" s="685">
        <f>G42</f>
        <v>0</v>
      </c>
      <c r="H41" s="685">
        <f>H42</f>
        <v>200000000</v>
      </c>
      <c r="I41" s="685">
        <f>I42</f>
        <v>200000000</v>
      </c>
      <c r="J41" s="1"/>
      <c r="K41" s="1"/>
      <c r="L41" s="442"/>
    </row>
    <row r="42" spans="1:12" ht="28.5" customHeight="1" x14ac:dyDescent="0.2">
      <c r="A42" s="103"/>
      <c r="B42" s="111"/>
      <c r="C42" s="111"/>
      <c r="D42" s="373">
        <v>3205</v>
      </c>
      <c r="E42" s="664" t="s">
        <v>191</v>
      </c>
      <c r="F42" s="368">
        <f>POAI!Q66</f>
        <v>0</v>
      </c>
      <c r="G42" s="368">
        <f>POAI!Z66</f>
        <v>0</v>
      </c>
      <c r="H42" s="368">
        <f>POAI!AA66</f>
        <v>200000000</v>
      </c>
      <c r="I42" s="368">
        <f>SUM(F42:H42)</f>
        <v>200000000</v>
      </c>
      <c r="J42" s="1"/>
      <c r="K42" s="1"/>
      <c r="L42" s="442"/>
    </row>
    <row r="43" spans="1:12" ht="28.5" customHeight="1" x14ac:dyDescent="0.2">
      <c r="A43" s="103"/>
      <c r="B43" s="111"/>
      <c r="C43" s="593">
        <v>40</v>
      </c>
      <c r="D43" s="668" t="s">
        <v>210</v>
      </c>
      <c r="E43" s="588"/>
      <c r="F43" s="685">
        <f>SUM(F44:F45)</f>
        <v>550000000</v>
      </c>
      <c r="G43" s="685">
        <f>SUM(G44:G45)</f>
        <v>2753011221</v>
      </c>
      <c r="H43" s="685">
        <f>SUM(H44:H45)</f>
        <v>20000000</v>
      </c>
      <c r="I43" s="685">
        <f>SUM(I44:I45)</f>
        <v>3323011221</v>
      </c>
      <c r="J43" s="1"/>
      <c r="K43" s="1"/>
      <c r="L43" s="442"/>
    </row>
    <row r="44" spans="1:12" ht="31.5" x14ac:dyDescent="0.2">
      <c r="A44" s="103"/>
      <c r="B44" s="111"/>
      <c r="C44" s="111"/>
      <c r="D44" s="373">
        <v>4001</v>
      </c>
      <c r="E44" s="664" t="s">
        <v>205</v>
      </c>
      <c r="F44" s="368">
        <f>POAI!Q70</f>
        <v>100000000</v>
      </c>
      <c r="G44" s="368">
        <f>POAI!Z70</f>
        <v>0</v>
      </c>
      <c r="H44" s="368">
        <f>POAI!AA70</f>
        <v>20000000</v>
      </c>
      <c r="I44" s="368">
        <f>SUM(F44:H44)</f>
        <v>120000000</v>
      </c>
      <c r="J44" s="1"/>
      <c r="K44" s="1"/>
      <c r="L44" s="442"/>
    </row>
    <row r="45" spans="1:12" ht="31.5" x14ac:dyDescent="0.2">
      <c r="A45" s="103"/>
      <c r="B45" s="111"/>
      <c r="C45" s="111"/>
      <c r="D45" s="373">
        <v>4003</v>
      </c>
      <c r="E45" s="664" t="s">
        <v>214</v>
      </c>
      <c r="F45" s="368">
        <f>POAI!Q72</f>
        <v>450000000</v>
      </c>
      <c r="G45" s="368">
        <f>POAI!Z72</f>
        <v>2753011221</v>
      </c>
      <c r="H45" s="368">
        <f>POAI!AA72</f>
        <v>0</v>
      </c>
      <c r="I45" s="368">
        <f>SUM(F45:H45)</f>
        <v>3203011221</v>
      </c>
      <c r="J45" s="1"/>
      <c r="K45" s="1"/>
      <c r="L45" s="442"/>
    </row>
    <row r="46" spans="1:12" ht="25.5" customHeight="1" x14ac:dyDescent="0.2">
      <c r="A46" s="103"/>
      <c r="B46" s="99">
        <v>4</v>
      </c>
      <c r="C46" s="99"/>
      <c r="D46" s="365" t="s">
        <v>39</v>
      </c>
      <c r="E46" s="676"/>
      <c r="F46" s="366">
        <f>F47</f>
        <v>0</v>
      </c>
      <c r="G46" s="366">
        <f>G47</f>
        <v>0</v>
      </c>
      <c r="H46" s="366">
        <f>H47</f>
        <v>78000000</v>
      </c>
      <c r="I46" s="366">
        <f>I47</f>
        <v>78000000</v>
      </c>
      <c r="J46" s="1"/>
      <c r="K46" s="1"/>
      <c r="L46" s="442"/>
    </row>
    <row r="47" spans="1:12" ht="25.5" customHeight="1" x14ac:dyDescent="0.2">
      <c r="A47" s="103"/>
      <c r="B47" s="373"/>
      <c r="C47" s="593">
        <v>45</v>
      </c>
      <c r="D47" s="578" t="s">
        <v>1302</v>
      </c>
      <c r="E47" s="662"/>
      <c r="F47" s="665">
        <f>SUM(F48:F49)</f>
        <v>0</v>
      </c>
      <c r="G47" s="665">
        <f>SUM(G48:G49)</f>
        <v>0</v>
      </c>
      <c r="H47" s="665">
        <f>SUM(H48:H49)</f>
        <v>78000000</v>
      </c>
      <c r="I47" s="665">
        <f>SUM(I48:I49)</f>
        <v>78000000</v>
      </c>
      <c r="J47" s="1"/>
      <c r="K47" s="1"/>
      <c r="L47" s="442"/>
    </row>
    <row r="48" spans="1:12" ht="39.75" customHeight="1" x14ac:dyDescent="0.2">
      <c r="A48" s="103"/>
      <c r="B48" s="111"/>
      <c r="C48" s="111"/>
      <c r="D48" s="373">
        <v>4599</v>
      </c>
      <c r="E48" s="664" t="s">
        <v>40</v>
      </c>
      <c r="F48" s="368">
        <f>POAI!Q81</f>
        <v>0</v>
      </c>
      <c r="G48" s="368">
        <f>POAI!Z61</f>
        <v>0</v>
      </c>
      <c r="H48" s="368">
        <f>POAI!AA81</f>
        <v>40000000</v>
      </c>
      <c r="I48" s="368">
        <f>SUM(F48:H48)</f>
        <v>40000000</v>
      </c>
      <c r="J48" s="1"/>
      <c r="K48" s="1"/>
      <c r="L48" s="442"/>
    </row>
    <row r="49" spans="1:12" ht="51.75" customHeight="1" x14ac:dyDescent="0.2">
      <c r="A49" s="103"/>
      <c r="B49" s="111"/>
      <c r="C49" s="111"/>
      <c r="D49" s="373">
        <v>4502</v>
      </c>
      <c r="E49" s="664" t="s">
        <v>61</v>
      </c>
      <c r="F49" s="368">
        <f>POAI!Q83</f>
        <v>0</v>
      </c>
      <c r="G49" s="368">
        <f>POAI!Z83</f>
        <v>0</v>
      </c>
      <c r="H49" s="368">
        <f>POAI!AA83</f>
        <v>38000000</v>
      </c>
      <c r="I49" s="368">
        <f>SUM(F49:H49)</f>
        <v>38000000</v>
      </c>
    </row>
    <row r="50" spans="1:12" s="11" customFormat="1" x14ac:dyDescent="0.2">
      <c r="A50" s="381"/>
      <c r="B50" s="382"/>
      <c r="C50" s="382"/>
      <c r="D50" s="382"/>
      <c r="E50" s="682"/>
      <c r="F50" s="383"/>
      <c r="G50" s="405"/>
      <c r="H50" s="18"/>
      <c r="I50" s="18"/>
      <c r="J50" s="18"/>
      <c r="K50" s="18"/>
      <c r="L50" s="441"/>
    </row>
    <row r="51" spans="1:12" ht="38.25" customHeight="1" x14ac:dyDescent="0.2">
      <c r="A51" s="431" t="s">
        <v>8</v>
      </c>
      <c r="B51" s="432" t="s">
        <v>9</v>
      </c>
      <c r="C51" s="432"/>
      <c r="D51" s="432" t="s">
        <v>1269</v>
      </c>
      <c r="E51" s="452" t="s">
        <v>11</v>
      </c>
      <c r="F51" s="433" t="s">
        <v>1278</v>
      </c>
      <c r="G51" s="435" t="s">
        <v>1272</v>
      </c>
      <c r="H51" s="434" t="s">
        <v>1274</v>
      </c>
    </row>
    <row r="52" spans="1:12" ht="29.25" customHeight="1" x14ac:dyDescent="0.2">
      <c r="A52" s="86" t="s">
        <v>244</v>
      </c>
      <c r="B52" s="87"/>
      <c r="C52" s="87"/>
      <c r="D52" s="87"/>
      <c r="E52" s="679"/>
      <c r="F52" s="88">
        <f>F53+F65+F70</f>
        <v>1724182726</v>
      </c>
      <c r="G52" s="88">
        <f>G53+G65+G70</f>
        <v>982000000</v>
      </c>
      <c r="H52" s="88">
        <f>H53+H65+H70</f>
        <v>2706182726</v>
      </c>
      <c r="I52" s="4">
        <f>POAI!AD86</f>
        <v>2706182726</v>
      </c>
      <c r="K52" s="21"/>
    </row>
    <row r="53" spans="1:12" ht="21" customHeight="1" x14ac:dyDescent="0.2">
      <c r="A53" s="103"/>
      <c r="B53" s="99">
        <v>1</v>
      </c>
      <c r="C53" s="99"/>
      <c r="D53" s="365" t="s">
        <v>134</v>
      </c>
      <c r="E53" s="676"/>
      <c r="F53" s="366">
        <f>F54+F58+F60+F63</f>
        <v>1724182726</v>
      </c>
      <c r="G53" s="366">
        <f>G54+G58+G60+G63</f>
        <v>476000000</v>
      </c>
      <c r="H53" s="366">
        <f>H54+H58+H60+H63</f>
        <v>2200182726</v>
      </c>
    </row>
    <row r="54" spans="1:12" ht="21" customHeight="1" x14ac:dyDescent="0.2">
      <c r="A54" s="103"/>
      <c r="B54" s="373"/>
      <c r="C54" s="593">
        <v>12</v>
      </c>
      <c r="D54" s="578" t="s">
        <v>1303</v>
      </c>
      <c r="E54" s="578"/>
      <c r="F54" s="665">
        <f>SUM(F55:F57)</f>
        <v>0</v>
      </c>
      <c r="G54" s="665">
        <f>SUM(G55:G57)</f>
        <v>186000000</v>
      </c>
      <c r="H54" s="665">
        <f>SUM(H55:H57)</f>
        <v>186000000</v>
      </c>
    </row>
    <row r="55" spans="1:12" ht="31.5" customHeight="1" x14ac:dyDescent="0.2">
      <c r="A55" s="103"/>
      <c r="B55" s="111"/>
      <c r="C55" s="111"/>
      <c r="D55" s="373">
        <v>1202</v>
      </c>
      <c r="E55" s="664" t="s">
        <v>135</v>
      </c>
      <c r="F55" s="368">
        <f>POAI!R89</f>
        <v>0</v>
      </c>
      <c r="G55" s="368">
        <f>POAI!AA89</f>
        <v>114000000</v>
      </c>
      <c r="H55" s="368">
        <f>SUM(F55:G55)</f>
        <v>114000000</v>
      </c>
    </row>
    <row r="56" spans="1:12" ht="36.75" customHeight="1" x14ac:dyDescent="0.2">
      <c r="A56" s="103"/>
      <c r="B56" s="111"/>
      <c r="C56" s="111"/>
      <c r="D56" s="373">
        <v>1203</v>
      </c>
      <c r="E56" s="664" t="s">
        <v>251</v>
      </c>
      <c r="F56" s="368">
        <f>POAI!R91</f>
        <v>0</v>
      </c>
      <c r="G56" s="368">
        <f>POAI!AA91</f>
        <v>36000000</v>
      </c>
      <c r="H56" s="368">
        <f t="shared" ref="H56:H64" si="1">SUM(F56:G56)</f>
        <v>36000000</v>
      </c>
    </row>
    <row r="57" spans="1:12" ht="47.25" x14ac:dyDescent="0.2">
      <c r="A57" s="103"/>
      <c r="B57" s="111"/>
      <c r="C57" s="111"/>
      <c r="D57" s="373">
        <v>1206</v>
      </c>
      <c r="E57" s="664" t="s">
        <v>257</v>
      </c>
      <c r="F57" s="368">
        <f>POAI!R91</f>
        <v>0</v>
      </c>
      <c r="G57" s="368">
        <f>POAI!AA93</f>
        <v>36000000</v>
      </c>
      <c r="H57" s="368">
        <f t="shared" si="1"/>
        <v>36000000</v>
      </c>
    </row>
    <row r="58" spans="1:12" ht="27.75" customHeight="1" x14ac:dyDescent="0.2">
      <c r="A58" s="103"/>
      <c r="B58" s="111"/>
      <c r="C58" s="593">
        <v>22</v>
      </c>
      <c r="D58" s="687" t="s">
        <v>266</v>
      </c>
      <c r="E58" s="688"/>
      <c r="F58" s="684">
        <f>F59</f>
        <v>0</v>
      </c>
      <c r="G58" s="684">
        <f>G59</f>
        <v>30000000</v>
      </c>
      <c r="H58" s="684">
        <f>H59</f>
        <v>30000000</v>
      </c>
    </row>
    <row r="59" spans="1:12" ht="32.25" customHeight="1" x14ac:dyDescent="0.2">
      <c r="A59" s="103"/>
      <c r="B59" s="111"/>
      <c r="C59" s="111"/>
      <c r="D59" s="373">
        <v>2201</v>
      </c>
      <c r="E59" s="664" t="s">
        <v>152</v>
      </c>
      <c r="F59" s="368">
        <f>POAI!R96</f>
        <v>0</v>
      </c>
      <c r="G59" s="368">
        <f>POAI!AA96</f>
        <v>30000000</v>
      </c>
      <c r="H59" s="368">
        <f t="shared" si="1"/>
        <v>30000000</v>
      </c>
    </row>
    <row r="60" spans="1:12" ht="32.25" customHeight="1" x14ac:dyDescent="0.2">
      <c r="A60" s="103"/>
      <c r="B60" s="111"/>
      <c r="C60" s="593">
        <v>41</v>
      </c>
      <c r="D60" s="578" t="s">
        <v>1308</v>
      </c>
      <c r="E60" s="578"/>
      <c r="F60" s="665">
        <f>SUM(F61:F62)</f>
        <v>0</v>
      </c>
      <c r="G60" s="665">
        <f>SUM(G61:G62)</f>
        <v>224000000</v>
      </c>
      <c r="H60" s="665">
        <f>SUM(H61:H62)</f>
        <v>224000000</v>
      </c>
    </row>
    <row r="61" spans="1:12" ht="31.5" x14ac:dyDescent="0.2">
      <c r="A61" s="103"/>
      <c r="B61" s="111"/>
      <c r="C61" s="111"/>
      <c r="D61" s="373">
        <v>4101</v>
      </c>
      <c r="E61" s="664" t="s">
        <v>270</v>
      </c>
      <c r="F61" s="368">
        <f>POAI!R99</f>
        <v>0</v>
      </c>
      <c r="G61" s="368">
        <f>POAI!AA99</f>
        <v>206000000</v>
      </c>
      <c r="H61" s="368">
        <f t="shared" si="1"/>
        <v>206000000</v>
      </c>
    </row>
    <row r="62" spans="1:12" ht="30.75" customHeight="1" x14ac:dyDescent="0.2">
      <c r="A62" s="103"/>
      <c r="B62" s="111"/>
      <c r="C62" s="111"/>
      <c r="D62" s="373">
        <v>4103</v>
      </c>
      <c r="E62" s="664" t="s">
        <v>287</v>
      </c>
      <c r="F62" s="368">
        <f>POAI!R105</f>
        <v>0</v>
      </c>
      <c r="G62" s="368">
        <f>POAI!AA105</f>
        <v>18000000</v>
      </c>
      <c r="H62" s="368">
        <f t="shared" si="1"/>
        <v>18000000</v>
      </c>
      <c r="I62" s="1"/>
      <c r="J62" s="1"/>
      <c r="K62" s="1"/>
      <c r="L62" s="442"/>
    </row>
    <row r="63" spans="1:12" ht="30.75" customHeight="1" x14ac:dyDescent="0.2">
      <c r="A63" s="103"/>
      <c r="B63" s="111"/>
      <c r="C63" s="593">
        <v>45</v>
      </c>
      <c r="D63" s="578" t="s">
        <v>1302</v>
      </c>
      <c r="E63" s="578"/>
      <c r="F63" s="665">
        <f>F64</f>
        <v>1724182726</v>
      </c>
      <c r="G63" s="665">
        <f>G64</f>
        <v>36000000</v>
      </c>
      <c r="H63" s="665">
        <f>H64</f>
        <v>1760182726</v>
      </c>
      <c r="I63" s="1"/>
      <c r="J63" s="1"/>
      <c r="K63" s="1"/>
      <c r="L63" s="442"/>
    </row>
    <row r="64" spans="1:12" ht="31.5" x14ac:dyDescent="0.2">
      <c r="A64" s="103"/>
      <c r="B64" s="111"/>
      <c r="C64" s="111"/>
      <c r="D64" s="373">
        <v>4501</v>
      </c>
      <c r="E64" s="664" t="s">
        <v>296</v>
      </c>
      <c r="F64" s="368">
        <f>POAI!R108</f>
        <v>1724182726</v>
      </c>
      <c r="G64" s="368">
        <f>POAI!AA108</f>
        <v>36000000</v>
      </c>
      <c r="H64" s="368">
        <f t="shared" si="1"/>
        <v>1760182726</v>
      </c>
      <c r="I64" s="1"/>
      <c r="J64" s="1"/>
      <c r="K64" s="1"/>
      <c r="L64" s="442"/>
    </row>
    <row r="65" spans="1:12" ht="20.25" customHeight="1" x14ac:dyDescent="0.2">
      <c r="A65" s="103"/>
      <c r="B65" s="99">
        <v>3</v>
      </c>
      <c r="C65" s="99"/>
      <c r="D65" s="365" t="s">
        <v>175</v>
      </c>
      <c r="E65" s="676"/>
      <c r="F65" s="366">
        <f>F66+F68</f>
        <v>0</v>
      </c>
      <c r="G65" s="366">
        <f>G66+G68</f>
        <v>193000000</v>
      </c>
      <c r="H65" s="366">
        <f>H66+H68</f>
        <v>193000000</v>
      </c>
      <c r="I65" s="1"/>
      <c r="J65" s="1"/>
      <c r="K65" s="1"/>
      <c r="L65" s="442"/>
    </row>
    <row r="66" spans="1:12" ht="20.25" customHeight="1" x14ac:dyDescent="0.2">
      <c r="A66" s="103"/>
      <c r="B66" s="373"/>
      <c r="C66" s="593">
        <v>22</v>
      </c>
      <c r="D66" s="668" t="s">
        <v>266</v>
      </c>
      <c r="E66" s="667"/>
      <c r="F66" s="665">
        <f>F67</f>
        <v>0</v>
      </c>
      <c r="G66" s="665">
        <f>G67</f>
        <v>45000000</v>
      </c>
      <c r="H66" s="665">
        <f>H67</f>
        <v>45000000</v>
      </c>
      <c r="I66" s="1"/>
      <c r="J66" s="1"/>
      <c r="K66" s="1"/>
      <c r="L66" s="442"/>
    </row>
    <row r="67" spans="1:12" s="374" customFormat="1" ht="31.5" x14ac:dyDescent="0.2">
      <c r="A67" s="372"/>
      <c r="B67" s="373"/>
      <c r="C67" s="373"/>
      <c r="D67" s="373">
        <v>3205</v>
      </c>
      <c r="E67" s="664" t="s">
        <v>191</v>
      </c>
      <c r="F67" s="368">
        <f>POAI!R113</f>
        <v>0</v>
      </c>
      <c r="G67" s="368">
        <f>POAI!AA113</f>
        <v>45000000</v>
      </c>
      <c r="H67" s="368">
        <f>SUM(F67:G67)</f>
        <v>45000000</v>
      </c>
      <c r="L67" s="440"/>
    </row>
    <row r="68" spans="1:12" s="374" customFormat="1" ht="24" customHeight="1" x14ac:dyDescent="0.2">
      <c r="A68" s="372"/>
      <c r="B68" s="373"/>
      <c r="C68" s="593">
        <v>45</v>
      </c>
      <c r="D68" s="578" t="s">
        <v>1302</v>
      </c>
      <c r="E68" s="662"/>
      <c r="F68" s="665">
        <f>F69</f>
        <v>0</v>
      </c>
      <c r="G68" s="665">
        <f>G69</f>
        <v>148000000</v>
      </c>
      <c r="H68" s="665">
        <f>H69</f>
        <v>148000000</v>
      </c>
      <c r="L68" s="440"/>
    </row>
    <row r="69" spans="1:12" s="374" customFormat="1" ht="31.5" x14ac:dyDescent="0.2">
      <c r="A69" s="372"/>
      <c r="B69" s="373"/>
      <c r="C69" s="373"/>
      <c r="D69" s="373">
        <v>4503</v>
      </c>
      <c r="E69" s="664" t="s">
        <v>317</v>
      </c>
      <c r="F69" s="368">
        <f>POAI!R116</f>
        <v>0</v>
      </c>
      <c r="G69" s="368">
        <f>POAI!AA116</f>
        <v>148000000</v>
      </c>
      <c r="H69" s="368">
        <f>SUM(F69:G69)</f>
        <v>148000000</v>
      </c>
      <c r="L69" s="440"/>
    </row>
    <row r="70" spans="1:12" ht="22.5" customHeight="1" x14ac:dyDescent="0.2">
      <c r="A70" s="103"/>
      <c r="B70" s="99">
        <v>4</v>
      </c>
      <c r="C70" s="99"/>
      <c r="D70" s="365" t="s">
        <v>39</v>
      </c>
      <c r="E70" s="676"/>
      <c r="F70" s="366">
        <f t="shared" ref="F70:H71" si="2">F71</f>
        <v>0</v>
      </c>
      <c r="G70" s="366">
        <f t="shared" si="2"/>
        <v>313000000</v>
      </c>
      <c r="H70" s="366">
        <f t="shared" si="2"/>
        <v>313000000</v>
      </c>
      <c r="I70" s="1"/>
      <c r="J70" s="1"/>
      <c r="K70" s="1"/>
      <c r="L70" s="442"/>
    </row>
    <row r="71" spans="1:12" ht="22.5" customHeight="1" x14ac:dyDescent="0.2">
      <c r="A71" s="103"/>
      <c r="B71" s="373"/>
      <c r="C71" s="593">
        <v>45</v>
      </c>
      <c r="D71" s="578" t="s">
        <v>1302</v>
      </c>
      <c r="E71" s="662"/>
      <c r="F71" s="665">
        <f t="shared" si="2"/>
        <v>0</v>
      </c>
      <c r="G71" s="665">
        <f t="shared" si="2"/>
        <v>313000000</v>
      </c>
      <c r="H71" s="665">
        <f t="shared" si="2"/>
        <v>313000000</v>
      </c>
      <c r="I71" s="1"/>
      <c r="J71" s="1"/>
      <c r="K71" s="1"/>
      <c r="L71" s="442"/>
    </row>
    <row r="72" spans="1:12" s="374" customFormat="1" ht="47.25" x14ac:dyDescent="0.2">
      <c r="A72" s="372"/>
      <c r="B72" s="394"/>
      <c r="C72" s="394"/>
      <c r="D72" s="373">
        <v>4502</v>
      </c>
      <c r="E72" s="664" t="s">
        <v>61</v>
      </c>
      <c r="F72" s="369">
        <f>POAI!R122</f>
        <v>0</v>
      </c>
      <c r="G72" s="369">
        <f>POAI!AA122</f>
        <v>313000000</v>
      </c>
      <c r="H72" s="368">
        <f>SUM(F72:G72)</f>
        <v>313000000</v>
      </c>
      <c r="L72" s="440"/>
    </row>
    <row r="73" spans="1:12" s="11" customFormat="1" x14ac:dyDescent="0.2">
      <c r="A73" s="381"/>
      <c r="B73" s="382"/>
      <c r="C73" s="382"/>
      <c r="D73" s="382"/>
      <c r="E73" s="682"/>
      <c r="F73" s="383"/>
      <c r="G73" s="405"/>
      <c r="H73" s="18"/>
      <c r="I73" s="18"/>
      <c r="J73" s="18"/>
      <c r="K73" s="18"/>
      <c r="L73" s="441"/>
    </row>
    <row r="74" spans="1:12" ht="35.25" customHeight="1" x14ac:dyDescent="0.2">
      <c r="A74" s="431" t="s">
        <v>8</v>
      </c>
      <c r="B74" s="432" t="s">
        <v>9</v>
      </c>
      <c r="C74" s="432"/>
      <c r="D74" s="432" t="s">
        <v>1269</v>
      </c>
      <c r="E74" s="452" t="s">
        <v>11</v>
      </c>
      <c r="F74" s="433" t="s">
        <v>1279</v>
      </c>
      <c r="G74" s="435" t="s">
        <v>1272</v>
      </c>
      <c r="H74" s="434" t="s">
        <v>1280</v>
      </c>
      <c r="I74" s="434" t="s">
        <v>1274</v>
      </c>
    </row>
    <row r="75" spans="1:12" ht="32.25" customHeight="1" x14ac:dyDescent="0.2">
      <c r="A75" s="86" t="s">
        <v>337</v>
      </c>
      <c r="B75" s="87"/>
      <c r="C75" s="87"/>
      <c r="D75" s="87"/>
      <c r="E75" s="679"/>
      <c r="F75" s="88">
        <f>F76</f>
        <v>1471859959</v>
      </c>
      <c r="G75" s="88">
        <f t="shared" ref="G75:I76" si="3">G76</f>
        <v>795000000</v>
      </c>
      <c r="H75" s="88">
        <f t="shared" si="3"/>
        <v>263038142</v>
      </c>
      <c r="I75" s="88">
        <f t="shared" si="3"/>
        <v>2529898101</v>
      </c>
      <c r="J75" s="22">
        <f>POAI!AD129</f>
        <v>2529898101</v>
      </c>
      <c r="K75" s="1"/>
      <c r="L75" s="442"/>
    </row>
    <row r="76" spans="1:12" ht="20.25" customHeight="1" x14ac:dyDescent="0.2">
      <c r="A76" s="103"/>
      <c r="B76" s="99">
        <v>1</v>
      </c>
      <c r="C76" s="99"/>
      <c r="D76" s="365" t="s">
        <v>134</v>
      </c>
      <c r="E76" s="676"/>
      <c r="F76" s="366">
        <f>F77</f>
        <v>1471859959</v>
      </c>
      <c r="G76" s="366">
        <f t="shared" si="3"/>
        <v>795000000</v>
      </c>
      <c r="H76" s="366">
        <f t="shared" si="3"/>
        <v>263038142</v>
      </c>
      <c r="I76" s="366">
        <f>I77</f>
        <v>2529898101</v>
      </c>
      <c r="J76" s="1"/>
      <c r="K76" s="1"/>
      <c r="L76" s="442"/>
    </row>
    <row r="77" spans="1:12" ht="20.25" customHeight="1" x14ac:dyDescent="0.2">
      <c r="A77" s="103"/>
      <c r="B77" s="373"/>
      <c r="C77" s="593">
        <v>33</v>
      </c>
      <c r="D77" s="668" t="s">
        <v>1305</v>
      </c>
      <c r="E77" s="667"/>
      <c r="F77" s="665">
        <f>SUM(F78:F79)</f>
        <v>1471859959</v>
      </c>
      <c r="G77" s="665">
        <f>SUM(G78:G79)</f>
        <v>795000000</v>
      </c>
      <c r="H77" s="665">
        <f>SUM(H78:H79)</f>
        <v>263038142</v>
      </c>
      <c r="I77" s="665">
        <f>SUM(I78:I79)</f>
        <v>2529898101</v>
      </c>
      <c r="J77" s="1"/>
      <c r="K77" s="1"/>
      <c r="L77" s="442"/>
    </row>
    <row r="78" spans="1:12" s="374" customFormat="1" ht="54.75" customHeight="1" x14ac:dyDescent="0.2">
      <c r="A78" s="372"/>
      <c r="B78" s="373"/>
      <c r="C78" s="373"/>
      <c r="D78" s="373">
        <v>3301</v>
      </c>
      <c r="E78" s="664" t="s">
        <v>159</v>
      </c>
      <c r="F78" s="368">
        <f>POAI!Q132</f>
        <v>1471859959</v>
      </c>
      <c r="G78" s="368">
        <f>POAI!AA132</f>
        <v>662000000</v>
      </c>
      <c r="H78" s="368">
        <f>POAI!AB132</f>
        <v>0</v>
      </c>
      <c r="I78" s="368">
        <f>SUM(F78:H78)</f>
        <v>2133859959</v>
      </c>
      <c r="L78" s="440"/>
    </row>
    <row r="79" spans="1:12" s="374" customFormat="1" ht="60" customHeight="1" x14ac:dyDescent="0.2">
      <c r="A79" s="372"/>
      <c r="B79" s="373"/>
      <c r="C79" s="373"/>
      <c r="D79" s="373">
        <v>3302</v>
      </c>
      <c r="E79" s="664" t="s">
        <v>368</v>
      </c>
      <c r="F79" s="369">
        <f>POAI!Q140</f>
        <v>0</v>
      </c>
      <c r="G79" s="369">
        <f>POAI!AA140</f>
        <v>133000000</v>
      </c>
      <c r="H79" s="369">
        <f>POAI!AB140</f>
        <v>263038142</v>
      </c>
      <c r="I79" s="368">
        <f>SUM(F79:H79)</f>
        <v>396038142</v>
      </c>
      <c r="L79" s="440"/>
    </row>
    <row r="80" spans="1:12" s="11" customFormat="1" x14ac:dyDescent="0.2">
      <c r="A80" s="381"/>
      <c r="B80" s="382"/>
      <c r="C80" s="382"/>
      <c r="D80" s="382"/>
      <c r="E80" s="682"/>
      <c r="F80" s="383"/>
      <c r="G80" s="405"/>
      <c r="H80" s="18"/>
      <c r="I80" s="18"/>
      <c r="J80" s="18"/>
      <c r="K80" s="18"/>
      <c r="L80" s="441"/>
    </row>
    <row r="81" spans="1:12" ht="33.75" customHeight="1" x14ac:dyDescent="0.2">
      <c r="A81" s="431" t="s">
        <v>8</v>
      </c>
      <c r="B81" s="432" t="s">
        <v>9</v>
      </c>
      <c r="C81" s="432"/>
      <c r="D81" s="432" t="s">
        <v>1269</v>
      </c>
      <c r="E81" s="452" t="s">
        <v>11</v>
      </c>
      <c r="F81" s="433" t="s">
        <v>1272</v>
      </c>
      <c r="G81" s="435" t="s">
        <v>1281</v>
      </c>
      <c r="H81" s="434" t="s">
        <v>1274</v>
      </c>
    </row>
    <row r="82" spans="1:12" ht="36.75" customHeight="1" x14ac:dyDescent="0.2">
      <c r="A82" s="86" t="s">
        <v>378</v>
      </c>
      <c r="B82" s="87"/>
      <c r="C82" s="87"/>
      <c r="D82" s="87"/>
      <c r="E82" s="679"/>
      <c r="F82" s="88">
        <f>F83</f>
        <v>762500000</v>
      </c>
      <c r="G82" s="88">
        <f>G83</f>
        <v>664872304</v>
      </c>
      <c r="H82" s="88">
        <f>H83</f>
        <v>1427372304</v>
      </c>
      <c r="I82" s="22">
        <f>POAI!AD144</f>
        <v>1427372304</v>
      </c>
      <c r="J82" s="1"/>
      <c r="K82" s="1"/>
      <c r="L82" s="442"/>
    </row>
    <row r="83" spans="1:12" ht="23.25" customHeight="1" x14ac:dyDescent="0.2">
      <c r="A83" s="103"/>
      <c r="B83" s="395">
        <v>2</v>
      </c>
      <c r="C83" s="395"/>
      <c r="D83" s="365" t="s">
        <v>379</v>
      </c>
      <c r="E83" s="676"/>
      <c r="F83" s="366">
        <f>F84+F86</f>
        <v>762500000</v>
      </c>
      <c r="G83" s="366">
        <f>G84+G86</f>
        <v>664872304</v>
      </c>
      <c r="H83" s="366">
        <f>H84+H86</f>
        <v>1427372304</v>
      </c>
      <c r="I83" s="1"/>
      <c r="J83" s="1"/>
      <c r="K83" s="1"/>
      <c r="L83" s="442"/>
    </row>
    <row r="84" spans="1:12" ht="23.25" customHeight="1" x14ac:dyDescent="0.2">
      <c r="A84" s="103"/>
      <c r="B84" s="373"/>
      <c r="C84" s="593">
        <v>35</v>
      </c>
      <c r="D84" s="578" t="s">
        <v>1309</v>
      </c>
      <c r="E84" s="662"/>
      <c r="F84" s="665">
        <f>F85</f>
        <v>525000000</v>
      </c>
      <c r="G84" s="665">
        <f>G85</f>
        <v>664872304</v>
      </c>
      <c r="H84" s="665">
        <f>H85</f>
        <v>1189872304</v>
      </c>
      <c r="I84" s="1"/>
      <c r="J84" s="1"/>
      <c r="K84" s="1"/>
      <c r="L84" s="442"/>
    </row>
    <row r="85" spans="1:12" s="374" customFormat="1" ht="31.5" x14ac:dyDescent="0.2">
      <c r="A85" s="372"/>
      <c r="B85" s="373"/>
      <c r="C85" s="373"/>
      <c r="D85" s="367">
        <v>3502</v>
      </c>
      <c r="E85" s="664" t="s">
        <v>380</v>
      </c>
      <c r="F85" s="368">
        <f>POAI!AA147</f>
        <v>525000000</v>
      </c>
      <c r="G85" s="368">
        <f>POAI!AB147</f>
        <v>664872304</v>
      </c>
      <c r="H85" s="368">
        <f>SUM(F85:G85)</f>
        <v>1189872304</v>
      </c>
      <c r="L85" s="440"/>
    </row>
    <row r="86" spans="1:12" s="374" customFormat="1" ht="26.25" customHeight="1" x14ac:dyDescent="0.2">
      <c r="A86" s="372"/>
      <c r="B86" s="373"/>
      <c r="C86" s="593">
        <v>36</v>
      </c>
      <c r="D86" s="668" t="s">
        <v>1310</v>
      </c>
      <c r="E86" s="667"/>
      <c r="F86" s="689">
        <f>F87</f>
        <v>237500000</v>
      </c>
      <c r="G86" s="689">
        <f>G87</f>
        <v>0</v>
      </c>
      <c r="H86" s="689">
        <f>H87</f>
        <v>237500000</v>
      </c>
      <c r="L86" s="440"/>
    </row>
    <row r="87" spans="1:12" s="374" customFormat="1" ht="31.5" x14ac:dyDescent="0.2">
      <c r="A87" s="372"/>
      <c r="B87" s="373"/>
      <c r="C87" s="373"/>
      <c r="D87" s="367">
        <v>3602</v>
      </c>
      <c r="E87" s="664" t="s">
        <v>414</v>
      </c>
      <c r="F87" s="368">
        <f>POAI!AA157</f>
        <v>237500000</v>
      </c>
      <c r="G87" s="368">
        <f>POAI!AB157</f>
        <v>0</v>
      </c>
      <c r="H87" s="368">
        <f>SUM(F87:G87)</f>
        <v>237500000</v>
      </c>
      <c r="L87" s="440"/>
    </row>
    <row r="88" spans="1:12" s="11" customFormat="1" x14ac:dyDescent="0.2">
      <c r="A88" s="381"/>
      <c r="B88" s="382"/>
      <c r="C88" s="382"/>
      <c r="D88" s="382"/>
      <c r="E88" s="682"/>
      <c r="F88" s="383"/>
      <c r="G88" s="405"/>
      <c r="H88" s="18"/>
      <c r="I88" s="18"/>
      <c r="J88" s="18"/>
      <c r="K88" s="18"/>
      <c r="L88" s="441"/>
    </row>
    <row r="89" spans="1:12" s="11" customFormat="1" ht="34.5" customHeight="1" x14ac:dyDescent="0.2">
      <c r="A89" s="431" t="s">
        <v>8</v>
      </c>
      <c r="B89" s="432" t="s">
        <v>9</v>
      </c>
      <c r="C89" s="432"/>
      <c r="D89" s="432" t="s">
        <v>1269</v>
      </c>
      <c r="E89" s="452" t="s">
        <v>11</v>
      </c>
      <c r="F89" s="433" t="s">
        <v>1272</v>
      </c>
      <c r="G89" s="405"/>
      <c r="H89" s="18"/>
      <c r="I89" s="18"/>
      <c r="J89" s="18"/>
      <c r="K89" s="18"/>
      <c r="L89" s="441"/>
    </row>
    <row r="90" spans="1:12" ht="29.25" customHeight="1" x14ac:dyDescent="0.2">
      <c r="A90" s="86" t="s">
        <v>430</v>
      </c>
      <c r="B90" s="87"/>
      <c r="C90" s="87"/>
      <c r="D90" s="87"/>
      <c r="E90" s="679"/>
      <c r="F90" s="88">
        <f>F91+F102</f>
        <v>2573248186</v>
      </c>
      <c r="G90" s="21">
        <f>POAI!AD163</f>
        <v>2573248186</v>
      </c>
    </row>
    <row r="91" spans="1:12" ht="26.25" customHeight="1" x14ac:dyDescent="0.2">
      <c r="A91" s="103"/>
      <c r="B91" s="99">
        <v>2</v>
      </c>
      <c r="C91" s="99"/>
      <c r="D91" s="365" t="s">
        <v>379</v>
      </c>
      <c r="E91" s="676"/>
      <c r="F91" s="366">
        <f>F92+F100</f>
        <v>1226000000</v>
      </c>
      <c r="G91" s="23"/>
      <c r="H91" s="23"/>
      <c r="I91" s="23"/>
      <c r="J91" s="23"/>
      <c r="K91" s="24"/>
    </row>
    <row r="92" spans="1:12" ht="26.25" customHeight="1" x14ac:dyDescent="0.2">
      <c r="A92" s="103"/>
      <c r="C92" s="593">
        <v>17</v>
      </c>
      <c r="D92" s="578" t="s">
        <v>1311</v>
      </c>
      <c r="E92" s="662"/>
      <c r="F92" s="665">
        <f>SUM(F93:F99)</f>
        <v>1190000000</v>
      </c>
      <c r="G92" s="23"/>
      <c r="H92" s="23"/>
      <c r="I92" s="23"/>
      <c r="J92" s="23"/>
      <c r="K92" s="24"/>
    </row>
    <row r="93" spans="1:12" ht="39.75" customHeight="1" x14ac:dyDescent="0.2">
      <c r="A93" s="103"/>
      <c r="B93" s="111"/>
      <c r="C93" s="111"/>
      <c r="D93" s="373">
        <v>1702</v>
      </c>
      <c r="E93" s="664" t="s">
        <v>431</v>
      </c>
      <c r="F93" s="368">
        <f>POAI!AA166</f>
        <v>834000000</v>
      </c>
      <c r="G93" s="23"/>
      <c r="H93" s="23"/>
      <c r="I93" s="23"/>
      <c r="J93" s="23"/>
      <c r="K93" s="24"/>
    </row>
    <row r="94" spans="1:12" ht="39.75" customHeight="1" x14ac:dyDescent="0.2">
      <c r="A94" s="103"/>
      <c r="B94" s="111"/>
      <c r="C94" s="111"/>
      <c r="D94" s="373">
        <v>1703</v>
      </c>
      <c r="E94" s="664" t="s">
        <v>481</v>
      </c>
      <c r="F94" s="368">
        <f>POAI!AA178</f>
        <v>75000000</v>
      </c>
      <c r="G94" s="23"/>
      <c r="H94" s="23"/>
      <c r="I94" s="23"/>
      <c r="J94" s="23"/>
      <c r="K94" s="24"/>
      <c r="L94" s="442"/>
    </row>
    <row r="95" spans="1:12" ht="39.75" customHeight="1" x14ac:dyDescent="0.2">
      <c r="A95" s="103"/>
      <c r="B95" s="111"/>
      <c r="C95" s="111"/>
      <c r="D95" s="373">
        <v>1704</v>
      </c>
      <c r="E95" s="664" t="s">
        <v>488</v>
      </c>
      <c r="F95" s="368">
        <f>POAI!AA180</f>
        <v>70000000</v>
      </c>
      <c r="G95" s="28"/>
      <c r="H95" s="28"/>
      <c r="I95" s="28"/>
      <c r="J95" s="28"/>
      <c r="K95" s="24"/>
      <c r="L95" s="442"/>
    </row>
    <row r="96" spans="1:12" ht="39.75" customHeight="1" x14ac:dyDescent="0.2">
      <c r="A96" s="103"/>
      <c r="B96" s="111"/>
      <c r="C96" s="111"/>
      <c r="D96" s="373">
        <v>1706</v>
      </c>
      <c r="E96" s="664" t="s">
        <v>497</v>
      </c>
      <c r="F96" s="368">
        <f>POAI!AA183</f>
        <v>20000000</v>
      </c>
      <c r="G96" s="23"/>
      <c r="H96" s="23"/>
      <c r="I96" s="23"/>
      <c r="J96" s="23"/>
      <c r="K96" s="24"/>
      <c r="L96" s="442"/>
    </row>
    <row r="97" spans="1:12" ht="39.75" customHeight="1" x14ac:dyDescent="0.2">
      <c r="A97" s="103"/>
      <c r="B97" s="111"/>
      <c r="C97" s="111"/>
      <c r="D97" s="373">
        <v>1707</v>
      </c>
      <c r="E97" s="664" t="s">
        <v>504</v>
      </c>
      <c r="F97" s="368">
        <f>POAI!AA185</f>
        <v>43000000</v>
      </c>
      <c r="G97" s="23"/>
      <c r="H97" s="23"/>
      <c r="I97" s="23"/>
      <c r="J97" s="23"/>
      <c r="K97" s="24"/>
      <c r="L97" s="442"/>
    </row>
    <row r="98" spans="1:12" ht="39.75" customHeight="1" x14ac:dyDescent="0.2">
      <c r="A98" s="103"/>
      <c r="B98" s="111"/>
      <c r="C98" s="111"/>
      <c r="D98" s="373">
        <v>1708</v>
      </c>
      <c r="E98" s="664" t="s">
        <v>511</v>
      </c>
      <c r="F98" s="368">
        <f>POAI!AA187</f>
        <v>40000000</v>
      </c>
      <c r="G98" s="23"/>
      <c r="H98" s="23"/>
      <c r="I98" s="23"/>
      <c r="J98" s="23"/>
      <c r="K98" s="24"/>
    </row>
    <row r="99" spans="1:12" ht="39.75" customHeight="1" x14ac:dyDescent="0.2">
      <c r="A99" s="103"/>
      <c r="B99" s="111"/>
      <c r="C99" s="111"/>
      <c r="D99" s="373">
        <v>1709</v>
      </c>
      <c r="E99" s="664" t="s">
        <v>520</v>
      </c>
      <c r="F99" s="368">
        <f>POAI!AA190</f>
        <v>108000000</v>
      </c>
      <c r="G99" s="28"/>
      <c r="H99" s="28"/>
      <c r="I99" s="28"/>
      <c r="J99" s="28"/>
      <c r="K99" s="24"/>
    </row>
    <row r="100" spans="1:12" ht="25.5" customHeight="1" x14ac:dyDescent="0.2">
      <c r="A100" s="103"/>
      <c r="B100" s="111"/>
      <c r="C100" s="593">
        <v>35</v>
      </c>
      <c r="D100" s="578" t="s">
        <v>1309</v>
      </c>
      <c r="E100" s="662"/>
      <c r="F100" s="665">
        <f>F101</f>
        <v>36000000</v>
      </c>
      <c r="G100" s="28"/>
      <c r="H100" s="28"/>
      <c r="I100" s="28"/>
      <c r="J100" s="28"/>
      <c r="K100" s="24"/>
    </row>
    <row r="101" spans="1:12" ht="39.75" customHeight="1" x14ac:dyDescent="0.2">
      <c r="A101" s="103"/>
      <c r="B101" s="111"/>
      <c r="C101" s="111"/>
      <c r="D101" s="373">
        <v>3502</v>
      </c>
      <c r="E101" s="664" t="s">
        <v>380</v>
      </c>
      <c r="F101" s="368">
        <f>POAI!AA195</f>
        <v>36000000</v>
      </c>
      <c r="G101" s="23"/>
      <c r="H101" s="23"/>
      <c r="I101" s="23"/>
      <c r="J101" s="23"/>
      <c r="K101" s="24"/>
    </row>
    <row r="102" spans="1:12" ht="24.75" customHeight="1" x14ac:dyDescent="0.2">
      <c r="A102" s="103"/>
      <c r="B102" s="99">
        <v>3</v>
      </c>
      <c r="C102" s="99"/>
      <c r="D102" s="365" t="s">
        <v>175</v>
      </c>
      <c r="E102" s="676"/>
      <c r="F102" s="366">
        <f>F103</f>
        <v>1347248186</v>
      </c>
      <c r="G102" s="23"/>
      <c r="H102" s="23"/>
      <c r="I102" s="23"/>
      <c r="J102" s="23"/>
      <c r="K102" s="24"/>
    </row>
    <row r="103" spans="1:12" ht="24.75" customHeight="1" x14ac:dyDescent="0.2">
      <c r="A103" s="103"/>
      <c r="B103" s="373"/>
      <c r="C103" s="593">
        <v>32</v>
      </c>
      <c r="D103" s="578" t="s">
        <v>1307</v>
      </c>
      <c r="E103" s="662"/>
      <c r="F103" s="665">
        <f>SUM(F104:F108)</f>
        <v>1347248186</v>
      </c>
      <c r="G103" s="23"/>
      <c r="H103" s="23"/>
      <c r="I103" s="23"/>
      <c r="J103" s="23"/>
      <c r="K103" s="24"/>
    </row>
    <row r="104" spans="1:12" s="374" customFormat="1" ht="39.75" customHeight="1" x14ac:dyDescent="0.2">
      <c r="A104" s="372"/>
      <c r="B104" s="373"/>
      <c r="C104" s="373"/>
      <c r="D104" s="373" t="s">
        <v>539</v>
      </c>
      <c r="E104" s="664" t="s">
        <v>540</v>
      </c>
      <c r="F104" s="368">
        <f>POAI!AA200</f>
        <v>82000000</v>
      </c>
      <c r="G104" s="393"/>
      <c r="H104" s="393"/>
      <c r="I104" s="393"/>
      <c r="J104" s="393"/>
      <c r="K104" s="26"/>
      <c r="L104" s="440"/>
    </row>
    <row r="105" spans="1:12" s="374" customFormat="1" ht="39.75" customHeight="1" x14ac:dyDescent="0.2">
      <c r="A105" s="372"/>
      <c r="B105" s="373"/>
      <c r="C105" s="373"/>
      <c r="D105" s="373" t="s">
        <v>550</v>
      </c>
      <c r="E105" s="664" t="s">
        <v>551</v>
      </c>
      <c r="F105" s="368">
        <f>POAI!AA203</f>
        <v>945248186</v>
      </c>
      <c r="G105" s="393"/>
      <c r="H105" s="393"/>
      <c r="I105" s="393"/>
      <c r="J105" s="393"/>
      <c r="K105" s="26"/>
      <c r="L105" s="440"/>
    </row>
    <row r="106" spans="1:12" s="374" customFormat="1" ht="35.25" customHeight="1" x14ac:dyDescent="0.2">
      <c r="A106" s="372"/>
      <c r="B106" s="373"/>
      <c r="C106" s="373"/>
      <c r="D106" s="373" t="s">
        <v>576</v>
      </c>
      <c r="E106" s="664" t="s">
        <v>577</v>
      </c>
      <c r="F106" s="368">
        <f>POAI!AA210</f>
        <v>120000000</v>
      </c>
      <c r="G106" s="393"/>
      <c r="H106" s="393"/>
      <c r="I106" s="393"/>
      <c r="J106" s="393"/>
      <c r="K106" s="26"/>
      <c r="L106" s="440"/>
    </row>
    <row r="107" spans="1:12" s="374" customFormat="1" ht="32.25" customHeight="1" x14ac:dyDescent="0.2">
      <c r="A107" s="372"/>
      <c r="B107" s="373"/>
      <c r="C107" s="373"/>
      <c r="D107" s="373">
        <v>3205</v>
      </c>
      <c r="E107" s="664" t="s">
        <v>191</v>
      </c>
      <c r="F107" s="368">
        <f>POAI!AA212</f>
        <v>82000000</v>
      </c>
      <c r="G107" s="393"/>
      <c r="H107" s="393"/>
      <c r="I107" s="393"/>
      <c r="J107" s="393"/>
      <c r="K107" s="26"/>
      <c r="L107" s="440"/>
    </row>
    <row r="108" spans="1:12" s="374" customFormat="1" ht="51.75" customHeight="1" x14ac:dyDescent="0.2">
      <c r="A108" s="372"/>
      <c r="B108" s="373"/>
      <c r="C108" s="373"/>
      <c r="D108" s="373" t="s">
        <v>595</v>
      </c>
      <c r="E108" s="664" t="s">
        <v>596</v>
      </c>
      <c r="F108" s="368">
        <f>POAI!AA216</f>
        <v>118000000</v>
      </c>
      <c r="G108" s="393"/>
      <c r="H108" s="393"/>
      <c r="I108" s="393"/>
      <c r="J108" s="393"/>
      <c r="K108" s="26"/>
      <c r="L108" s="440"/>
    </row>
    <row r="109" spans="1:12" s="11" customFormat="1" x14ac:dyDescent="0.2">
      <c r="A109" s="381"/>
      <c r="B109" s="382"/>
      <c r="C109" s="382"/>
      <c r="D109" s="382"/>
      <c r="E109" s="682"/>
      <c r="F109" s="383"/>
      <c r="G109" s="405"/>
      <c r="H109" s="18"/>
      <c r="I109" s="18"/>
      <c r="J109" s="18"/>
      <c r="K109" s="18"/>
      <c r="L109" s="441"/>
    </row>
    <row r="110" spans="1:12" s="11" customFormat="1" ht="33.75" customHeight="1" x14ac:dyDescent="0.2">
      <c r="A110" s="431" t="s">
        <v>8</v>
      </c>
      <c r="B110" s="432" t="s">
        <v>9</v>
      </c>
      <c r="C110" s="432"/>
      <c r="D110" s="432" t="s">
        <v>1269</v>
      </c>
      <c r="E110" s="452" t="s">
        <v>11</v>
      </c>
      <c r="F110" s="690" t="s">
        <v>1272</v>
      </c>
      <c r="G110" s="405"/>
      <c r="H110" s="18"/>
      <c r="I110" s="18"/>
      <c r="J110" s="18"/>
      <c r="K110" s="18"/>
      <c r="L110" s="441"/>
    </row>
    <row r="111" spans="1:12" ht="25.5" customHeight="1" x14ac:dyDescent="0.2">
      <c r="A111" s="86" t="s">
        <v>611</v>
      </c>
      <c r="B111" s="87"/>
      <c r="C111" s="87"/>
      <c r="D111" s="87"/>
      <c r="E111" s="679"/>
      <c r="F111" s="88">
        <f>F112</f>
        <v>695000000</v>
      </c>
      <c r="G111" s="21">
        <f>POAI!AD221</f>
        <v>695000000</v>
      </c>
    </row>
    <row r="112" spans="1:12" ht="24" customHeight="1" x14ac:dyDescent="0.2">
      <c r="A112" s="103"/>
      <c r="B112" s="99">
        <v>4</v>
      </c>
      <c r="C112" s="99"/>
      <c r="D112" s="365" t="s">
        <v>39</v>
      </c>
      <c r="E112" s="676"/>
      <c r="F112" s="366">
        <f>F113</f>
        <v>695000000</v>
      </c>
    </row>
    <row r="113" spans="1:13" ht="24" customHeight="1" x14ac:dyDescent="0.2">
      <c r="A113" s="103"/>
      <c r="B113" s="373"/>
      <c r="C113" s="593">
        <v>45</v>
      </c>
      <c r="D113" s="578" t="s">
        <v>1302</v>
      </c>
      <c r="E113" s="662"/>
      <c r="F113" s="665">
        <f>SUM(F114:F115)</f>
        <v>695000000</v>
      </c>
    </row>
    <row r="114" spans="1:13" s="396" customFormat="1" ht="32.25" customHeight="1" x14ac:dyDescent="0.25">
      <c r="A114" s="369"/>
      <c r="B114" s="373"/>
      <c r="C114" s="373"/>
      <c r="D114" s="373">
        <v>4599</v>
      </c>
      <c r="E114" s="664" t="s">
        <v>612</v>
      </c>
      <c r="F114" s="368">
        <f>POAI!AA224</f>
        <v>550000000</v>
      </c>
      <c r="L114" s="443"/>
    </row>
    <row r="115" spans="1:13" s="374" customFormat="1" ht="40.5" customHeight="1" x14ac:dyDescent="0.2">
      <c r="A115" s="372"/>
      <c r="B115" s="373"/>
      <c r="C115" s="373"/>
      <c r="D115" s="373">
        <v>4502</v>
      </c>
      <c r="E115" s="664" t="s">
        <v>61</v>
      </c>
      <c r="F115" s="369">
        <f>POAI!AA227</f>
        <v>145000000</v>
      </c>
      <c r="G115" s="404"/>
      <c r="L115" s="440"/>
    </row>
    <row r="116" spans="1:13" s="11" customFormat="1" x14ac:dyDescent="0.2">
      <c r="A116" s="381"/>
      <c r="B116" s="382"/>
      <c r="C116" s="382"/>
      <c r="D116" s="382"/>
      <c r="E116" s="682"/>
      <c r="F116" s="383"/>
      <c r="G116" s="405"/>
      <c r="H116" s="18"/>
      <c r="I116" s="18"/>
      <c r="J116" s="18"/>
      <c r="K116" s="18"/>
      <c r="L116" s="441"/>
    </row>
    <row r="117" spans="1:13" s="11" customFormat="1" ht="32.25" customHeight="1" x14ac:dyDescent="0.2">
      <c r="A117" s="431" t="s">
        <v>8</v>
      </c>
      <c r="B117" s="432" t="s">
        <v>9</v>
      </c>
      <c r="C117" s="432"/>
      <c r="D117" s="432" t="s">
        <v>1269</v>
      </c>
      <c r="E117" s="452" t="s">
        <v>11</v>
      </c>
      <c r="F117" s="435" t="s">
        <v>1282</v>
      </c>
      <c r="G117" s="435" t="s">
        <v>1283</v>
      </c>
      <c r="H117" s="435" t="s">
        <v>1284</v>
      </c>
      <c r="I117" s="434" t="s">
        <v>1285</v>
      </c>
      <c r="J117" s="448" t="s">
        <v>1272</v>
      </c>
      <c r="K117" s="451" t="s">
        <v>1274</v>
      </c>
      <c r="L117" s="441"/>
    </row>
    <row r="118" spans="1:13" ht="27" customHeight="1" x14ac:dyDescent="0.2">
      <c r="A118" s="86" t="s">
        <v>629</v>
      </c>
      <c r="B118" s="87"/>
      <c r="C118" s="87"/>
      <c r="D118" s="87"/>
      <c r="E118" s="679"/>
      <c r="F118" s="88">
        <f t="shared" ref="F118:K118" si="4">F119+F123</f>
        <v>1704977490</v>
      </c>
      <c r="G118" s="88">
        <f t="shared" si="4"/>
        <v>143885000000</v>
      </c>
      <c r="H118" s="88">
        <f t="shared" si="4"/>
        <v>25145000000</v>
      </c>
      <c r="I118" s="88">
        <f t="shared" si="4"/>
        <v>12990000000</v>
      </c>
      <c r="J118" s="449">
        <f t="shared" si="4"/>
        <v>5008147242</v>
      </c>
      <c r="K118" s="88">
        <f t="shared" si="4"/>
        <v>188733124732</v>
      </c>
      <c r="L118" s="442"/>
      <c r="M118" s="22">
        <f>POAI!AD230</f>
        <v>188733124732</v>
      </c>
    </row>
    <row r="119" spans="1:13" ht="27.75" customHeight="1" x14ac:dyDescent="0.2">
      <c r="A119" s="103"/>
      <c r="B119" s="99">
        <v>1</v>
      </c>
      <c r="C119" s="99"/>
      <c r="D119" s="365" t="s">
        <v>134</v>
      </c>
      <c r="E119" s="676"/>
      <c r="F119" s="366">
        <f t="shared" ref="F119:K119" si="5">F120</f>
        <v>1704977490</v>
      </c>
      <c r="G119" s="366">
        <f t="shared" si="5"/>
        <v>143885000000</v>
      </c>
      <c r="H119" s="366">
        <f t="shared" si="5"/>
        <v>25145000000</v>
      </c>
      <c r="I119" s="366">
        <f t="shared" si="5"/>
        <v>12990000000</v>
      </c>
      <c r="J119" s="366">
        <f t="shared" si="5"/>
        <v>5000647242</v>
      </c>
      <c r="K119" s="366">
        <f t="shared" si="5"/>
        <v>188725624732</v>
      </c>
      <c r="L119" s="442"/>
    </row>
    <row r="120" spans="1:13" ht="27.75" customHeight="1" x14ac:dyDescent="0.2">
      <c r="A120" s="103"/>
      <c r="B120" s="373"/>
      <c r="C120" s="593">
        <v>22</v>
      </c>
      <c r="D120" s="593" t="s">
        <v>266</v>
      </c>
      <c r="E120" s="662"/>
      <c r="F120" s="665">
        <f t="shared" ref="F120:K120" si="6">SUM(F121:F122)</f>
        <v>1704977490</v>
      </c>
      <c r="G120" s="665">
        <f t="shared" si="6"/>
        <v>143885000000</v>
      </c>
      <c r="H120" s="665">
        <f t="shared" si="6"/>
        <v>25145000000</v>
      </c>
      <c r="I120" s="665">
        <f t="shared" si="6"/>
        <v>12990000000</v>
      </c>
      <c r="J120" s="665">
        <f t="shared" si="6"/>
        <v>5000647242</v>
      </c>
      <c r="K120" s="665">
        <f t="shared" si="6"/>
        <v>188725624732</v>
      </c>
      <c r="L120" s="442"/>
    </row>
    <row r="121" spans="1:13" s="374" customFormat="1" ht="56.25" customHeight="1" x14ac:dyDescent="0.2">
      <c r="A121" s="372"/>
      <c r="B121" s="373"/>
      <c r="C121" s="373"/>
      <c r="D121" s="367">
        <v>2201</v>
      </c>
      <c r="E121" s="664" t="s">
        <v>152</v>
      </c>
      <c r="F121" s="369">
        <f>POAI!T233</f>
        <v>1704977490</v>
      </c>
      <c r="G121" s="369">
        <f>POAI!W233</f>
        <v>143885000000</v>
      </c>
      <c r="H121" s="369">
        <f>POAI!X233</f>
        <v>25145000000</v>
      </c>
      <c r="I121" s="369">
        <f>POAI!Y233</f>
        <v>12990000000</v>
      </c>
      <c r="J121" s="450">
        <f>POAI!AA233</f>
        <v>2900647242</v>
      </c>
      <c r="K121" s="369">
        <f>SUM(F121:J121)</f>
        <v>186625624732</v>
      </c>
      <c r="L121" s="436"/>
    </row>
    <row r="122" spans="1:13" s="374" customFormat="1" ht="51" customHeight="1" x14ac:dyDescent="0.2">
      <c r="A122" s="372"/>
      <c r="B122" s="373"/>
      <c r="C122" s="373"/>
      <c r="D122" s="373">
        <v>2202</v>
      </c>
      <c r="E122" s="664" t="s">
        <v>728</v>
      </c>
      <c r="F122" s="368">
        <f>POAI!T268</f>
        <v>0</v>
      </c>
      <c r="G122" s="369">
        <f>POAI!W268</f>
        <v>0</v>
      </c>
      <c r="H122" s="369">
        <f>POAI!X268</f>
        <v>0</v>
      </c>
      <c r="I122" s="369">
        <f>POAI!Y268</f>
        <v>0</v>
      </c>
      <c r="J122" s="450">
        <f>POAI!AA268</f>
        <v>2100000000</v>
      </c>
      <c r="K122" s="369">
        <f>SUM(F122:J122)</f>
        <v>2100000000</v>
      </c>
      <c r="L122" s="440"/>
    </row>
    <row r="123" spans="1:13" ht="25.5" customHeight="1" x14ac:dyDescent="0.2">
      <c r="A123" s="103"/>
      <c r="B123" s="99">
        <v>2</v>
      </c>
      <c r="C123" s="99"/>
      <c r="D123" s="365" t="s">
        <v>379</v>
      </c>
      <c r="E123" s="676"/>
      <c r="F123" s="366">
        <f t="shared" ref="F123:K124" si="7">F124</f>
        <v>0</v>
      </c>
      <c r="G123" s="366">
        <f t="shared" si="7"/>
        <v>0</v>
      </c>
      <c r="H123" s="366">
        <f t="shared" si="7"/>
        <v>0</v>
      </c>
      <c r="I123" s="366">
        <f t="shared" si="7"/>
        <v>0</v>
      </c>
      <c r="J123" s="366">
        <f t="shared" si="7"/>
        <v>7500000</v>
      </c>
      <c r="K123" s="366">
        <f t="shared" si="7"/>
        <v>7500000</v>
      </c>
    </row>
    <row r="124" spans="1:13" ht="25.5" customHeight="1" x14ac:dyDescent="0.2">
      <c r="A124" s="103"/>
      <c r="B124" s="373"/>
      <c r="C124" s="593">
        <v>39</v>
      </c>
      <c r="D124" s="578" t="s">
        <v>1312</v>
      </c>
      <c r="E124" s="578"/>
      <c r="F124" s="665">
        <f t="shared" si="7"/>
        <v>0</v>
      </c>
      <c r="G124" s="665">
        <f t="shared" si="7"/>
        <v>0</v>
      </c>
      <c r="H124" s="665">
        <f t="shared" si="7"/>
        <v>0</v>
      </c>
      <c r="I124" s="665">
        <f t="shared" si="7"/>
        <v>0</v>
      </c>
      <c r="J124" s="665">
        <f t="shared" si="7"/>
        <v>7500000</v>
      </c>
      <c r="K124" s="665">
        <f t="shared" si="7"/>
        <v>7500000</v>
      </c>
    </row>
    <row r="125" spans="1:13" s="374" customFormat="1" ht="30" customHeight="1" x14ac:dyDescent="0.2">
      <c r="A125" s="372"/>
      <c r="B125" s="373"/>
      <c r="C125" s="373"/>
      <c r="D125" s="373">
        <v>3904</v>
      </c>
      <c r="E125" s="664" t="s">
        <v>735</v>
      </c>
      <c r="F125" s="368">
        <f>POAI!T272</f>
        <v>0</v>
      </c>
      <c r="G125" s="369">
        <f>POAI!W272</f>
        <v>0</v>
      </c>
      <c r="H125" s="369">
        <f>POAI!X272</f>
        <v>0</v>
      </c>
      <c r="I125" s="369">
        <f>POAI!Y272</f>
        <v>0</v>
      </c>
      <c r="J125" s="450">
        <f>POAI!AA272</f>
        <v>7500000</v>
      </c>
      <c r="K125" s="369">
        <f>SUM(F125:J125)</f>
        <v>7500000</v>
      </c>
      <c r="L125" s="440"/>
    </row>
    <row r="126" spans="1:13" s="11" customFormat="1" x14ac:dyDescent="0.2">
      <c r="A126" s="381"/>
      <c r="B126" s="382"/>
      <c r="C126" s="382"/>
      <c r="D126" s="382"/>
      <c r="E126" s="682"/>
      <c r="F126" s="383"/>
      <c r="G126" s="405"/>
      <c r="H126" s="18"/>
      <c r="I126" s="18"/>
      <c r="J126" s="18"/>
      <c r="K126" s="18"/>
      <c r="L126" s="441"/>
    </row>
    <row r="127" spans="1:13" ht="27.75" customHeight="1" x14ac:dyDescent="0.2">
      <c r="A127" s="431" t="s">
        <v>8</v>
      </c>
      <c r="B127" s="432" t="s">
        <v>9</v>
      </c>
      <c r="C127" s="432"/>
      <c r="D127" s="432" t="s">
        <v>1269</v>
      </c>
      <c r="E127" s="452" t="s">
        <v>11</v>
      </c>
      <c r="F127" s="435" t="s">
        <v>1286</v>
      </c>
      <c r="G127" s="435" t="s">
        <v>1272</v>
      </c>
      <c r="H127" s="435" t="s">
        <v>1274</v>
      </c>
    </row>
    <row r="128" spans="1:13" s="11" customFormat="1" ht="24.75" customHeight="1" x14ac:dyDescent="0.2">
      <c r="A128" s="86" t="s">
        <v>742</v>
      </c>
      <c r="B128" s="87"/>
      <c r="C128" s="87"/>
      <c r="D128" s="87"/>
      <c r="E128" s="679"/>
      <c r="F128" s="380">
        <f>F129+F138+F143</f>
        <v>3526539574</v>
      </c>
      <c r="G128" s="380">
        <f>G129+G138+G143</f>
        <v>1656250000</v>
      </c>
      <c r="H128" s="380">
        <f>H129+H138+H143</f>
        <v>5182789574</v>
      </c>
      <c r="I128" s="18"/>
      <c r="J128" s="405">
        <f>POAI!AD275</f>
        <v>5182789574</v>
      </c>
      <c r="K128" s="18"/>
      <c r="L128" s="441"/>
    </row>
    <row r="129" spans="1:12" s="11" customFormat="1" ht="20.25" customHeight="1" x14ac:dyDescent="0.2">
      <c r="A129" s="133"/>
      <c r="B129" s="99">
        <v>1</v>
      </c>
      <c r="C129" s="99"/>
      <c r="D129" s="365" t="s">
        <v>134</v>
      </c>
      <c r="E129" s="676"/>
      <c r="F129" s="366">
        <f>F130+F132+F134</f>
        <v>3526539574</v>
      </c>
      <c r="G129" s="366">
        <f t="shared" ref="G129:H129" si="8">G130+G132+G134</f>
        <v>1536250000</v>
      </c>
      <c r="H129" s="366">
        <f t="shared" si="8"/>
        <v>5062789574</v>
      </c>
      <c r="I129" s="18"/>
      <c r="J129" s="18"/>
      <c r="K129" s="18"/>
      <c r="L129" s="441"/>
    </row>
    <row r="130" spans="1:12" s="11" customFormat="1" ht="20.25" customHeight="1" x14ac:dyDescent="0.2">
      <c r="A130" s="133"/>
      <c r="B130" s="373"/>
      <c r="C130" s="593">
        <v>19</v>
      </c>
      <c r="D130" s="578" t="s">
        <v>1304</v>
      </c>
      <c r="E130" s="662"/>
      <c r="F130" s="665">
        <f>F131</f>
        <v>0</v>
      </c>
      <c r="G130" s="665">
        <f>G131</f>
        <v>175000000</v>
      </c>
      <c r="H130" s="665">
        <f>H131</f>
        <v>175000000</v>
      </c>
      <c r="I130" s="18"/>
      <c r="J130" s="18"/>
      <c r="K130" s="18"/>
      <c r="L130" s="441"/>
    </row>
    <row r="131" spans="1:12" s="399" customFormat="1" ht="32.25" customHeight="1" x14ac:dyDescent="0.2">
      <c r="A131" s="397"/>
      <c r="B131" s="373"/>
      <c r="C131" s="373"/>
      <c r="D131" s="373">
        <v>1905</v>
      </c>
      <c r="E131" s="675" t="s">
        <v>743</v>
      </c>
      <c r="F131" s="368">
        <f>POAI!Q278</f>
        <v>0</v>
      </c>
      <c r="G131" s="368">
        <f>POAI!AA278</f>
        <v>175000000</v>
      </c>
      <c r="H131" s="368">
        <f>SUM(F131:G131)</f>
        <v>175000000</v>
      </c>
      <c r="L131" s="444"/>
    </row>
    <row r="132" spans="1:12" s="399" customFormat="1" ht="32.25" customHeight="1" x14ac:dyDescent="0.2">
      <c r="A132" s="397"/>
      <c r="B132" s="373"/>
      <c r="C132" s="593">
        <v>33</v>
      </c>
      <c r="D132" s="668" t="s">
        <v>1305</v>
      </c>
      <c r="E132" s="667"/>
      <c r="F132" s="665">
        <f>F133</f>
        <v>0</v>
      </c>
      <c r="G132" s="665">
        <f>G133</f>
        <v>14250000</v>
      </c>
      <c r="H132" s="665">
        <f>H133</f>
        <v>14250000</v>
      </c>
      <c r="L132" s="444"/>
    </row>
    <row r="133" spans="1:12" s="399" customFormat="1" ht="28.5" customHeight="1" x14ac:dyDescent="0.2">
      <c r="A133" s="397"/>
      <c r="B133" s="373"/>
      <c r="C133" s="373"/>
      <c r="D133" s="373">
        <v>3301</v>
      </c>
      <c r="E133" s="664" t="s">
        <v>159</v>
      </c>
      <c r="F133" s="368">
        <f>POAI!Q282</f>
        <v>0</v>
      </c>
      <c r="G133" s="368">
        <f>POAI!AA282</f>
        <v>14250000</v>
      </c>
      <c r="H133" s="368">
        <f t="shared" ref="H133:H137" si="9">SUM(F133:G133)</f>
        <v>14250000</v>
      </c>
      <c r="L133" s="444"/>
    </row>
    <row r="134" spans="1:12" s="399" customFormat="1" ht="28.5" customHeight="1" x14ac:dyDescent="0.2">
      <c r="A134" s="397"/>
      <c r="B134" s="373"/>
      <c r="C134" s="593">
        <v>41</v>
      </c>
      <c r="D134" s="578" t="s">
        <v>1308</v>
      </c>
      <c r="E134" s="662"/>
      <c r="F134" s="665">
        <f>SUM(F135:F137)</f>
        <v>3526539574</v>
      </c>
      <c r="G134" s="665">
        <f>SUM(G135:G137)</f>
        <v>1347000000</v>
      </c>
      <c r="H134" s="665">
        <f>SUM(H135:H137)</f>
        <v>4873539574</v>
      </c>
      <c r="L134" s="444"/>
    </row>
    <row r="135" spans="1:12" s="399" customFormat="1" ht="36" customHeight="1" x14ac:dyDescent="0.2">
      <c r="A135" s="397"/>
      <c r="B135" s="373"/>
      <c r="C135" s="373"/>
      <c r="D135" s="373">
        <v>4102</v>
      </c>
      <c r="E135" s="664" t="s">
        <v>761</v>
      </c>
      <c r="F135" s="368">
        <f>POAI!Q285</f>
        <v>0</v>
      </c>
      <c r="G135" s="368">
        <f>POAI!AA285</f>
        <v>748000000</v>
      </c>
      <c r="H135" s="368">
        <f t="shared" si="9"/>
        <v>748000000</v>
      </c>
      <c r="L135" s="444"/>
    </row>
    <row r="136" spans="1:12" s="399" customFormat="1" ht="36.75" customHeight="1" x14ac:dyDescent="0.2">
      <c r="A136" s="397"/>
      <c r="B136" s="373"/>
      <c r="C136" s="373"/>
      <c r="D136" s="373">
        <v>4103</v>
      </c>
      <c r="E136" s="664" t="s">
        <v>287</v>
      </c>
      <c r="F136" s="368">
        <f>POAI!Q295</f>
        <v>0</v>
      </c>
      <c r="G136" s="368">
        <f>POAI!AA295</f>
        <v>175000000</v>
      </c>
      <c r="H136" s="368">
        <f t="shared" si="9"/>
        <v>175000000</v>
      </c>
      <c r="L136" s="444"/>
    </row>
    <row r="137" spans="1:12" s="399" customFormat="1" ht="29.25" customHeight="1" x14ac:dyDescent="0.2">
      <c r="A137" s="397"/>
      <c r="B137" s="373"/>
      <c r="C137" s="373"/>
      <c r="D137" s="373">
        <v>4104</v>
      </c>
      <c r="E137" s="664" t="s">
        <v>848</v>
      </c>
      <c r="F137" s="368">
        <f>POAI!Q303</f>
        <v>3526539574</v>
      </c>
      <c r="G137" s="368">
        <f>POAI!AA303</f>
        <v>424000000</v>
      </c>
      <c r="H137" s="368">
        <f t="shared" si="9"/>
        <v>3950539574</v>
      </c>
      <c r="L137" s="444"/>
    </row>
    <row r="138" spans="1:12" s="11" customFormat="1" ht="20.25" customHeight="1" x14ac:dyDescent="0.2">
      <c r="A138" s="133"/>
      <c r="B138" s="99">
        <v>2</v>
      </c>
      <c r="C138" s="99"/>
      <c r="D138" s="365" t="s">
        <v>379</v>
      </c>
      <c r="E138" s="676"/>
      <c r="F138" s="366">
        <f>F139+F141</f>
        <v>0</v>
      </c>
      <c r="G138" s="366">
        <f>G139+G141</f>
        <v>36000000</v>
      </c>
      <c r="H138" s="366">
        <f>H139+H141</f>
        <v>36000000</v>
      </c>
      <c r="I138" s="18"/>
      <c r="J138" s="18"/>
      <c r="K138" s="18"/>
      <c r="L138" s="441"/>
    </row>
    <row r="139" spans="1:12" s="11" customFormat="1" ht="20.25" customHeight="1" x14ac:dyDescent="0.2">
      <c r="A139" s="133"/>
      <c r="B139" s="373"/>
      <c r="C139" s="593">
        <v>17</v>
      </c>
      <c r="D139" s="578" t="s">
        <v>1311</v>
      </c>
      <c r="E139" s="662"/>
      <c r="F139" s="665">
        <f>F140</f>
        <v>0</v>
      </c>
      <c r="G139" s="665">
        <f>G140</f>
        <v>18000000</v>
      </c>
      <c r="H139" s="665">
        <f>H140</f>
        <v>18000000</v>
      </c>
      <c r="I139" s="18"/>
      <c r="J139" s="18"/>
      <c r="K139" s="18"/>
      <c r="L139" s="441"/>
    </row>
    <row r="140" spans="1:12" s="399" customFormat="1" ht="33" customHeight="1" x14ac:dyDescent="0.2">
      <c r="A140" s="397"/>
      <c r="B140" s="373"/>
      <c r="C140" s="373"/>
      <c r="D140" s="373">
        <v>1702</v>
      </c>
      <c r="E140" s="664" t="s">
        <v>431</v>
      </c>
      <c r="F140" s="368">
        <f>POAI!Q315</f>
        <v>0</v>
      </c>
      <c r="G140" s="368">
        <f>POAI!AA315</f>
        <v>18000000</v>
      </c>
      <c r="H140" s="368">
        <f>SUM(F140:G140)</f>
        <v>18000000</v>
      </c>
      <c r="L140" s="444"/>
    </row>
    <row r="141" spans="1:12" s="399" customFormat="1" ht="25.5" customHeight="1" x14ac:dyDescent="0.2">
      <c r="A141" s="397"/>
      <c r="B141" s="373"/>
      <c r="C141" s="593">
        <v>36</v>
      </c>
      <c r="D141" s="668" t="s">
        <v>1310</v>
      </c>
      <c r="E141" s="667"/>
      <c r="F141" s="665">
        <f>F142</f>
        <v>0</v>
      </c>
      <c r="G141" s="665">
        <f>G142</f>
        <v>18000000</v>
      </c>
      <c r="H141" s="665">
        <f>H142</f>
        <v>18000000</v>
      </c>
      <c r="L141" s="444"/>
    </row>
    <row r="142" spans="1:12" s="399" customFormat="1" ht="31.5" x14ac:dyDescent="0.2">
      <c r="A142" s="397"/>
      <c r="B142" s="373"/>
      <c r="C142" s="373"/>
      <c r="D142" s="373">
        <v>3604</v>
      </c>
      <c r="E142" s="664" t="s">
        <v>909</v>
      </c>
      <c r="F142" s="368">
        <f>POAI!Q318</f>
        <v>0</v>
      </c>
      <c r="G142" s="368">
        <f>POAI!AA318</f>
        <v>18000000</v>
      </c>
      <c r="H142" s="368">
        <f>SUM(F142:G142)</f>
        <v>18000000</v>
      </c>
      <c r="L142" s="444"/>
    </row>
    <row r="143" spans="1:12" s="11" customFormat="1" ht="21" customHeight="1" x14ac:dyDescent="0.2">
      <c r="A143" s="133"/>
      <c r="B143" s="99">
        <v>4</v>
      </c>
      <c r="C143" s="99"/>
      <c r="D143" s="365" t="s">
        <v>39</v>
      </c>
      <c r="E143" s="676"/>
      <c r="F143" s="366">
        <f t="shared" ref="F143:H144" si="10">F144</f>
        <v>0</v>
      </c>
      <c r="G143" s="366">
        <f t="shared" si="10"/>
        <v>84000000</v>
      </c>
      <c r="H143" s="366">
        <f t="shared" si="10"/>
        <v>84000000</v>
      </c>
      <c r="I143" s="18"/>
      <c r="J143" s="18"/>
      <c r="K143" s="18"/>
      <c r="L143" s="441"/>
    </row>
    <row r="144" spans="1:12" s="11" customFormat="1" ht="21" customHeight="1" x14ac:dyDescent="0.2">
      <c r="A144" s="133"/>
      <c r="B144" s="373"/>
      <c r="C144" s="593">
        <v>45</v>
      </c>
      <c r="D144" s="578" t="s">
        <v>1313</v>
      </c>
      <c r="E144" s="662"/>
      <c r="F144" s="665">
        <f t="shared" si="10"/>
        <v>0</v>
      </c>
      <c r="G144" s="665">
        <f t="shared" si="10"/>
        <v>84000000</v>
      </c>
      <c r="H144" s="665">
        <f t="shared" si="10"/>
        <v>84000000</v>
      </c>
      <c r="I144" s="18"/>
      <c r="J144" s="18"/>
      <c r="K144" s="18"/>
      <c r="L144" s="441"/>
    </row>
    <row r="145" spans="1:14" s="399" customFormat="1" ht="47.25" x14ac:dyDescent="0.2">
      <c r="A145" s="397"/>
      <c r="B145" s="373"/>
      <c r="C145" s="373"/>
      <c r="D145" s="373">
        <v>4502</v>
      </c>
      <c r="E145" s="664" t="s">
        <v>61</v>
      </c>
      <c r="F145" s="368">
        <f>POAI!Q322</f>
        <v>0</v>
      </c>
      <c r="G145" s="368">
        <f>POAI!AA322</f>
        <v>84000000</v>
      </c>
      <c r="H145" s="368">
        <f>SUM(F145:G145)</f>
        <v>84000000</v>
      </c>
      <c r="L145" s="444"/>
    </row>
    <row r="146" spans="1:14" s="11" customFormat="1" x14ac:dyDescent="0.2">
      <c r="A146" s="381"/>
      <c r="B146" s="382"/>
      <c r="C146" s="382"/>
      <c r="D146" s="382"/>
      <c r="E146" s="682"/>
      <c r="F146" s="383"/>
      <c r="G146" s="405"/>
      <c r="H146" s="18"/>
      <c r="I146" s="18"/>
      <c r="J146" s="18"/>
      <c r="K146" s="18"/>
      <c r="L146" s="441"/>
    </row>
    <row r="147" spans="1:14" s="11" customFormat="1" ht="25.5" x14ac:dyDescent="0.2">
      <c r="A147" s="66" t="s">
        <v>8</v>
      </c>
      <c r="B147" s="66" t="s">
        <v>9</v>
      </c>
      <c r="C147" s="678"/>
      <c r="D147" s="432" t="s">
        <v>1269</v>
      </c>
      <c r="E147" s="452" t="s">
        <v>11</v>
      </c>
      <c r="F147" s="435" t="s">
        <v>1287</v>
      </c>
      <c r="G147" s="435" t="s">
        <v>1288</v>
      </c>
      <c r="H147" s="435" t="s">
        <v>1272</v>
      </c>
      <c r="I147" s="434" t="s">
        <v>1289</v>
      </c>
      <c r="J147" s="451" t="s">
        <v>1274</v>
      </c>
      <c r="K147" s="441"/>
    </row>
    <row r="148" spans="1:14" ht="30.75" customHeight="1" x14ac:dyDescent="0.2">
      <c r="A148" s="86" t="s">
        <v>921</v>
      </c>
      <c r="B148" s="87"/>
      <c r="C148" s="87"/>
      <c r="D148" s="87"/>
      <c r="E148" s="679"/>
      <c r="F148" s="88">
        <f>F149</f>
        <v>6460193577</v>
      </c>
      <c r="G148" s="88">
        <f>G149</f>
        <v>35242837560</v>
      </c>
      <c r="H148" s="88">
        <f t="shared" ref="H148:J149" si="11">H149</f>
        <v>1321980000</v>
      </c>
      <c r="I148" s="88">
        <f t="shared" si="11"/>
        <v>2599166997</v>
      </c>
      <c r="J148" s="88">
        <f t="shared" si="11"/>
        <v>45624178134</v>
      </c>
      <c r="K148" s="21">
        <f>POAI!AD328</f>
        <v>45624178134</v>
      </c>
      <c r="L148" s="1"/>
      <c r="N148" s="21"/>
    </row>
    <row r="149" spans="1:14" ht="28.5" customHeight="1" x14ac:dyDescent="0.2">
      <c r="A149" s="103"/>
      <c r="B149" s="99">
        <v>1</v>
      </c>
      <c r="C149" s="99"/>
      <c r="D149" s="365" t="s">
        <v>134</v>
      </c>
      <c r="E149" s="676"/>
      <c r="F149" s="366">
        <f>F150</f>
        <v>6460193577</v>
      </c>
      <c r="G149" s="366">
        <f>G150</f>
        <v>35242837560</v>
      </c>
      <c r="H149" s="366">
        <f t="shared" si="11"/>
        <v>1321980000</v>
      </c>
      <c r="I149" s="366">
        <f t="shared" si="11"/>
        <v>2599166997</v>
      </c>
      <c r="J149" s="366">
        <f>J150</f>
        <v>45624178134</v>
      </c>
      <c r="K149" s="437"/>
      <c r="L149" s="1"/>
    </row>
    <row r="150" spans="1:14" ht="28.5" customHeight="1" x14ac:dyDescent="0.2">
      <c r="A150" s="103"/>
      <c r="B150" s="373"/>
      <c r="C150" s="593">
        <v>19</v>
      </c>
      <c r="D150" s="578" t="s">
        <v>1304</v>
      </c>
      <c r="E150" s="662"/>
      <c r="F150" s="665">
        <f>SUM(F151:F153)</f>
        <v>6460193577</v>
      </c>
      <c r="G150" s="665">
        <f>SUM(G151:G153)</f>
        <v>35242837560</v>
      </c>
      <c r="H150" s="665">
        <f>SUM(H151:H153)</f>
        <v>1321980000</v>
      </c>
      <c r="I150" s="665">
        <f>SUM(I151:I153)</f>
        <v>2599166997</v>
      </c>
      <c r="J150" s="665">
        <f>SUM(J151:J153)</f>
        <v>45624178134</v>
      </c>
      <c r="K150" s="437"/>
      <c r="L150" s="1"/>
    </row>
    <row r="151" spans="1:14" s="374" customFormat="1" ht="35.25" customHeight="1" x14ac:dyDescent="0.2">
      <c r="A151" s="372"/>
      <c r="B151" s="373"/>
      <c r="C151" s="373"/>
      <c r="D151" s="373">
        <v>1903</v>
      </c>
      <c r="E151" s="664" t="s">
        <v>922</v>
      </c>
      <c r="F151" s="368">
        <f>POAI!U331</f>
        <v>1389901448</v>
      </c>
      <c r="G151" s="368">
        <f>POAI!V331</f>
        <v>150000000</v>
      </c>
      <c r="H151" s="368">
        <f>POAI!AA331</f>
        <v>161590000</v>
      </c>
      <c r="I151" s="368">
        <f>POAI!AC331</f>
        <v>844700000</v>
      </c>
      <c r="J151" s="368">
        <f>SUM(F151:I151)</f>
        <v>2546191448</v>
      </c>
      <c r="K151" s="440"/>
    </row>
    <row r="152" spans="1:14" s="374" customFormat="1" ht="31.5" customHeight="1" x14ac:dyDescent="0.2">
      <c r="A152" s="372"/>
      <c r="B152" s="373"/>
      <c r="C152" s="373"/>
      <c r="D152" s="373">
        <v>1905</v>
      </c>
      <c r="E152" s="664" t="s">
        <v>743</v>
      </c>
      <c r="F152" s="368">
        <f>POAI!U354</f>
        <v>2846264100</v>
      </c>
      <c r="G152" s="368">
        <f>POAI!V354</f>
        <v>0</v>
      </c>
      <c r="H152" s="368">
        <f>POAI!AA354</f>
        <v>930000000</v>
      </c>
      <c r="I152" s="368">
        <f>POAI!AC354</f>
        <v>392854357</v>
      </c>
      <c r="J152" s="368">
        <f>SUM(F152:I152)</f>
        <v>4169118457</v>
      </c>
      <c r="K152" s="440"/>
    </row>
    <row r="153" spans="1:14" s="374" customFormat="1" ht="40.5" customHeight="1" x14ac:dyDescent="0.2">
      <c r="A153" s="372"/>
      <c r="B153" s="373"/>
      <c r="C153" s="373"/>
      <c r="D153" s="373">
        <v>1906</v>
      </c>
      <c r="E153" s="664" t="s">
        <v>145</v>
      </c>
      <c r="F153" s="368">
        <f>POAI!U384</f>
        <v>2224028029</v>
      </c>
      <c r="G153" s="368">
        <f>POAI!V384</f>
        <v>35092837560</v>
      </c>
      <c r="H153" s="368">
        <f>POAI!AA384</f>
        <v>230390000</v>
      </c>
      <c r="I153" s="368">
        <f>POAI!AC384</f>
        <v>1361612640</v>
      </c>
      <c r="J153" s="368">
        <f>SUM(F153:I153)</f>
        <v>38908868229</v>
      </c>
      <c r="K153" s="440"/>
    </row>
    <row r="154" spans="1:14" s="11" customFormat="1" x14ac:dyDescent="0.2">
      <c r="A154" s="381"/>
      <c r="B154" s="382"/>
      <c r="C154" s="382"/>
      <c r="D154" s="382"/>
      <c r="E154" s="682"/>
      <c r="F154" s="383"/>
      <c r="G154" s="405"/>
      <c r="H154" s="18"/>
      <c r="I154" s="18"/>
      <c r="J154" s="18"/>
      <c r="K154" s="18"/>
      <c r="L154" s="441"/>
    </row>
    <row r="155" spans="1:14" s="11" customFormat="1" ht="25.5" x14ac:dyDescent="0.2">
      <c r="A155" s="66" t="s">
        <v>8</v>
      </c>
      <c r="B155" s="66" t="s">
        <v>9</v>
      </c>
      <c r="C155" s="678"/>
      <c r="D155" s="432" t="s">
        <v>1269</v>
      </c>
      <c r="E155" s="452" t="s">
        <v>11</v>
      </c>
      <c r="F155" s="435" t="s">
        <v>1272</v>
      </c>
      <c r="G155" s="405"/>
      <c r="H155" s="18"/>
      <c r="I155" s="18"/>
      <c r="J155" s="18"/>
      <c r="K155" s="18"/>
      <c r="L155" s="441"/>
    </row>
    <row r="156" spans="1:14" s="9" customFormat="1" ht="29.25" customHeight="1" x14ac:dyDescent="0.25">
      <c r="A156" s="86" t="s">
        <v>1116</v>
      </c>
      <c r="B156" s="87"/>
      <c r="C156" s="87"/>
      <c r="D156" s="87"/>
      <c r="E156" s="679"/>
      <c r="F156" s="88">
        <f>F157+F161+F165</f>
        <v>896000000</v>
      </c>
      <c r="G156" s="8">
        <f>POAI!AD396</f>
        <v>896000000</v>
      </c>
      <c r="H156" s="8"/>
      <c r="I156" s="8"/>
      <c r="J156" s="8"/>
      <c r="K156" s="8"/>
      <c r="L156" s="439"/>
    </row>
    <row r="157" spans="1:14" s="9" customFormat="1" ht="25.5" customHeight="1" x14ac:dyDescent="0.25">
      <c r="A157" s="95"/>
      <c r="B157" s="99">
        <v>1</v>
      </c>
      <c r="C157" s="99"/>
      <c r="D157" s="365" t="s">
        <v>134</v>
      </c>
      <c r="E157" s="676"/>
      <c r="F157" s="366">
        <f>F158</f>
        <v>520000000</v>
      </c>
      <c r="G157" s="8"/>
      <c r="H157" s="8"/>
      <c r="I157" s="8"/>
      <c r="J157" s="8"/>
      <c r="K157" s="8"/>
      <c r="L157" s="439"/>
    </row>
    <row r="158" spans="1:14" s="9" customFormat="1" ht="25.5" customHeight="1" x14ac:dyDescent="0.25">
      <c r="A158" s="95"/>
      <c r="B158" s="373"/>
      <c r="C158" s="593">
        <v>23</v>
      </c>
      <c r="D158" s="578" t="s">
        <v>1314</v>
      </c>
      <c r="E158" s="662"/>
      <c r="F158" s="665">
        <f>SUM(F159:F160)</f>
        <v>520000000</v>
      </c>
      <c r="G158" s="8"/>
      <c r="H158" s="8"/>
      <c r="I158" s="8"/>
      <c r="J158" s="8"/>
      <c r="K158" s="8"/>
      <c r="L158" s="439"/>
    </row>
    <row r="159" spans="1:14" s="396" customFormat="1" ht="63" x14ac:dyDescent="0.25">
      <c r="A159" s="369"/>
      <c r="B159" s="373"/>
      <c r="C159" s="373"/>
      <c r="D159" s="367">
        <v>2301</v>
      </c>
      <c r="E159" s="664" t="s">
        <v>1117</v>
      </c>
      <c r="F159" s="368">
        <f>POAI!AA399</f>
        <v>374000000</v>
      </c>
      <c r="L159" s="443"/>
    </row>
    <row r="160" spans="1:14" s="396" customFormat="1" ht="64.5" customHeight="1" x14ac:dyDescent="0.25">
      <c r="A160" s="369"/>
      <c r="B160" s="373"/>
      <c r="C160" s="373"/>
      <c r="D160" s="367">
        <v>2302</v>
      </c>
      <c r="E160" s="664" t="s">
        <v>1144</v>
      </c>
      <c r="F160" s="368">
        <f>POAI!AA409</f>
        <v>146000000</v>
      </c>
      <c r="L160" s="443"/>
    </row>
    <row r="161" spans="1:12" s="9" customFormat="1" ht="26.25" customHeight="1" x14ac:dyDescent="0.25">
      <c r="A161" s="95"/>
      <c r="B161" s="99">
        <v>2</v>
      </c>
      <c r="C161" s="99"/>
      <c r="D161" s="365" t="s">
        <v>379</v>
      </c>
      <c r="E161" s="676"/>
      <c r="F161" s="366">
        <f>F162</f>
        <v>78000000</v>
      </c>
      <c r="G161" s="8"/>
      <c r="H161" s="8"/>
      <c r="I161" s="8"/>
      <c r="J161" s="8"/>
      <c r="K161" s="8"/>
      <c r="L161" s="439"/>
    </row>
    <row r="162" spans="1:12" s="9" customFormat="1" ht="26.25" customHeight="1" x14ac:dyDescent="0.25">
      <c r="A162" s="95"/>
      <c r="B162" s="373"/>
      <c r="C162" s="593">
        <v>39</v>
      </c>
      <c r="D162" s="578" t="s">
        <v>1312</v>
      </c>
      <c r="E162" s="662"/>
      <c r="F162" s="665">
        <f>SUM(F163:F164)</f>
        <v>78000000</v>
      </c>
      <c r="G162" s="8"/>
      <c r="H162" s="8"/>
      <c r="I162" s="8"/>
      <c r="J162" s="8"/>
      <c r="K162" s="8"/>
      <c r="L162" s="439"/>
    </row>
    <row r="163" spans="1:12" s="396" customFormat="1" ht="31.5" x14ac:dyDescent="0.25">
      <c r="A163" s="369"/>
      <c r="B163" s="373"/>
      <c r="C163" s="373"/>
      <c r="D163" s="367" t="s">
        <v>1159</v>
      </c>
      <c r="E163" s="664" t="s">
        <v>1160</v>
      </c>
      <c r="F163" s="368">
        <f>POAI!AA417</f>
        <v>60000000</v>
      </c>
      <c r="L163" s="443"/>
    </row>
    <row r="164" spans="1:12" s="396" customFormat="1" ht="31.5" x14ac:dyDescent="0.25">
      <c r="A164" s="369"/>
      <c r="B164" s="373"/>
      <c r="C164" s="373"/>
      <c r="D164" s="367">
        <v>3904</v>
      </c>
      <c r="E164" s="664" t="s">
        <v>735</v>
      </c>
      <c r="F164" s="368">
        <f>POAI!AA421</f>
        <v>18000000</v>
      </c>
      <c r="L164" s="443"/>
    </row>
    <row r="165" spans="1:12" s="9" customFormat="1" ht="21" customHeight="1" x14ac:dyDescent="0.25">
      <c r="A165" s="95"/>
      <c r="B165" s="99">
        <v>4</v>
      </c>
      <c r="C165" s="99"/>
      <c r="D165" s="365" t="s">
        <v>39</v>
      </c>
      <c r="E165" s="676"/>
      <c r="F165" s="366">
        <f>F166</f>
        <v>298000000</v>
      </c>
      <c r="G165" s="8"/>
      <c r="H165" s="8"/>
      <c r="I165" s="8"/>
      <c r="J165" s="8"/>
      <c r="K165" s="8"/>
      <c r="L165" s="439"/>
    </row>
    <row r="166" spans="1:12" s="9" customFormat="1" ht="21" customHeight="1" x14ac:dyDescent="0.25">
      <c r="A166" s="95"/>
      <c r="B166" s="373"/>
      <c r="C166" s="593">
        <v>23</v>
      </c>
      <c r="D166" s="578" t="s">
        <v>1314</v>
      </c>
      <c r="E166" s="578"/>
      <c r="F166" s="665">
        <f>F167</f>
        <v>298000000</v>
      </c>
      <c r="G166" s="8"/>
      <c r="H166" s="8"/>
      <c r="I166" s="8"/>
      <c r="J166" s="8"/>
      <c r="K166" s="8"/>
      <c r="L166" s="439"/>
    </row>
    <row r="167" spans="1:12" s="396" customFormat="1" ht="64.5" customHeight="1" x14ac:dyDescent="0.25">
      <c r="A167" s="369"/>
      <c r="B167" s="373"/>
      <c r="C167" s="373"/>
      <c r="D167" s="367">
        <v>2302</v>
      </c>
      <c r="E167" s="664" t="s">
        <v>1144</v>
      </c>
      <c r="F167" s="368">
        <f>POAI!AA425</f>
        <v>298000000</v>
      </c>
      <c r="L167" s="443"/>
    </row>
    <row r="168" spans="1:12" s="11" customFormat="1" ht="18.75" customHeight="1" x14ac:dyDescent="0.2">
      <c r="A168" s="381"/>
      <c r="B168" s="382"/>
      <c r="C168" s="382"/>
      <c r="D168" s="382"/>
      <c r="E168" s="682"/>
      <c r="F168" s="383"/>
      <c r="G168" s="405"/>
      <c r="H168" s="18"/>
      <c r="I168" s="18"/>
      <c r="J168" s="18"/>
      <c r="K168" s="18"/>
      <c r="L168" s="441"/>
    </row>
    <row r="169" spans="1:12" s="32" customFormat="1" ht="33" customHeight="1" x14ac:dyDescent="0.25">
      <c r="A169" s="408" t="s">
        <v>1192</v>
      </c>
      <c r="B169" s="409"/>
      <c r="C169" s="409"/>
      <c r="D169" s="408"/>
      <c r="E169" s="491"/>
      <c r="F169" s="403">
        <f>F156+J148+H128+K118+F111+F90+H82+I75+H52+I26+H20+F13+F6</f>
        <v>261618885573</v>
      </c>
      <c r="G169" s="8">
        <f>POAI!AD432</f>
        <v>261618885573</v>
      </c>
      <c r="H169" s="31"/>
      <c r="I169" s="31"/>
      <c r="J169" s="31"/>
      <c r="K169" s="31"/>
      <c r="L169" s="445"/>
    </row>
    <row r="170" spans="1:12" s="11" customFormat="1" ht="24" customHeight="1" x14ac:dyDescent="0.2">
      <c r="A170" s="381"/>
      <c r="B170" s="382"/>
      <c r="C170" s="382"/>
      <c r="D170" s="382"/>
      <c r="E170" s="682"/>
      <c r="F170" s="383"/>
      <c r="G170" s="405"/>
      <c r="H170" s="18"/>
      <c r="I170" s="18"/>
      <c r="J170" s="18"/>
      <c r="K170" s="18"/>
      <c r="L170" s="441"/>
    </row>
    <row r="171" spans="1:12" ht="51.75" customHeight="1" x14ac:dyDescent="0.2">
      <c r="A171" s="431" t="s">
        <v>8</v>
      </c>
      <c r="B171" s="432" t="s">
        <v>9</v>
      </c>
      <c r="C171" s="432"/>
      <c r="D171" s="432" t="s">
        <v>1269</v>
      </c>
      <c r="E171" s="452" t="s">
        <v>11</v>
      </c>
      <c r="F171" s="568" t="s">
        <v>1272</v>
      </c>
      <c r="G171" s="435" t="s">
        <v>1290</v>
      </c>
      <c r="H171" s="435" t="s">
        <v>1274</v>
      </c>
    </row>
    <row r="172" spans="1:12" ht="30.75" customHeight="1" x14ac:dyDescent="0.2">
      <c r="A172" s="86" t="s">
        <v>1198</v>
      </c>
      <c r="B172" s="87"/>
      <c r="C172" s="87"/>
      <c r="D172" s="87"/>
      <c r="E172" s="679"/>
      <c r="F172" s="88">
        <f t="shared" ref="F172:H173" si="12">F173</f>
        <v>855248186</v>
      </c>
      <c r="G172" s="88">
        <f t="shared" si="12"/>
        <v>1608482068.22</v>
      </c>
      <c r="H172" s="88">
        <f t="shared" si="12"/>
        <v>2463730254.2200003</v>
      </c>
      <c r="I172" s="21">
        <f>POAI!AD437</f>
        <v>2463730254.2200003</v>
      </c>
      <c r="J172" s="21"/>
    </row>
    <row r="173" spans="1:12" ht="24" customHeight="1" x14ac:dyDescent="0.2">
      <c r="A173" s="103"/>
      <c r="B173" s="99">
        <v>1</v>
      </c>
      <c r="C173" s="99"/>
      <c r="D173" s="365" t="s">
        <v>134</v>
      </c>
      <c r="E173" s="676"/>
      <c r="F173" s="366">
        <f t="shared" si="12"/>
        <v>855248186</v>
      </c>
      <c r="G173" s="366">
        <f t="shared" si="12"/>
        <v>1608482068.22</v>
      </c>
      <c r="H173" s="366">
        <f t="shared" si="12"/>
        <v>2463730254.2200003</v>
      </c>
    </row>
    <row r="174" spans="1:12" ht="24" customHeight="1" x14ac:dyDescent="0.2">
      <c r="A174" s="103"/>
      <c r="B174" s="373"/>
      <c r="C174" s="593">
        <v>43</v>
      </c>
      <c r="D174" s="578" t="s">
        <v>1306</v>
      </c>
      <c r="E174" s="662"/>
      <c r="F174" s="665">
        <f>SUM(F175:F176)</f>
        <v>855248186</v>
      </c>
      <c r="G174" s="665">
        <f>SUM(G175:G176)</f>
        <v>1608482068.22</v>
      </c>
      <c r="H174" s="665">
        <f>SUM(H175:H176)</f>
        <v>2463730254.2200003</v>
      </c>
    </row>
    <row r="175" spans="1:12" s="374" customFormat="1" ht="41.25" customHeight="1" x14ac:dyDescent="0.2">
      <c r="A175" s="372"/>
      <c r="B175" s="373"/>
      <c r="C175" s="373"/>
      <c r="D175" s="373">
        <v>4301</v>
      </c>
      <c r="E175" s="674" t="s">
        <v>168</v>
      </c>
      <c r="F175" s="368">
        <f>POAI!AA440</f>
        <v>136127636</v>
      </c>
      <c r="G175" s="368">
        <f>POAI!AB440</f>
        <v>1320121882.22</v>
      </c>
      <c r="H175" s="368">
        <f>SUM(F175:G175)</f>
        <v>1456249518.22</v>
      </c>
      <c r="L175" s="440"/>
    </row>
    <row r="176" spans="1:12" s="374" customFormat="1" ht="37.5" customHeight="1" x14ac:dyDescent="0.2">
      <c r="A176" s="372"/>
      <c r="B176" s="373"/>
      <c r="C176" s="373"/>
      <c r="D176" s="373">
        <v>4302</v>
      </c>
      <c r="E176" s="674" t="s">
        <v>1210</v>
      </c>
      <c r="F176" s="368">
        <f>POAI!AA445</f>
        <v>719120550</v>
      </c>
      <c r="G176" s="368">
        <f>POAI!AB445</f>
        <v>288360186</v>
      </c>
      <c r="H176" s="368">
        <f>SUM(F176:G176)</f>
        <v>1007480736</v>
      </c>
      <c r="L176" s="440"/>
    </row>
    <row r="177" spans="1:12" s="11" customFormat="1" ht="18.75" customHeight="1" x14ac:dyDescent="0.2">
      <c r="A177" s="381"/>
      <c r="B177" s="382"/>
      <c r="C177" s="382"/>
      <c r="D177" s="382"/>
      <c r="E177" s="682"/>
      <c r="F177" s="383"/>
      <c r="G177" s="405"/>
      <c r="H177" s="18"/>
      <c r="I177" s="18"/>
      <c r="J177" s="18"/>
      <c r="K177" s="18"/>
      <c r="L177" s="441"/>
    </row>
    <row r="178" spans="1:12" ht="33" customHeight="1" x14ac:dyDescent="0.2">
      <c r="A178" s="431" t="s">
        <v>8</v>
      </c>
      <c r="B178" s="432" t="s">
        <v>9</v>
      </c>
      <c r="C178" s="432"/>
      <c r="D178" s="432" t="s">
        <v>1269</v>
      </c>
      <c r="E178" s="452" t="s">
        <v>11</v>
      </c>
      <c r="F178" s="435" t="s">
        <v>1291</v>
      </c>
      <c r="G178" s="435" t="s">
        <v>1290</v>
      </c>
      <c r="H178" s="435" t="s">
        <v>1274</v>
      </c>
    </row>
    <row r="179" spans="1:12" s="11" customFormat="1" ht="27.75" customHeight="1" x14ac:dyDescent="0.2">
      <c r="A179" s="86" t="s">
        <v>1220</v>
      </c>
      <c r="B179" s="87"/>
      <c r="C179" s="87"/>
      <c r="D179" s="87"/>
      <c r="E179" s="679"/>
      <c r="F179" s="88">
        <f>F180+F184</f>
        <v>1027674743</v>
      </c>
      <c r="G179" s="88">
        <f>G180+G184</f>
        <v>997308456</v>
      </c>
      <c r="H179" s="88">
        <f>H180+H184</f>
        <v>2024983199</v>
      </c>
      <c r="I179" s="405">
        <f>POAI!AD449</f>
        <v>2024983199</v>
      </c>
      <c r="J179" s="405"/>
      <c r="K179" s="18"/>
      <c r="L179" s="441"/>
    </row>
    <row r="180" spans="1:12" s="11" customFormat="1" ht="24" customHeight="1" x14ac:dyDescent="0.2">
      <c r="A180" s="133"/>
      <c r="B180" s="99">
        <v>1</v>
      </c>
      <c r="C180" s="99"/>
      <c r="D180" s="365" t="s">
        <v>134</v>
      </c>
      <c r="E180" s="676"/>
      <c r="F180" s="366">
        <f>F181</f>
        <v>616604845.79999995</v>
      </c>
      <c r="G180" s="366">
        <f>G181</f>
        <v>0</v>
      </c>
      <c r="H180" s="366">
        <f>H181</f>
        <v>616604845.79999995</v>
      </c>
      <c r="I180" s="18"/>
      <c r="J180" s="18"/>
      <c r="K180" s="18"/>
      <c r="L180" s="441"/>
    </row>
    <row r="181" spans="1:12" s="11" customFormat="1" ht="24" customHeight="1" x14ac:dyDescent="0.2">
      <c r="A181" s="133"/>
      <c r="B181" s="373"/>
      <c r="C181" s="593">
        <v>43</v>
      </c>
      <c r="D181" s="578" t="s">
        <v>1306</v>
      </c>
      <c r="E181" s="662"/>
      <c r="F181" s="665">
        <f>SUM(F182:F183)</f>
        <v>616604845.79999995</v>
      </c>
      <c r="G181" s="665">
        <f>SUM(G182:G183)</f>
        <v>0</v>
      </c>
      <c r="H181" s="665">
        <f>SUM(H182:H183)</f>
        <v>616604845.79999995</v>
      </c>
      <c r="I181" s="18"/>
      <c r="J181" s="18"/>
      <c r="K181" s="18"/>
      <c r="L181" s="441"/>
    </row>
    <row r="182" spans="1:12" s="399" customFormat="1" ht="43.5" customHeight="1" x14ac:dyDescent="0.2">
      <c r="A182" s="397"/>
      <c r="B182" s="367"/>
      <c r="C182" s="367"/>
      <c r="D182" s="373">
        <v>4301</v>
      </c>
      <c r="E182" s="664" t="s">
        <v>168</v>
      </c>
      <c r="F182" s="368">
        <f>POAI!Q452</f>
        <v>308302422.89999998</v>
      </c>
      <c r="G182" s="368">
        <f>POAI!AB452</f>
        <v>0</v>
      </c>
      <c r="H182" s="368">
        <f>SUM(F182:G182)</f>
        <v>308302422.89999998</v>
      </c>
      <c r="L182" s="444"/>
    </row>
    <row r="183" spans="1:12" s="399" customFormat="1" ht="55.5" customHeight="1" x14ac:dyDescent="0.2">
      <c r="A183" s="397"/>
      <c r="B183" s="367"/>
      <c r="C183" s="367"/>
      <c r="D183" s="373">
        <v>2201</v>
      </c>
      <c r="E183" s="664" t="s">
        <v>152</v>
      </c>
      <c r="F183" s="368">
        <f>POAI!Q455</f>
        <v>308302422.89999998</v>
      </c>
      <c r="G183" s="368">
        <f>POAI!AB455</f>
        <v>0</v>
      </c>
      <c r="H183" s="368">
        <f>SUM(F183:G183)</f>
        <v>308302422.89999998</v>
      </c>
      <c r="L183" s="444"/>
    </row>
    <row r="184" spans="1:12" s="11" customFormat="1" ht="21" customHeight="1" x14ac:dyDescent="0.2">
      <c r="A184" s="133"/>
      <c r="B184" s="99">
        <v>3</v>
      </c>
      <c r="C184" s="99"/>
      <c r="D184" s="365" t="s">
        <v>175</v>
      </c>
      <c r="E184" s="676"/>
      <c r="F184" s="366">
        <f>F185+F187</f>
        <v>411069897.20000005</v>
      </c>
      <c r="G184" s="366">
        <f>G185+G187</f>
        <v>997308456</v>
      </c>
      <c r="H184" s="366">
        <f>H185+H187</f>
        <v>1408378353.2</v>
      </c>
      <c r="I184" s="18"/>
      <c r="J184" s="18"/>
      <c r="K184" s="18"/>
      <c r="L184" s="441"/>
    </row>
    <row r="185" spans="1:12" s="11" customFormat="1" ht="21" customHeight="1" x14ac:dyDescent="0.2">
      <c r="A185" s="133"/>
      <c r="B185" s="373"/>
      <c r="C185" s="673">
        <v>24</v>
      </c>
      <c r="D185" s="671" t="s">
        <v>180</v>
      </c>
      <c r="E185" s="667"/>
      <c r="F185" s="665">
        <f>F186</f>
        <v>0</v>
      </c>
      <c r="G185" s="665">
        <f>G186</f>
        <v>199461691.20000002</v>
      </c>
      <c r="H185" s="665">
        <f>H186</f>
        <v>199461691.20000002</v>
      </c>
      <c r="I185" s="18"/>
      <c r="J185" s="18"/>
      <c r="K185" s="18"/>
      <c r="L185" s="441"/>
    </row>
    <row r="186" spans="1:12" s="11" customFormat="1" ht="46.5" customHeight="1" x14ac:dyDescent="0.2">
      <c r="A186" s="133"/>
      <c r="B186" s="225"/>
      <c r="C186" s="225"/>
      <c r="D186" s="373">
        <v>2402</v>
      </c>
      <c r="E186" s="670" t="s">
        <v>176</v>
      </c>
      <c r="F186" s="233">
        <f>POAI!Q459</f>
        <v>0</v>
      </c>
      <c r="G186" s="233">
        <f>POAI!AB459</f>
        <v>199461691.20000002</v>
      </c>
      <c r="H186" s="368">
        <f>SUM(F186:G186)</f>
        <v>199461691.20000002</v>
      </c>
      <c r="I186" s="18"/>
      <c r="J186" s="18"/>
      <c r="K186" s="18"/>
      <c r="L186" s="441"/>
    </row>
    <row r="187" spans="1:12" s="11" customFormat="1" ht="27" customHeight="1" x14ac:dyDescent="0.2">
      <c r="A187" s="133"/>
      <c r="B187" s="225"/>
      <c r="C187" s="668">
        <v>40</v>
      </c>
      <c r="D187" s="671" t="s">
        <v>210</v>
      </c>
      <c r="E187" s="667"/>
      <c r="F187" s="665">
        <f>F188</f>
        <v>411069897.20000005</v>
      </c>
      <c r="G187" s="665">
        <f>G188</f>
        <v>797846764.79999995</v>
      </c>
      <c r="H187" s="665">
        <f>H188</f>
        <v>1208916662</v>
      </c>
      <c r="I187" s="18"/>
      <c r="J187" s="18"/>
      <c r="K187" s="18"/>
      <c r="L187" s="441"/>
    </row>
    <row r="188" spans="1:12" s="11" customFormat="1" ht="44.25" customHeight="1" x14ac:dyDescent="0.2">
      <c r="A188" s="133"/>
      <c r="B188" s="225"/>
      <c r="C188" s="225"/>
      <c r="D188" s="373">
        <v>4001</v>
      </c>
      <c r="E188" s="670" t="s">
        <v>205</v>
      </c>
      <c r="F188" s="233">
        <f>POAI!Q462</f>
        <v>411069897.20000005</v>
      </c>
      <c r="G188" s="233">
        <f>POAI!AB462</f>
        <v>797846764.79999995</v>
      </c>
      <c r="H188" s="368">
        <f>SUM(F188:G188)</f>
        <v>1208916662</v>
      </c>
      <c r="I188" s="18"/>
      <c r="J188" s="18"/>
      <c r="K188" s="18"/>
      <c r="L188" s="441"/>
    </row>
    <row r="189" spans="1:12" s="11" customFormat="1" ht="18.75" customHeight="1" x14ac:dyDescent="0.2">
      <c r="A189" s="381"/>
      <c r="B189" s="382"/>
      <c r="C189" s="382"/>
      <c r="D189" s="382"/>
      <c r="E189" s="682"/>
      <c r="F189" s="383"/>
      <c r="G189" s="405"/>
      <c r="H189" s="18"/>
      <c r="I189" s="18"/>
      <c r="J189" s="18"/>
      <c r="K189" s="18"/>
      <c r="L189" s="441"/>
    </row>
    <row r="190" spans="1:12" ht="30" customHeight="1" x14ac:dyDescent="0.2">
      <c r="A190" s="431" t="s">
        <v>8</v>
      </c>
      <c r="B190" s="432" t="s">
        <v>9</v>
      </c>
      <c r="C190" s="432"/>
      <c r="D190" s="432" t="s">
        <v>1269</v>
      </c>
      <c r="E190" s="452" t="s">
        <v>11</v>
      </c>
      <c r="F190" s="435" t="s">
        <v>1292</v>
      </c>
      <c r="G190" s="4"/>
    </row>
    <row r="191" spans="1:12" ht="25.5" customHeight="1" x14ac:dyDescent="0.2">
      <c r="A191" s="86" t="s">
        <v>1252</v>
      </c>
      <c r="B191" s="87"/>
      <c r="C191" s="87"/>
      <c r="D191" s="87"/>
      <c r="E191" s="679"/>
      <c r="F191" s="88">
        <f>F192</f>
        <v>110210000</v>
      </c>
      <c r="G191" s="21">
        <f>POAI!AD471</f>
        <v>110210000</v>
      </c>
    </row>
    <row r="192" spans="1:12" ht="24" customHeight="1" x14ac:dyDescent="0.2">
      <c r="A192" s="103"/>
      <c r="B192" s="99">
        <v>3</v>
      </c>
      <c r="C192" s="99"/>
      <c r="D192" s="365" t="s">
        <v>175</v>
      </c>
      <c r="E192" s="676"/>
      <c r="F192" s="366">
        <f>F193</f>
        <v>110210000</v>
      </c>
    </row>
    <row r="193" spans="1:12" ht="24" customHeight="1" x14ac:dyDescent="0.2">
      <c r="A193" s="103"/>
      <c r="B193" s="373"/>
      <c r="C193" s="593">
        <v>24</v>
      </c>
      <c r="D193" s="666" t="s">
        <v>180</v>
      </c>
      <c r="E193" s="667"/>
      <c r="F193" s="684">
        <f>F194</f>
        <v>110210000</v>
      </c>
    </row>
    <row r="194" spans="1:12" s="374" customFormat="1" ht="30" customHeight="1" x14ac:dyDescent="0.2">
      <c r="A194" s="372"/>
      <c r="B194" s="373"/>
      <c r="C194" s="373"/>
      <c r="D194" s="373">
        <v>2409</v>
      </c>
      <c r="E194" s="674" t="s">
        <v>1253</v>
      </c>
      <c r="F194" s="368">
        <f>POAI!AB474</f>
        <v>110210000</v>
      </c>
      <c r="G194" s="404"/>
      <c r="L194" s="440"/>
    </row>
    <row r="195" spans="1:12" s="411" customFormat="1" ht="23.25" customHeight="1" x14ac:dyDescent="0.2">
      <c r="A195" s="412"/>
      <c r="B195" s="413"/>
      <c r="C195" s="413"/>
      <c r="D195" s="413"/>
      <c r="E195" s="414"/>
      <c r="F195" s="414"/>
      <c r="G195" s="415"/>
      <c r="H195" s="416"/>
      <c r="I195" s="416"/>
      <c r="J195" s="416"/>
      <c r="K195" s="416"/>
      <c r="L195" s="446"/>
    </row>
    <row r="196" spans="1:12" s="56" customFormat="1" ht="26.25" customHeight="1" x14ac:dyDescent="0.25">
      <c r="A196" s="408" t="s">
        <v>1265</v>
      </c>
      <c r="B196" s="408"/>
      <c r="C196" s="408"/>
      <c r="D196" s="408"/>
      <c r="E196" s="408"/>
      <c r="F196" s="422">
        <f>H172+H179+F191</f>
        <v>4598923453.2200003</v>
      </c>
      <c r="G196" s="396">
        <f>POAI!AD479</f>
        <v>4598923453.2200003</v>
      </c>
      <c r="L196" s="447"/>
    </row>
    <row r="197" spans="1:12" s="56" customFormat="1" ht="15.75" x14ac:dyDescent="0.25">
      <c r="A197" s="49"/>
      <c r="B197" s="50"/>
      <c r="C197" s="50"/>
      <c r="D197" s="50"/>
      <c r="E197" s="51"/>
      <c r="F197" s="51"/>
      <c r="G197" s="396"/>
      <c r="L197" s="447"/>
    </row>
    <row r="198" spans="1:12" s="374" customFormat="1" ht="27" customHeight="1" x14ac:dyDescent="0.2">
      <c r="A198" s="691" t="s">
        <v>1268</v>
      </c>
      <c r="B198" s="692"/>
      <c r="C198" s="692"/>
      <c r="D198" s="693"/>
      <c r="E198" s="694"/>
      <c r="F198" s="695">
        <f>F196+F169</f>
        <v>266217809026.22</v>
      </c>
      <c r="G198" s="404">
        <f>POAI!AD483</f>
        <v>266217809026.22</v>
      </c>
      <c r="H198" s="404"/>
      <c r="L198" s="440"/>
    </row>
    <row r="201" spans="1:12" x14ac:dyDescent="0.2">
      <c r="I201" s="374"/>
    </row>
  </sheetData>
  <mergeCells count="1">
    <mergeCell ref="A1:F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4:E22"/>
  <sheetViews>
    <sheetView topLeftCell="A2732" workbookViewId="0">
      <selection activeCell="F2733" sqref="F2733"/>
    </sheetView>
  </sheetViews>
  <sheetFormatPr baseColWidth="10" defaultRowHeight="15.75" x14ac:dyDescent="0.25"/>
  <cols>
    <col min="3" max="3" width="40.7109375" style="705" customWidth="1"/>
    <col min="4" max="4" width="19.5703125" style="709" customWidth="1"/>
    <col min="5" max="5" width="12" bestFit="1" customWidth="1"/>
  </cols>
  <sheetData>
    <row r="4" spans="3:5" x14ac:dyDescent="0.25">
      <c r="C4" s="710" t="s">
        <v>1323</v>
      </c>
      <c r="D4" s="711" t="s">
        <v>1324</v>
      </c>
      <c r="E4" s="712" t="s">
        <v>1325</v>
      </c>
    </row>
    <row r="5" spans="3:5" x14ac:dyDescent="0.25">
      <c r="C5" s="706" t="s">
        <v>1326</v>
      </c>
      <c r="D5" s="707">
        <f>176000000/1000</f>
        <v>176000</v>
      </c>
      <c r="E5" s="703">
        <f>+D5*100/$D$18</f>
        <v>6.7273430820761745E-2</v>
      </c>
    </row>
    <row r="6" spans="3:5" x14ac:dyDescent="0.25">
      <c r="C6" s="706" t="s">
        <v>1319</v>
      </c>
      <c r="D6" s="707">
        <f>983000000/1000</f>
        <v>983000</v>
      </c>
      <c r="E6" s="703">
        <f t="shared" ref="E6:E17" si="0">+D6*100/$D$18</f>
        <v>0.37573740055005</v>
      </c>
    </row>
    <row r="7" spans="3:5" x14ac:dyDescent="0.25">
      <c r="C7" s="704" t="s">
        <v>1327</v>
      </c>
      <c r="D7" s="707">
        <f>2090000000/1000</f>
        <v>2090000</v>
      </c>
      <c r="E7" s="703">
        <f t="shared" si="0"/>
        <v>0.79887199099654571</v>
      </c>
    </row>
    <row r="8" spans="3:5" x14ac:dyDescent="0.25">
      <c r="C8" s="704" t="s">
        <v>1320</v>
      </c>
      <c r="D8" s="707">
        <f>8002091816/1000</f>
        <v>8002091.8159999996</v>
      </c>
      <c r="E8" s="703">
        <f t="shared" si="0"/>
        <v>3.0586827852560208</v>
      </c>
    </row>
    <row r="9" spans="3:5" x14ac:dyDescent="0.25">
      <c r="C9" s="704" t="s">
        <v>1330</v>
      </c>
      <c r="D9" s="707">
        <f>2706182726/1000</f>
        <v>2706182.7259999998</v>
      </c>
      <c r="E9" s="703">
        <f t="shared" si="0"/>
        <v>1.034398843215349</v>
      </c>
    </row>
    <row r="10" spans="3:5" x14ac:dyDescent="0.25">
      <c r="C10" s="704" t="s">
        <v>1329</v>
      </c>
      <c r="D10" s="707">
        <f>2529898101/1000</f>
        <v>2529898.1009999998</v>
      </c>
      <c r="E10" s="703">
        <f t="shared" si="0"/>
        <v>0.96701661864318178</v>
      </c>
    </row>
    <row r="11" spans="3:5" x14ac:dyDescent="0.25">
      <c r="C11" s="704" t="s">
        <v>1328</v>
      </c>
      <c r="D11" s="707">
        <f>1427372304/1000</f>
        <v>1427372.304</v>
      </c>
      <c r="E11" s="703">
        <f t="shared" si="0"/>
        <v>0.54559222698076881</v>
      </c>
    </row>
    <row r="12" spans="3:5" x14ac:dyDescent="0.25">
      <c r="C12" s="704" t="s">
        <v>1335</v>
      </c>
      <c r="D12" s="707">
        <f>2573248186/1000</f>
        <v>2573248.1860000002</v>
      </c>
      <c r="E12" s="703">
        <f t="shared" si="0"/>
        <v>0.98358655582682775</v>
      </c>
    </row>
    <row r="13" spans="3:5" x14ac:dyDescent="0.25">
      <c r="C13" s="704" t="s">
        <v>1321</v>
      </c>
      <c r="D13" s="707">
        <f>695000000/1000</f>
        <v>695000</v>
      </c>
      <c r="E13" s="703">
        <f t="shared" si="0"/>
        <v>0.26565360466153076</v>
      </c>
    </row>
    <row r="14" spans="3:5" x14ac:dyDescent="0.25">
      <c r="C14" s="704" t="s">
        <v>1331</v>
      </c>
      <c r="D14" s="707">
        <f>188733124732/1000</f>
        <v>188733124.73199999</v>
      </c>
      <c r="E14" s="703">
        <f t="shared" si="0"/>
        <v>72.140481876388634</v>
      </c>
    </row>
    <row r="15" spans="3:5" x14ac:dyDescent="0.25">
      <c r="C15" s="704" t="s">
        <v>1332</v>
      </c>
      <c r="D15" s="707">
        <f>5182789574/1000</f>
        <v>5182789.574</v>
      </c>
      <c r="E15" s="703">
        <f t="shared" si="0"/>
        <v>1.9810456583241718</v>
      </c>
    </row>
    <row r="16" spans="3:5" x14ac:dyDescent="0.25">
      <c r="C16" s="704" t="s">
        <v>1333</v>
      </c>
      <c r="D16" s="707">
        <f>45624178134/1000</f>
        <v>45624178.134000003</v>
      </c>
      <c r="E16" s="703">
        <f t="shared" si="0"/>
        <v>17.439176087794092</v>
      </c>
    </row>
    <row r="17" spans="3:5" x14ac:dyDescent="0.25">
      <c r="C17" s="704" t="s">
        <v>1334</v>
      </c>
      <c r="D17" s="707">
        <f>896000000/1000</f>
        <v>896000</v>
      </c>
      <c r="E17" s="703">
        <f t="shared" si="0"/>
        <v>0.34248292054205981</v>
      </c>
    </row>
    <row r="18" spans="3:5" x14ac:dyDescent="0.25">
      <c r="C18" s="704" t="s">
        <v>1322</v>
      </c>
      <c r="D18" s="707">
        <f>SUM(D5:D17)</f>
        <v>261618885.57300001</v>
      </c>
      <c r="E18" s="703">
        <f>SUM(E5:E17)</f>
        <v>100</v>
      </c>
    </row>
    <row r="19" spans="3:5" x14ac:dyDescent="0.25">
      <c r="C19" s="704"/>
      <c r="D19" s="708"/>
      <c r="E19" s="703"/>
    </row>
    <row r="22" spans="3:5" x14ac:dyDescent="0.25">
      <c r="D22" s="709">
        <f>+D14+D16</f>
        <v>234357302.866</v>
      </c>
      <c r="E22">
        <f>+D22*100/D18</f>
        <v>89.579657964182715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K68"/>
  <sheetViews>
    <sheetView workbookViewId="0">
      <selection activeCell="C7" sqref="C7"/>
    </sheetView>
  </sheetViews>
  <sheetFormatPr baseColWidth="10" defaultRowHeight="15" x14ac:dyDescent="0.25"/>
  <cols>
    <col min="1" max="1" width="51" style="1382" customWidth="1"/>
    <col min="2" max="2" width="42.5703125" style="1374" customWidth="1"/>
    <col min="3" max="3" width="42.28515625" style="1374" bestFit="1" customWidth="1"/>
    <col min="4" max="4" width="40.7109375" style="729" customWidth="1"/>
    <col min="5" max="5" width="38.28515625" style="1374" customWidth="1"/>
    <col min="6" max="6" width="38.28515625" style="1369" customWidth="1"/>
    <col min="7" max="7" width="23.140625" style="1369" customWidth="1"/>
    <col min="8" max="8" width="20.85546875" style="1369" customWidth="1"/>
    <col min="9" max="9" width="27.28515625" style="1369" customWidth="1"/>
    <col min="10" max="10" width="16" style="1369" customWidth="1"/>
    <col min="11" max="11" width="9.42578125" style="1369" customWidth="1"/>
    <col min="12" max="12" width="11.5703125" style="1369" customWidth="1"/>
    <col min="13" max="13" width="14.28515625" style="1369" customWidth="1"/>
    <col min="14" max="17" width="11.42578125" style="1369"/>
    <col min="18" max="63" width="11.42578125" style="746"/>
  </cols>
  <sheetData>
    <row r="1" spans="1:63" x14ac:dyDescent="0.25">
      <c r="A1" s="1379" t="s">
        <v>1983</v>
      </c>
      <c r="B1" s="1372" t="s">
        <v>1984</v>
      </c>
      <c r="C1" s="1373"/>
      <c r="D1" s="1370"/>
      <c r="E1" s="1373"/>
      <c r="F1" s="1367"/>
      <c r="G1" s="1367"/>
      <c r="H1" s="1367"/>
      <c r="I1" s="1367"/>
      <c r="J1" s="1367"/>
      <c r="K1" s="1367"/>
      <c r="L1" s="1367"/>
      <c r="M1" s="1367"/>
      <c r="N1" s="1367"/>
      <c r="O1" s="1367"/>
      <c r="P1" s="1367"/>
      <c r="Q1" s="1367"/>
    </row>
    <row r="2" spans="1:63" x14ac:dyDescent="0.25">
      <c r="A2" s="1380" t="s">
        <v>1985</v>
      </c>
      <c r="B2" s="1375">
        <v>44075</v>
      </c>
      <c r="C2" s="1376"/>
      <c r="D2" s="1370"/>
      <c r="E2" s="1373"/>
      <c r="F2" s="1367"/>
      <c r="G2" s="1367"/>
      <c r="H2" s="1367"/>
      <c r="I2" s="1367"/>
      <c r="J2" s="1367"/>
      <c r="K2" s="1367"/>
      <c r="L2" s="1367"/>
      <c r="M2" s="1367"/>
      <c r="N2" s="1367"/>
      <c r="O2" s="1367"/>
      <c r="P2" s="1367"/>
      <c r="Q2" s="1367"/>
    </row>
    <row r="3" spans="1:63" x14ac:dyDescent="0.25">
      <c r="A3" s="1381"/>
      <c r="B3" s="1373"/>
      <c r="C3" s="1373"/>
      <c r="D3" s="1370"/>
      <c r="E3" s="1373"/>
      <c r="F3" s="1367"/>
      <c r="G3" s="1367"/>
      <c r="H3" s="1367"/>
      <c r="I3" s="1367"/>
      <c r="J3" s="1367"/>
      <c r="K3" s="1367"/>
      <c r="L3" s="1367"/>
      <c r="M3" s="1367"/>
      <c r="N3" s="1367"/>
      <c r="O3" s="1367"/>
      <c r="P3" s="1367"/>
      <c r="Q3" s="1367"/>
    </row>
    <row r="4" spans="1:63" ht="22.5" x14ac:dyDescent="0.25">
      <c r="A4" s="1379" t="s">
        <v>1986</v>
      </c>
      <c r="B4" s="1372" t="s">
        <v>1987</v>
      </c>
      <c r="C4" s="1372" t="s">
        <v>1988</v>
      </c>
      <c r="D4" s="1371" t="s">
        <v>1989</v>
      </c>
      <c r="E4" s="1377" t="s">
        <v>1990</v>
      </c>
      <c r="F4" s="1368" t="s">
        <v>1991</v>
      </c>
      <c r="G4" s="1368" t="s">
        <v>1992</v>
      </c>
      <c r="H4" s="1368" t="s">
        <v>1993</v>
      </c>
      <c r="I4" s="1368" t="s">
        <v>1994</v>
      </c>
      <c r="J4" s="1368" t="s">
        <v>1995</v>
      </c>
      <c r="K4" s="1368" t="s">
        <v>1996</v>
      </c>
      <c r="L4" s="1368" t="s">
        <v>1997</v>
      </c>
      <c r="M4" s="1368" t="s">
        <v>1998</v>
      </c>
      <c r="N4" s="1368" t="s">
        <v>1999</v>
      </c>
      <c r="O4" s="1368" t="s">
        <v>2000</v>
      </c>
      <c r="P4" s="1368" t="s">
        <v>2001</v>
      </c>
      <c r="Q4" s="1368" t="s">
        <v>2002</v>
      </c>
    </row>
    <row r="5" spans="1:63" s="1361" customFormat="1" ht="123.75" x14ac:dyDescent="0.25">
      <c r="A5" s="1383" t="s">
        <v>2003</v>
      </c>
      <c r="B5" s="1384" t="s">
        <v>155</v>
      </c>
      <c r="C5" s="1384" t="s">
        <v>2004</v>
      </c>
      <c r="D5" s="1383" t="s">
        <v>2005</v>
      </c>
      <c r="E5" s="1384"/>
      <c r="F5" s="1384" t="s">
        <v>2006</v>
      </c>
      <c r="G5" s="1384"/>
      <c r="H5" s="1384"/>
      <c r="I5" s="1384" t="s">
        <v>2007</v>
      </c>
      <c r="J5" s="1384"/>
      <c r="K5" s="1384"/>
      <c r="L5" s="1384"/>
      <c r="M5" s="1384" t="s">
        <v>2008</v>
      </c>
      <c r="N5" s="1384"/>
      <c r="O5" s="1384"/>
      <c r="P5" s="1384" t="s">
        <v>2009</v>
      </c>
      <c r="Q5" s="1384"/>
      <c r="R5" s="746"/>
      <c r="S5" s="746"/>
      <c r="T5" s="746"/>
      <c r="U5" s="746"/>
      <c r="V5" s="746"/>
      <c r="W5" s="746"/>
      <c r="X5" s="746"/>
      <c r="Y5" s="746"/>
      <c r="Z5" s="746"/>
      <c r="AA5" s="746"/>
      <c r="AB5" s="746"/>
      <c r="AC5" s="746"/>
      <c r="AD5" s="746"/>
      <c r="AE5" s="746"/>
      <c r="AF5" s="746"/>
      <c r="AG5" s="746"/>
      <c r="AH5" s="746"/>
      <c r="AI5" s="746"/>
      <c r="AJ5" s="746"/>
      <c r="AK5" s="746"/>
      <c r="AL5" s="746"/>
      <c r="AM5" s="746"/>
      <c r="AN5" s="746"/>
      <c r="AO5" s="746"/>
      <c r="AP5" s="746"/>
      <c r="AQ5" s="746"/>
      <c r="AR5" s="746"/>
      <c r="AS5" s="746"/>
      <c r="AT5" s="746"/>
      <c r="AU5" s="746"/>
      <c r="AV5" s="746"/>
      <c r="AW5" s="746"/>
      <c r="AX5" s="746"/>
      <c r="AY5" s="746"/>
      <c r="AZ5" s="746"/>
      <c r="BA5" s="746"/>
      <c r="BB5" s="746"/>
      <c r="BC5" s="746"/>
      <c r="BD5" s="746"/>
      <c r="BE5" s="746"/>
      <c r="BF5" s="746"/>
      <c r="BG5" s="746"/>
      <c r="BH5" s="746"/>
      <c r="BI5" s="746"/>
      <c r="BJ5" s="746"/>
      <c r="BK5" s="746"/>
    </row>
    <row r="6" spans="1:63" s="1361" customFormat="1" ht="112.5" x14ac:dyDescent="0.25">
      <c r="A6" s="1383" t="s">
        <v>2010</v>
      </c>
      <c r="B6" s="1384" t="s">
        <v>179</v>
      </c>
      <c r="C6" s="1384" t="s">
        <v>2011</v>
      </c>
      <c r="D6" s="1383" t="s">
        <v>2012</v>
      </c>
      <c r="E6" s="1384" t="s">
        <v>2013</v>
      </c>
      <c r="F6" s="1384" t="s">
        <v>2014</v>
      </c>
      <c r="G6" s="1384"/>
      <c r="H6" s="1384"/>
      <c r="I6" s="1384" t="s">
        <v>2015</v>
      </c>
      <c r="J6" s="1384"/>
      <c r="K6" s="1384"/>
      <c r="L6" s="1384"/>
      <c r="M6" s="1384" t="s">
        <v>2008</v>
      </c>
      <c r="N6" s="1384"/>
      <c r="O6" s="1384"/>
      <c r="P6" s="1384" t="s">
        <v>2009</v>
      </c>
      <c r="Q6" s="1384"/>
      <c r="R6" s="746"/>
      <c r="S6" s="746"/>
      <c r="T6" s="746"/>
      <c r="U6" s="746"/>
      <c r="V6" s="746"/>
      <c r="W6" s="746"/>
      <c r="X6" s="746"/>
      <c r="Y6" s="746"/>
      <c r="Z6" s="746"/>
      <c r="AA6" s="746"/>
      <c r="AB6" s="746"/>
      <c r="AC6" s="746"/>
      <c r="AD6" s="746"/>
      <c r="AE6" s="746"/>
      <c r="AF6" s="746"/>
      <c r="AG6" s="746"/>
      <c r="AH6" s="746"/>
      <c r="AI6" s="746"/>
      <c r="AJ6" s="746"/>
      <c r="AK6" s="746"/>
      <c r="AL6" s="746"/>
      <c r="AM6" s="746"/>
      <c r="AN6" s="746"/>
      <c r="AO6" s="746"/>
      <c r="AP6" s="746"/>
      <c r="AQ6" s="746"/>
      <c r="AR6" s="746"/>
      <c r="AS6" s="746"/>
      <c r="AT6" s="746"/>
      <c r="AU6" s="746"/>
      <c r="AV6" s="746"/>
      <c r="AW6" s="746"/>
      <c r="AX6" s="746"/>
      <c r="AY6" s="746"/>
      <c r="AZ6" s="746"/>
      <c r="BA6" s="746"/>
      <c r="BB6" s="746"/>
      <c r="BC6" s="746"/>
      <c r="BD6" s="746"/>
      <c r="BE6" s="746"/>
      <c r="BF6" s="746"/>
      <c r="BG6" s="746"/>
      <c r="BH6" s="746"/>
      <c r="BI6" s="746"/>
      <c r="BJ6" s="746"/>
      <c r="BK6" s="746"/>
    </row>
    <row r="7" spans="1:63" s="1361" customFormat="1" ht="112.5" x14ac:dyDescent="0.25">
      <c r="A7" s="1383" t="s">
        <v>2016</v>
      </c>
      <c r="B7" s="1384" t="s">
        <v>2017</v>
      </c>
      <c r="C7" s="1384" t="s">
        <v>2018</v>
      </c>
      <c r="D7" s="1383" t="s">
        <v>1424</v>
      </c>
      <c r="E7" s="1384" t="s">
        <v>2013</v>
      </c>
      <c r="F7" s="1384" t="s">
        <v>2014</v>
      </c>
      <c r="G7" s="1384"/>
      <c r="H7" s="1384"/>
      <c r="I7" s="1384" t="s">
        <v>2015</v>
      </c>
      <c r="J7" s="1384"/>
      <c r="K7" s="1384"/>
      <c r="L7" s="1384"/>
      <c r="M7" s="1384" t="s">
        <v>2019</v>
      </c>
      <c r="N7" s="1384"/>
      <c r="O7" s="1384"/>
      <c r="P7" s="1384" t="s">
        <v>2009</v>
      </c>
      <c r="Q7" s="1384"/>
      <c r="R7" s="746"/>
      <c r="S7" s="746"/>
      <c r="T7" s="746"/>
      <c r="U7" s="746"/>
      <c r="V7" s="746"/>
      <c r="W7" s="746"/>
      <c r="X7" s="746"/>
      <c r="Y7" s="746"/>
      <c r="Z7" s="746"/>
      <c r="AA7" s="746"/>
      <c r="AB7" s="746"/>
      <c r="AC7" s="746"/>
      <c r="AD7" s="746"/>
      <c r="AE7" s="746"/>
      <c r="AF7" s="746"/>
      <c r="AG7" s="746"/>
      <c r="AH7" s="746"/>
      <c r="AI7" s="746"/>
      <c r="AJ7" s="746"/>
      <c r="AK7" s="746"/>
      <c r="AL7" s="746"/>
      <c r="AM7" s="746"/>
      <c r="AN7" s="746"/>
      <c r="AO7" s="746"/>
      <c r="AP7" s="746"/>
      <c r="AQ7" s="746"/>
      <c r="AR7" s="746"/>
      <c r="AS7" s="746"/>
      <c r="AT7" s="746"/>
      <c r="AU7" s="746"/>
      <c r="AV7" s="746"/>
      <c r="AW7" s="746"/>
      <c r="AX7" s="746"/>
      <c r="AY7" s="746"/>
      <c r="AZ7" s="746"/>
      <c r="BA7" s="746"/>
      <c r="BB7" s="746"/>
      <c r="BC7" s="746"/>
      <c r="BD7" s="746"/>
      <c r="BE7" s="746"/>
      <c r="BF7" s="746"/>
      <c r="BG7" s="746"/>
      <c r="BH7" s="746"/>
      <c r="BI7" s="746"/>
      <c r="BJ7" s="746"/>
      <c r="BK7" s="746"/>
    </row>
    <row r="8" spans="1:63" s="1362" customFormat="1" ht="112.5" x14ac:dyDescent="0.25">
      <c r="A8" s="1383" t="s">
        <v>2020</v>
      </c>
      <c r="B8" s="1384" t="s">
        <v>2021</v>
      </c>
      <c r="C8" s="1384" t="s">
        <v>2022</v>
      </c>
      <c r="D8" s="1383" t="s">
        <v>2023</v>
      </c>
      <c r="E8" s="1384" t="s">
        <v>2024</v>
      </c>
      <c r="F8" s="1384" t="s">
        <v>2025</v>
      </c>
      <c r="G8" s="1384"/>
      <c r="H8" s="1384"/>
      <c r="I8" s="1384" t="s">
        <v>2026</v>
      </c>
      <c r="J8" s="1384"/>
      <c r="K8" s="1384"/>
      <c r="L8" s="1384"/>
      <c r="M8" s="1384" t="s">
        <v>2027</v>
      </c>
      <c r="N8" s="1384"/>
      <c r="O8" s="1384"/>
      <c r="P8" s="1384" t="s">
        <v>2009</v>
      </c>
      <c r="Q8" s="1384"/>
      <c r="R8" s="746"/>
      <c r="S8" s="746"/>
      <c r="T8" s="746"/>
      <c r="U8" s="746"/>
      <c r="V8" s="746"/>
      <c r="W8" s="746"/>
      <c r="X8" s="746"/>
      <c r="Y8" s="746"/>
      <c r="Z8" s="746"/>
      <c r="AA8" s="746"/>
      <c r="AB8" s="746"/>
      <c r="AC8" s="746"/>
      <c r="AD8" s="746"/>
      <c r="AE8" s="746"/>
      <c r="AF8" s="746"/>
      <c r="AG8" s="746"/>
      <c r="AH8" s="746"/>
      <c r="AI8" s="746"/>
      <c r="AJ8" s="746"/>
      <c r="AK8" s="746"/>
      <c r="AL8" s="746"/>
      <c r="AM8" s="746"/>
      <c r="AN8" s="746"/>
      <c r="AO8" s="746"/>
      <c r="AP8" s="746"/>
      <c r="AQ8" s="746"/>
      <c r="AR8" s="746"/>
      <c r="AS8" s="746"/>
      <c r="AT8" s="746"/>
      <c r="AU8" s="746"/>
      <c r="AV8" s="746"/>
      <c r="AW8" s="746"/>
      <c r="AX8" s="746"/>
      <c r="AY8" s="746"/>
      <c r="AZ8" s="746"/>
      <c r="BA8" s="746"/>
      <c r="BB8" s="746"/>
      <c r="BC8" s="746"/>
      <c r="BD8" s="746"/>
      <c r="BE8" s="746"/>
      <c r="BF8" s="746"/>
      <c r="BG8" s="746"/>
      <c r="BH8" s="746"/>
      <c r="BI8" s="746"/>
      <c r="BJ8" s="746"/>
      <c r="BK8" s="746"/>
    </row>
    <row r="9" spans="1:63" s="1363" customFormat="1" ht="33.75" x14ac:dyDescent="0.25">
      <c r="A9" s="1383" t="s">
        <v>2028</v>
      </c>
      <c r="B9" s="1384" t="s">
        <v>2029</v>
      </c>
      <c r="C9" s="1384" t="s">
        <v>2030</v>
      </c>
      <c r="D9" s="1383" t="s">
        <v>1495</v>
      </c>
      <c r="E9" s="1384"/>
      <c r="F9" s="1384" t="s">
        <v>2031</v>
      </c>
      <c r="G9" s="1384"/>
      <c r="H9" s="1384"/>
      <c r="I9" s="1384" t="s">
        <v>2032</v>
      </c>
      <c r="J9" s="1384"/>
      <c r="K9" s="1384"/>
      <c r="L9" s="1384"/>
      <c r="M9" s="1384" t="s">
        <v>2033</v>
      </c>
      <c r="N9" s="1384"/>
      <c r="O9" s="1384"/>
      <c r="P9" s="1384" t="s">
        <v>2009</v>
      </c>
      <c r="Q9" s="1384"/>
      <c r="R9" s="746"/>
      <c r="S9" s="746"/>
      <c r="T9" s="746"/>
      <c r="U9" s="746"/>
      <c r="V9" s="746"/>
      <c r="W9" s="746"/>
      <c r="X9" s="746"/>
      <c r="Y9" s="746"/>
      <c r="Z9" s="746"/>
      <c r="AA9" s="746"/>
      <c r="AB9" s="746"/>
      <c r="AC9" s="746"/>
      <c r="AD9" s="746"/>
      <c r="AE9" s="746"/>
      <c r="AF9" s="746"/>
      <c r="AG9" s="746"/>
      <c r="AH9" s="746"/>
      <c r="AI9" s="746"/>
      <c r="AJ9" s="746"/>
      <c r="AK9" s="746"/>
      <c r="AL9" s="746"/>
      <c r="AM9" s="746"/>
      <c r="AN9" s="746"/>
      <c r="AO9" s="746"/>
      <c r="AP9" s="746"/>
      <c r="AQ9" s="746"/>
      <c r="AR9" s="746"/>
      <c r="AS9" s="746"/>
      <c r="AT9" s="746"/>
      <c r="AU9" s="746"/>
      <c r="AV9" s="746"/>
      <c r="AW9" s="746"/>
      <c r="AX9" s="746"/>
      <c r="AY9" s="746"/>
      <c r="AZ9" s="746"/>
      <c r="BA9" s="746"/>
      <c r="BB9" s="746"/>
      <c r="BC9" s="746"/>
      <c r="BD9" s="746"/>
      <c r="BE9" s="746"/>
      <c r="BF9" s="746"/>
      <c r="BG9" s="746"/>
      <c r="BH9" s="746"/>
      <c r="BI9" s="746"/>
      <c r="BJ9" s="746"/>
      <c r="BK9" s="746"/>
    </row>
    <row r="10" spans="1:63" s="1363" customFormat="1" ht="22.5" x14ac:dyDescent="0.25">
      <c r="A10" s="1383" t="s">
        <v>2034</v>
      </c>
      <c r="B10" s="1384" t="s">
        <v>2035</v>
      </c>
      <c r="C10" s="1384" t="s">
        <v>2036</v>
      </c>
      <c r="D10" s="1383" t="s">
        <v>2037</v>
      </c>
      <c r="E10" s="1384"/>
      <c r="F10" s="1384" t="s">
        <v>2031</v>
      </c>
      <c r="G10" s="1384"/>
      <c r="H10" s="1384"/>
      <c r="I10" s="1384" t="s">
        <v>2038</v>
      </c>
      <c r="J10" s="1384"/>
      <c r="K10" s="1384"/>
      <c r="L10" s="1384"/>
      <c r="M10" s="1384" t="s">
        <v>2039</v>
      </c>
      <c r="N10" s="1384"/>
      <c r="O10" s="1384"/>
      <c r="P10" s="1384" t="s">
        <v>2009</v>
      </c>
      <c r="Q10" s="1384"/>
      <c r="R10" s="746"/>
      <c r="S10" s="746"/>
      <c r="T10" s="746"/>
      <c r="U10" s="746"/>
      <c r="V10" s="746"/>
      <c r="W10" s="746"/>
      <c r="X10" s="746"/>
      <c r="Y10" s="746"/>
      <c r="Z10" s="746"/>
      <c r="AA10" s="746"/>
      <c r="AB10" s="746"/>
      <c r="AC10" s="746"/>
      <c r="AD10" s="746"/>
      <c r="AE10" s="746"/>
      <c r="AF10" s="746"/>
      <c r="AG10" s="746"/>
      <c r="AH10" s="746"/>
      <c r="AI10" s="746"/>
      <c r="AJ10" s="746"/>
      <c r="AK10" s="746"/>
      <c r="AL10" s="746"/>
      <c r="AM10" s="746"/>
      <c r="AN10" s="746"/>
      <c r="AO10" s="746"/>
      <c r="AP10" s="746"/>
      <c r="AQ10" s="746"/>
      <c r="AR10" s="746"/>
      <c r="AS10" s="746"/>
      <c r="AT10" s="746"/>
      <c r="AU10" s="746"/>
      <c r="AV10" s="746"/>
      <c r="AW10" s="746"/>
      <c r="AX10" s="746"/>
      <c r="AY10" s="746"/>
      <c r="AZ10" s="746"/>
      <c r="BA10" s="746"/>
      <c r="BB10" s="746"/>
      <c r="BC10" s="746"/>
      <c r="BD10" s="746"/>
      <c r="BE10" s="746"/>
      <c r="BF10" s="746"/>
      <c r="BG10" s="746"/>
      <c r="BH10" s="746"/>
      <c r="BI10" s="746"/>
      <c r="BJ10" s="746"/>
      <c r="BK10" s="746"/>
    </row>
    <row r="11" spans="1:63" s="1362" customFormat="1" ht="56.25" x14ac:dyDescent="0.25">
      <c r="A11" s="1383" t="s">
        <v>2040</v>
      </c>
      <c r="B11" s="1384" t="s">
        <v>2041</v>
      </c>
      <c r="C11" s="1384" t="s">
        <v>2042</v>
      </c>
      <c r="D11" s="1383" t="s">
        <v>1479</v>
      </c>
      <c r="E11" s="1384" t="s">
        <v>2013</v>
      </c>
      <c r="F11" s="1384" t="s">
        <v>2031</v>
      </c>
      <c r="G11" s="1384" t="s">
        <v>2043</v>
      </c>
      <c r="H11" s="1384"/>
      <c r="I11" s="1384" t="s">
        <v>2044</v>
      </c>
      <c r="J11" s="1384"/>
      <c r="K11" s="1384"/>
      <c r="L11" s="1384"/>
      <c r="M11" s="1384" t="s">
        <v>2033</v>
      </c>
      <c r="N11" s="1384"/>
      <c r="O11" s="1384"/>
      <c r="P11" s="1384" t="s">
        <v>2009</v>
      </c>
      <c r="Q11" s="1384"/>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6"/>
      <c r="AY11" s="746"/>
      <c r="AZ11" s="746"/>
      <c r="BA11" s="746"/>
      <c r="BB11" s="746"/>
      <c r="BC11" s="746"/>
      <c r="BD11" s="746"/>
      <c r="BE11" s="746"/>
      <c r="BF11" s="746"/>
      <c r="BG11" s="746"/>
      <c r="BH11" s="746"/>
      <c r="BI11" s="746"/>
      <c r="BJ11" s="746"/>
      <c r="BK11" s="746"/>
    </row>
    <row r="12" spans="1:63" s="1363" customFormat="1" ht="45" x14ac:dyDescent="0.25">
      <c r="A12" s="1383" t="s">
        <v>2045</v>
      </c>
      <c r="B12" s="1384" t="s">
        <v>773</v>
      </c>
      <c r="C12" s="1384" t="s">
        <v>2046</v>
      </c>
      <c r="D12" s="1383" t="s">
        <v>1481</v>
      </c>
      <c r="E12" s="1384" t="s">
        <v>2013</v>
      </c>
      <c r="F12" s="1384" t="s">
        <v>2031</v>
      </c>
      <c r="G12" s="1384" t="s">
        <v>2043</v>
      </c>
      <c r="H12" s="1384"/>
      <c r="I12" s="1384" t="s">
        <v>2044</v>
      </c>
      <c r="J12" s="1384"/>
      <c r="K12" s="1384"/>
      <c r="L12" s="1384"/>
      <c r="M12" s="1384" t="s">
        <v>2033</v>
      </c>
      <c r="N12" s="1384"/>
      <c r="O12" s="1384"/>
      <c r="P12" s="1384" t="s">
        <v>2009</v>
      </c>
      <c r="Q12" s="1384"/>
      <c r="R12" s="746"/>
      <c r="S12" s="746"/>
      <c r="T12" s="746"/>
      <c r="U12" s="746"/>
      <c r="V12" s="746"/>
      <c r="W12" s="746"/>
      <c r="X12" s="746"/>
      <c r="Y12" s="746"/>
      <c r="Z12" s="746"/>
      <c r="AA12" s="746"/>
      <c r="AB12" s="746"/>
      <c r="AC12" s="746"/>
      <c r="AD12" s="746"/>
      <c r="AE12" s="746"/>
      <c r="AF12" s="746"/>
      <c r="AG12" s="746"/>
      <c r="AH12" s="746"/>
      <c r="AI12" s="746"/>
      <c r="AJ12" s="746"/>
      <c r="AK12" s="746"/>
      <c r="AL12" s="746"/>
      <c r="AM12" s="746"/>
      <c r="AN12" s="746"/>
      <c r="AO12" s="746"/>
      <c r="AP12" s="746"/>
      <c r="AQ12" s="746"/>
      <c r="AR12" s="746"/>
      <c r="AS12" s="746"/>
      <c r="AT12" s="746"/>
      <c r="AU12" s="746"/>
      <c r="AV12" s="746"/>
      <c r="AW12" s="746"/>
      <c r="AX12" s="746"/>
      <c r="AY12" s="746"/>
      <c r="AZ12" s="746"/>
      <c r="BA12" s="746"/>
      <c r="BB12" s="746"/>
      <c r="BC12" s="746"/>
      <c r="BD12" s="746"/>
      <c r="BE12" s="746"/>
      <c r="BF12" s="746"/>
      <c r="BG12" s="746"/>
      <c r="BH12" s="746"/>
      <c r="BI12" s="746"/>
      <c r="BJ12" s="746"/>
      <c r="BK12" s="746"/>
    </row>
    <row r="13" spans="1:63" s="1363" customFormat="1" ht="45" x14ac:dyDescent="0.25">
      <c r="A13" s="1383" t="s">
        <v>2047</v>
      </c>
      <c r="B13" s="1384" t="s">
        <v>785</v>
      </c>
      <c r="C13" s="1384" t="s">
        <v>2048</v>
      </c>
      <c r="D13" s="1383" t="s">
        <v>1481</v>
      </c>
      <c r="E13" s="1384" t="s">
        <v>2013</v>
      </c>
      <c r="F13" s="1384" t="s">
        <v>2031</v>
      </c>
      <c r="G13" s="1384" t="s">
        <v>2043</v>
      </c>
      <c r="H13" s="1384"/>
      <c r="I13" s="1384" t="s">
        <v>2044</v>
      </c>
      <c r="J13" s="1384"/>
      <c r="K13" s="1384"/>
      <c r="L13" s="1384"/>
      <c r="M13" s="1384" t="s">
        <v>2033</v>
      </c>
      <c r="N13" s="1384"/>
      <c r="O13" s="1384"/>
      <c r="P13" s="1384" t="s">
        <v>2009</v>
      </c>
      <c r="Q13" s="1384"/>
      <c r="R13" s="746"/>
      <c r="S13" s="746"/>
      <c r="T13" s="746"/>
      <c r="U13" s="746"/>
      <c r="V13" s="746"/>
      <c r="W13" s="746"/>
      <c r="X13" s="746"/>
      <c r="Y13" s="746"/>
      <c r="Z13" s="746"/>
      <c r="AA13" s="746"/>
      <c r="AB13" s="746"/>
      <c r="AC13" s="746"/>
      <c r="AD13" s="746"/>
      <c r="AE13" s="746"/>
      <c r="AF13" s="746"/>
      <c r="AG13" s="746"/>
      <c r="AH13" s="746"/>
      <c r="AI13" s="746"/>
      <c r="AJ13" s="746"/>
      <c r="AK13" s="746"/>
      <c r="AL13" s="746"/>
      <c r="AM13" s="746"/>
      <c r="AN13" s="746"/>
      <c r="AO13" s="746"/>
      <c r="AP13" s="746"/>
      <c r="AQ13" s="746"/>
      <c r="AR13" s="746"/>
      <c r="AS13" s="746"/>
      <c r="AT13" s="746"/>
      <c r="AU13" s="746"/>
      <c r="AV13" s="746"/>
      <c r="AW13" s="746"/>
      <c r="AX13" s="746"/>
      <c r="AY13" s="746"/>
      <c r="AZ13" s="746"/>
      <c r="BA13" s="746"/>
      <c r="BB13" s="746"/>
      <c r="BC13" s="746"/>
      <c r="BD13" s="746"/>
      <c r="BE13" s="746"/>
      <c r="BF13" s="746"/>
      <c r="BG13" s="746"/>
      <c r="BH13" s="746"/>
      <c r="BI13" s="746"/>
      <c r="BJ13" s="746"/>
      <c r="BK13" s="746"/>
    </row>
    <row r="14" spans="1:63" s="1362" customFormat="1" ht="45" x14ac:dyDescent="0.25">
      <c r="A14" s="1383" t="s">
        <v>2049</v>
      </c>
      <c r="B14" s="1384" t="s">
        <v>791</v>
      </c>
      <c r="C14" s="1384" t="s">
        <v>2050</v>
      </c>
      <c r="D14" s="1383" t="s">
        <v>1483</v>
      </c>
      <c r="E14" s="1384" t="s">
        <v>2024</v>
      </c>
      <c r="F14" s="1384" t="s">
        <v>2031</v>
      </c>
      <c r="G14" s="1384" t="s">
        <v>2051</v>
      </c>
      <c r="H14" s="1384">
        <v>4599</v>
      </c>
      <c r="I14" s="1384" t="s">
        <v>2044</v>
      </c>
      <c r="J14" s="1384">
        <v>4599030</v>
      </c>
      <c r="K14" s="1384" t="s">
        <v>2052</v>
      </c>
      <c r="L14" s="1384" t="s">
        <v>2053</v>
      </c>
      <c r="M14" s="1384" t="s">
        <v>2033</v>
      </c>
      <c r="N14" s="1384">
        <v>459903001</v>
      </c>
      <c r="O14" s="1384" t="s">
        <v>2054</v>
      </c>
      <c r="P14" s="1384" t="s">
        <v>2009</v>
      </c>
      <c r="Q14" s="1384" t="s">
        <v>2055</v>
      </c>
      <c r="R14" s="746"/>
      <c r="S14" s="746"/>
      <c r="T14" s="746"/>
      <c r="U14" s="746"/>
      <c r="V14" s="746"/>
      <c r="W14" s="746"/>
      <c r="X14" s="746"/>
      <c r="Y14" s="746"/>
      <c r="Z14" s="746"/>
      <c r="AA14" s="746"/>
      <c r="AB14" s="746"/>
      <c r="AC14" s="746"/>
      <c r="AD14" s="746"/>
      <c r="AE14" s="746"/>
      <c r="AF14" s="746"/>
      <c r="AG14" s="746"/>
      <c r="AH14" s="746"/>
      <c r="AI14" s="746"/>
      <c r="AJ14" s="746"/>
      <c r="AK14" s="746"/>
      <c r="AL14" s="746"/>
      <c r="AM14" s="746"/>
      <c r="AN14" s="746"/>
      <c r="AO14" s="746"/>
      <c r="AP14" s="746"/>
      <c r="AQ14" s="746"/>
      <c r="AR14" s="746"/>
      <c r="AS14" s="746"/>
      <c r="AT14" s="746"/>
      <c r="AU14" s="746"/>
      <c r="AV14" s="746"/>
      <c r="AW14" s="746"/>
      <c r="AX14" s="746"/>
      <c r="AY14" s="746"/>
      <c r="AZ14" s="746"/>
      <c r="BA14" s="746"/>
      <c r="BB14" s="746"/>
      <c r="BC14" s="746"/>
      <c r="BD14" s="746"/>
      <c r="BE14" s="746"/>
      <c r="BF14" s="746"/>
      <c r="BG14" s="746"/>
      <c r="BH14" s="746"/>
      <c r="BI14" s="746"/>
      <c r="BJ14" s="746"/>
      <c r="BK14" s="746"/>
    </row>
    <row r="15" spans="1:63" s="1354" customFormat="1" ht="225" x14ac:dyDescent="0.25">
      <c r="A15" s="1383" t="s">
        <v>2056</v>
      </c>
      <c r="B15" s="1384" t="s">
        <v>797</v>
      </c>
      <c r="C15" s="1384" t="s">
        <v>2057</v>
      </c>
      <c r="D15" s="1383" t="s">
        <v>1485</v>
      </c>
      <c r="E15" s="1384" t="s">
        <v>2024</v>
      </c>
      <c r="F15" s="1384" t="s">
        <v>2031</v>
      </c>
      <c r="G15" s="1384" t="s">
        <v>2043</v>
      </c>
      <c r="H15" s="1384">
        <v>4102</v>
      </c>
      <c r="I15" s="1384" t="s">
        <v>2044</v>
      </c>
      <c r="J15" s="1384">
        <v>4102001</v>
      </c>
      <c r="K15" s="1384" t="s">
        <v>2058</v>
      </c>
      <c r="L15" s="1384" t="s">
        <v>2059</v>
      </c>
      <c r="M15" s="1384" t="s">
        <v>2033</v>
      </c>
      <c r="N15" s="1384">
        <v>410200100</v>
      </c>
      <c r="O15" s="1384" t="s">
        <v>2060</v>
      </c>
      <c r="P15" s="1384" t="s">
        <v>2009</v>
      </c>
      <c r="Q15" s="1384" t="s">
        <v>2061</v>
      </c>
      <c r="R15" s="1387"/>
      <c r="S15" s="1387"/>
      <c r="T15" s="1387"/>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c r="AT15" s="1387"/>
      <c r="AU15" s="1387"/>
      <c r="AV15" s="1387"/>
      <c r="AW15" s="1387"/>
      <c r="AX15" s="1387"/>
      <c r="AY15" s="1387"/>
      <c r="AZ15" s="1387"/>
      <c r="BA15" s="1387"/>
      <c r="BB15" s="1387"/>
      <c r="BC15" s="1387"/>
      <c r="BD15" s="1387"/>
      <c r="BE15" s="1387"/>
      <c r="BF15" s="1387"/>
      <c r="BG15" s="1387"/>
      <c r="BH15" s="1387"/>
      <c r="BI15" s="1387"/>
      <c r="BJ15" s="1387"/>
      <c r="BK15" s="1387"/>
    </row>
    <row r="16" spans="1:63" s="1363" customFormat="1" ht="33.75" x14ac:dyDescent="0.25">
      <c r="A16" s="1383" t="s">
        <v>2062</v>
      </c>
      <c r="B16" s="1384" t="s">
        <v>835</v>
      </c>
      <c r="C16" s="1384" t="s">
        <v>2063</v>
      </c>
      <c r="D16" s="1383" t="s">
        <v>1487</v>
      </c>
      <c r="E16" s="1384"/>
      <c r="F16" s="1384" t="s">
        <v>2031</v>
      </c>
      <c r="G16" s="1384"/>
      <c r="H16" s="1384"/>
      <c r="I16" s="1384" t="s">
        <v>2032</v>
      </c>
      <c r="J16" s="1384"/>
      <c r="K16" s="1384"/>
      <c r="L16" s="1384"/>
      <c r="M16" s="1384" t="s">
        <v>2033</v>
      </c>
      <c r="N16" s="1384"/>
      <c r="O16" s="1384"/>
      <c r="P16" s="1384" t="s">
        <v>2009</v>
      </c>
      <c r="Q16" s="1384"/>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46"/>
      <c r="AV16" s="746"/>
      <c r="AW16" s="746"/>
      <c r="AX16" s="746"/>
      <c r="AY16" s="746"/>
      <c r="AZ16" s="746"/>
      <c r="BA16" s="746"/>
      <c r="BB16" s="746"/>
      <c r="BC16" s="746"/>
      <c r="BD16" s="746"/>
      <c r="BE16" s="746"/>
      <c r="BF16" s="746"/>
      <c r="BG16" s="746"/>
      <c r="BH16" s="746"/>
      <c r="BI16" s="746"/>
      <c r="BJ16" s="746"/>
      <c r="BK16" s="746"/>
    </row>
    <row r="17" spans="1:63" s="1363" customFormat="1" ht="33.75" x14ac:dyDescent="0.25">
      <c r="A17" s="1383" t="s">
        <v>2064</v>
      </c>
      <c r="B17" s="1384" t="s">
        <v>841</v>
      </c>
      <c r="C17" s="1384" t="s">
        <v>2065</v>
      </c>
      <c r="D17" s="1383" t="s">
        <v>1487</v>
      </c>
      <c r="E17" s="1384"/>
      <c r="F17" s="1384" t="s">
        <v>2031</v>
      </c>
      <c r="G17" s="1384"/>
      <c r="H17" s="1384"/>
      <c r="I17" s="1384" t="s">
        <v>2032</v>
      </c>
      <c r="J17" s="1384"/>
      <c r="K17" s="1384"/>
      <c r="L17" s="1384"/>
      <c r="M17" s="1384" t="s">
        <v>2033</v>
      </c>
      <c r="N17" s="1384"/>
      <c r="O17" s="1384"/>
      <c r="P17" s="1384" t="s">
        <v>2009</v>
      </c>
      <c r="Q17" s="1384"/>
      <c r="R17" s="746"/>
      <c r="S17" s="746"/>
      <c r="T17" s="746"/>
      <c r="U17" s="746"/>
      <c r="V17" s="746"/>
      <c r="W17" s="746"/>
      <c r="X17" s="746"/>
      <c r="Y17" s="746"/>
      <c r="Z17" s="746"/>
      <c r="AA17" s="746"/>
      <c r="AB17" s="746"/>
      <c r="AC17" s="746"/>
      <c r="AD17" s="746"/>
      <c r="AE17" s="746"/>
      <c r="AF17" s="746"/>
      <c r="AG17" s="746"/>
      <c r="AH17" s="746"/>
      <c r="AI17" s="746"/>
      <c r="AJ17" s="746"/>
      <c r="AK17" s="746"/>
      <c r="AL17" s="746"/>
      <c r="AM17" s="746"/>
      <c r="AN17" s="746"/>
      <c r="AO17" s="746"/>
      <c r="AP17" s="746"/>
      <c r="AQ17" s="746"/>
      <c r="AR17" s="746"/>
      <c r="AS17" s="746"/>
      <c r="AT17" s="746"/>
      <c r="AU17" s="746"/>
      <c r="AV17" s="746"/>
      <c r="AW17" s="746"/>
      <c r="AX17" s="746"/>
      <c r="AY17" s="746"/>
      <c r="AZ17" s="746"/>
      <c r="BA17" s="746"/>
      <c r="BB17" s="746"/>
      <c r="BC17" s="746"/>
      <c r="BD17" s="746"/>
      <c r="BE17" s="746"/>
      <c r="BF17" s="746"/>
      <c r="BG17" s="746"/>
      <c r="BH17" s="746"/>
      <c r="BI17" s="746"/>
      <c r="BJ17" s="746"/>
      <c r="BK17" s="746"/>
    </row>
    <row r="18" spans="1:63" s="1362" customFormat="1" ht="33.75" x14ac:dyDescent="0.25">
      <c r="A18" s="1383" t="s">
        <v>2066</v>
      </c>
      <c r="B18" s="1384" t="s">
        <v>844</v>
      </c>
      <c r="C18" s="1384" t="s">
        <v>2067</v>
      </c>
      <c r="D18" s="1383" t="s">
        <v>1345</v>
      </c>
      <c r="E18" s="1384" t="s">
        <v>2024</v>
      </c>
      <c r="F18" s="1384" t="s">
        <v>2031</v>
      </c>
      <c r="G18" s="1384" t="s">
        <v>2051</v>
      </c>
      <c r="H18" s="1384">
        <v>4599</v>
      </c>
      <c r="I18" s="1384" t="s">
        <v>2032</v>
      </c>
      <c r="J18" s="1384">
        <v>4599032</v>
      </c>
      <c r="K18" s="1384" t="s">
        <v>2068</v>
      </c>
      <c r="L18" s="1384" t="s">
        <v>2069</v>
      </c>
      <c r="M18" s="1384" t="s">
        <v>2033</v>
      </c>
      <c r="N18" s="1384">
        <v>459903200</v>
      </c>
      <c r="O18" s="1384" t="s">
        <v>2070</v>
      </c>
      <c r="P18" s="1384" t="s">
        <v>2009</v>
      </c>
      <c r="Q18" s="1384" t="s">
        <v>2061</v>
      </c>
      <c r="R18" s="746"/>
      <c r="S18" s="746"/>
      <c r="T18" s="746"/>
      <c r="U18" s="746"/>
      <c r="V18" s="746"/>
      <c r="W18" s="746"/>
      <c r="X18" s="746"/>
      <c r="Y18" s="746"/>
      <c r="Z18" s="746"/>
      <c r="AA18" s="746"/>
      <c r="AB18" s="746"/>
      <c r="AC18" s="746"/>
      <c r="AD18" s="746"/>
      <c r="AE18" s="746"/>
      <c r="AF18" s="746"/>
      <c r="AG18" s="746"/>
      <c r="AH18" s="746"/>
      <c r="AI18" s="746"/>
      <c r="AJ18" s="746"/>
      <c r="AK18" s="746"/>
      <c r="AL18" s="746"/>
      <c r="AM18" s="746"/>
      <c r="AN18" s="746"/>
      <c r="AO18" s="746"/>
      <c r="AP18" s="746"/>
      <c r="AQ18" s="746"/>
      <c r="AR18" s="746"/>
      <c r="AS18" s="746"/>
      <c r="AT18" s="746"/>
      <c r="AU18" s="746"/>
      <c r="AV18" s="746"/>
      <c r="AW18" s="746"/>
      <c r="AX18" s="746"/>
      <c r="AY18" s="746"/>
      <c r="AZ18" s="746"/>
      <c r="BA18" s="746"/>
      <c r="BB18" s="746"/>
      <c r="BC18" s="746"/>
      <c r="BD18" s="746"/>
      <c r="BE18" s="746"/>
      <c r="BF18" s="746"/>
      <c r="BG18" s="746"/>
      <c r="BH18" s="746"/>
      <c r="BI18" s="746"/>
      <c r="BJ18" s="746"/>
      <c r="BK18" s="746"/>
    </row>
    <row r="19" spans="1:63" s="1363" customFormat="1" ht="23.25" customHeight="1" x14ac:dyDescent="0.25">
      <c r="A19" s="1383" t="s">
        <v>2071</v>
      </c>
      <c r="B19" s="1384" t="s">
        <v>856</v>
      </c>
      <c r="C19" s="1384" t="s">
        <v>2072</v>
      </c>
      <c r="D19" s="1383" t="s">
        <v>1495</v>
      </c>
      <c r="E19" s="1384"/>
      <c r="F19" s="1384" t="s">
        <v>2031</v>
      </c>
      <c r="G19" s="1384"/>
      <c r="H19" s="1384"/>
      <c r="I19" s="1384" t="s">
        <v>2073</v>
      </c>
      <c r="J19" s="1384"/>
      <c r="K19" s="1384"/>
      <c r="L19" s="1384"/>
      <c r="M19" s="1384" t="s">
        <v>2074</v>
      </c>
      <c r="N19" s="1384"/>
      <c r="O19" s="1384"/>
      <c r="P19" s="1384" t="s">
        <v>2009</v>
      </c>
      <c r="Q19" s="1384"/>
      <c r="R19" s="746"/>
      <c r="S19" s="746"/>
      <c r="T19" s="746"/>
      <c r="U19" s="746"/>
      <c r="V19" s="746"/>
      <c r="W19" s="746"/>
      <c r="X19" s="746"/>
      <c r="Y19" s="746"/>
      <c r="Z19" s="746"/>
      <c r="AA19" s="746"/>
      <c r="AB19" s="746"/>
      <c r="AC19" s="746"/>
      <c r="AD19" s="746"/>
      <c r="AE19" s="746"/>
      <c r="AF19" s="746"/>
      <c r="AG19" s="746"/>
      <c r="AH19" s="746"/>
      <c r="AI19" s="746"/>
      <c r="AJ19" s="746"/>
      <c r="AK19" s="746"/>
      <c r="AL19" s="746"/>
      <c r="AM19" s="746"/>
      <c r="AN19" s="746"/>
      <c r="AO19" s="746"/>
      <c r="AP19" s="746"/>
      <c r="AQ19" s="746"/>
      <c r="AR19" s="746"/>
      <c r="AS19" s="746"/>
      <c r="AT19" s="746"/>
      <c r="AU19" s="746"/>
      <c r="AV19" s="746"/>
      <c r="AW19" s="746"/>
      <c r="AX19" s="746"/>
      <c r="AY19" s="746"/>
      <c r="AZ19" s="746"/>
      <c r="BA19" s="746"/>
      <c r="BB19" s="746"/>
      <c r="BC19" s="746"/>
      <c r="BD19" s="746"/>
      <c r="BE19" s="746"/>
      <c r="BF19" s="746"/>
      <c r="BG19" s="746"/>
      <c r="BH19" s="746"/>
      <c r="BI19" s="746"/>
      <c r="BJ19" s="746"/>
      <c r="BK19" s="746"/>
    </row>
    <row r="20" spans="1:63" s="1362" customFormat="1" ht="22.5" customHeight="1" x14ac:dyDescent="0.25">
      <c r="A20" s="1383" t="s">
        <v>2075</v>
      </c>
      <c r="B20" s="1384" t="s">
        <v>859</v>
      </c>
      <c r="C20" s="1384" t="s">
        <v>2076</v>
      </c>
      <c r="D20" s="1383" t="s">
        <v>1491</v>
      </c>
      <c r="E20" s="1384" t="s">
        <v>2024</v>
      </c>
      <c r="F20" s="1384" t="s">
        <v>2031</v>
      </c>
      <c r="G20" s="1384" t="s">
        <v>2051</v>
      </c>
      <c r="H20" s="1384">
        <v>4599</v>
      </c>
      <c r="I20" s="1384" t="s">
        <v>2073</v>
      </c>
      <c r="J20" s="1384">
        <v>4599031</v>
      </c>
      <c r="K20" s="1384" t="s">
        <v>102</v>
      </c>
      <c r="L20" s="1384" t="s">
        <v>2077</v>
      </c>
      <c r="M20" s="1384" t="s">
        <v>2074</v>
      </c>
      <c r="N20" s="1384">
        <v>459903101</v>
      </c>
      <c r="O20" s="1384" t="s">
        <v>108</v>
      </c>
      <c r="P20" s="1384" t="s">
        <v>2009</v>
      </c>
      <c r="Q20" s="1384" t="s">
        <v>2055</v>
      </c>
      <c r="R20" s="746"/>
      <c r="S20" s="746"/>
      <c r="T20" s="746"/>
      <c r="U20" s="746"/>
      <c r="V20" s="746"/>
      <c r="W20" s="746"/>
      <c r="X20" s="746"/>
      <c r="Y20" s="746"/>
      <c r="Z20" s="746"/>
      <c r="AA20" s="746"/>
      <c r="AB20" s="746"/>
      <c r="AC20" s="746"/>
      <c r="AD20" s="746"/>
      <c r="AE20" s="746"/>
      <c r="AF20" s="746"/>
      <c r="AG20" s="746"/>
      <c r="AH20" s="746"/>
      <c r="AI20" s="746"/>
      <c r="AJ20" s="746"/>
      <c r="AK20" s="746"/>
      <c r="AL20" s="746"/>
      <c r="AM20" s="746"/>
      <c r="AN20" s="746"/>
      <c r="AO20" s="746"/>
      <c r="AP20" s="746"/>
      <c r="AQ20" s="746"/>
      <c r="AR20" s="746"/>
      <c r="AS20" s="746"/>
      <c r="AT20" s="746"/>
      <c r="AU20" s="746"/>
      <c r="AV20" s="746"/>
      <c r="AW20" s="746"/>
      <c r="AX20" s="746"/>
      <c r="AY20" s="746"/>
      <c r="AZ20" s="746"/>
      <c r="BA20" s="746"/>
      <c r="BB20" s="746"/>
      <c r="BC20" s="746"/>
      <c r="BD20" s="746"/>
      <c r="BE20" s="746"/>
      <c r="BF20" s="746"/>
      <c r="BG20" s="746"/>
      <c r="BH20" s="746"/>
      <c r="BI20" s="746"/>
      <c r="BJ20" s="746"/>
      <c r="BK20" s="746"/>
    </row>
    <row r="21" spans="1:63" s="1364" customFormat="1" ht="33.75" x14ac:dyDescent="0.25">
      <c r="A21" s="1383" t="s">
        <v>2078</v>
      </c>
      <c r="B21" s="1384" t="s">
        <v>865</v>
      </c>
      <c r="C21" s="1384" t="s">
        <v>2076</v>
      </c>
      <c r="D21" s="1383" t="s">
        <v>1343</v>
      </c>
      <c r="E21" s="1384"/>
      <c r="F21" s="1384" t="s">
        <v>2031</v>
      </c>
      <c r="G21" s="1384"/>
      <c r="H21" s="1384"/>
      <c r="I21" s="1384" t="s">
        <v>2073</v>
      </c>
      <c r="J21" s="1384"/>
      <c r="K21" s="1384"/>
      <c r="L21" s="1384"/>
      <c r="M21" s="1384" t="s">
        <v>2033</v>
      </c>
      <c r="N21" s="1384"/>
      <c r="O21" s="1384"/>
      <c r="P21" s="1384" t="s">
        <v>2009</v>
      </c>
      <c r="Q21" s="1384"/>
      <c r="R21" s="746"/>
      <c r="S21" s="746"/>
      <c r="T21" s="746"/>
      <c r="U21" s="746"/>
      <c r="V21" s="746"/>
      <c r="W21" s="746"/>
      <c r="X21" s="746"/>
      <c r="Y21" s="746"/>
      <c r="Z21" s="746"/>
      <c r="AA21" s="746"/>
      <c r="AB21" s="746"/>
      <c r="AC21" s="746"/>
      <c r="AD21" s="746"/>
      <c r="AE21" s="746"/>
      <c r="AF21" s="746"/>
      <c r="AG21" s="746"/>
      <c r="AH21" s="746"/>
      <c r="AI21" s="746"/>
      <c r="AJ21" s="746"/>
      <c r="AK21" s="746"/>
      <c r="AL21" s="746"/>
      <c r="AM21" s="746"/>
      <c r="AN21" s="746"/>
      <c r="AO21" s="746"/>
      <c r="AP21" s="746"/>
      <c r="AQ21" s="746"/>
      <c r="AR21" s="746"/>
      <c r="AS21" s="746"/>
      <c r="AT21" s="746"/>
      <c r="AU21" s="746"/>
      <c r="AV21" s="746"/>
      <c r="AW21" s="746"/>
      <c r="AX21" s="746"/>
      <c r="AY21" s="746"/>
      <c r="AZ21" s="746"/>
      <c r="BA21" s="746"/>
      <c r="BB21" s="746"/>
      <c r="BC21" s="746"/>
      <c r="BD21" s="746"/>
      <c r="BE21" s="746"/>
      <c r="BF21" s="746"/>
      <c r="BG21" s="746"/>
      <c r="BH21" s="746"/>
      <c r="BI21" s="746"/>
      <c r="BJ21" s="746"/>
      <c r="BK21" s="746"/>
    </row>
    <row r="22" spans="1:63" s="1364" customFormat="1" ht="56.25" x14ac:dyDescent="0.25">
      <c r="A22" s="1383" t="s">
        <v>2079</v>
      </c>
      <c r="B22" s="1384" t="s">
        <v>871</v>
      </c>
      <c r="C22" s="1384" t="s">
        <v>2080</v>
      </c>
      <c r="D22" s="1383" t="s">
        <v>1344</v>
      </c>
      <c r="E22" s="1384" t="s">
        <v>2024</v>
      </c>
      <c r="F22" s="1384" t="s">
        <v>2031</v>
      </c>
      <c r="G22" s="1384" t="s">
        <v>2051</v>
      </c>
      <c r="H22" s="1384">
        <v>4599</v>
      </c>
      <c r="I22" s="1384" t="s">
        <v>2073</v>
      </c>
      <c r="J22" s="1384">
        <v>4599032</v>
      </c>
      <c r="K22" s="1384" t="s">
        <v>2068</v>
      </c>
      <c r="L22" s="1384" t="s">
        <v>2069</v>
      </c>
      <c r="M22" s="1384" t="s">
        <v>2033</v>
      </c>
      <c r="N22" s="1384">
        <v>459903200</v>
      </c>
      <c r="O22" s="1384" t="s">
        <v>2070</v>
      </c>
      <c r="P22" s="1384" t="s">
        <v>2009</v>
      </c>
      <c r="Q22" s="1384" t="s">
        <v>2061</v>
      </c>
      <c r="R22" s="746"/>
      <c r="S22" s="746"/>
      <c r="T22" s="746"/>
      <c r="U22" s="746"/>
      <c r="V22" s="746"/>
      <c r="W22" s="746"/>
      <c r="X22" s="746"/>
      <c r="Y22" s="746"/>
      <c r="Z22" s="746"/>
      <c r="AA22" s="746"/>
      <c r="AB22" s="746"/>
      <c r="AC22" s="746"/>
      <c r="AD22" s="746"/>
      <c r="AE22" s="746"/>
      <c r="AF22" s="746"/>
      <c r="AG22" s="746"/>
      <c r="AH22" s="746"/>
      <c r="AI22" s="746"/>
      <c r="AJ22" s="746"/>
      <c r="AK22" s="746"/>
      <c r="AL22" s="746"/>
      <c r="AM22" s="746"/>
      <c r="AN22" s="746"/>
      <c r="AO22" s="746"/>
      <c r="AP22" s="746"/>
      <c r="AQ22" s="746"/>
      <c r="AR22" s="746"/>
      <c r="AS22" s="746"/>
      <c r="AT22" s="746"/>
      <c r="AU22" s="746"/>
      <c r="AV22" s="746"/>
      <c r="AW22" s="746"/>
      <c r="AX22" s="746"/>
      <c r="AY22" s="746"/>
      <c r="AZ22" s="746"/>
      <c r="BA22" s="746"/>
      <c r="BB22" s="746"/>
      <c r="BC22" s="746"/>
      <c r="BD22" s="746"/>
      <c r="BE22" s="746"/>
      <c r="BF22" s="746"/>
      <c r="BG22" s="746"/>
      <c r="BH22" s="746"/>
      <c r="BI22" s="746"/>
      <c r="BJ22" s="746"/>
      <c r="BK22" s="746"/>
    </row>
    <row r="23" spans="1:63" s="1364" customFormat="1" ht="33.75" x14ac:dyDescent="0.25">
      <c r="A23" s="1383" t="s">
        <v>2081</v>
      </c>
      <c r="B23" s="1384" t="s">
        <v>877</v>
      </c>
      <c r="C23" s="1384" t="s">
        <v>2080</v>
      </c>
      <c r="D23" s="1383" t="s">
        <v>1345</v>
      </c>
      <c r="E23" s="1384" t="s">
        <v>2024</v>
      </c>
      <c r="F23" s="1384" t="s">
        <v>2031</v>
      </c>
      <c r="G23" s="1384" t="s">
        <v>2051</v>
      </c>
      <c r="H23" s="1384">
        <v>4599</v>
      </c>
      <c r="I23" s="1384" t="s">
        <v>2073</v>
      </c>
      <c r="J23" s="1384">
        <v>4599032</v>
      </c>
      <c r="K23" s="1384" t="s">
        <v>2068</v>
      </c>
      <c r="L23" s="1384" t="s">
        <v>2069</v>
      </c>
      <c r="M23" s="1384" t="s">
        <v>2033</v>
      </c>
      <c r="N23" s="1384">
        <v>459903200</v>
      </c>
      <c r="O23" s="1384" t="s">
        <v>2070</v>
      </c>
      <c r="P23" s="1384" t="s">
        <v>2009</v>
      </c>
      <c r="Q23" s="1384" t="s">
        <v>2061</v>
      </c>
      <c r="R23" s="746"/>
      <c r="S23" s="746"/>
      <c r="T23" s="746"/>
      <c r="U23" s="746"/>
      <c r="V23" s="746"/>
      <c r="W23" s="746"/>
      <c r="X23" s="746"/>
      <c r="Y23" s="746"/>
      <c r="Z23" s="746"/>
      <c r="AA23" s="746"/>
      <c r="AB23" s="746"/>
      <c r="AC23" s="746"/>
      <c r="AD23" s="746"/>
      <c r="AE23" s="746"/>
      <c r="AF23" s="746"/>
      <c r="AG23" s="746"/>
      <c r="AH23" s="746"/>
      <c r="AI23" s="746"/>
      <c r="AJ23" s="746"/>
      <c r="AK23" s="746"/>
      <c r="AL23" s="746"/>
      <c r="AM23" s="746"/>
      <c r="AN23" s="746"/>
      <c r="AO23" s="746"/>
      <c r="AP23" s="746"/>
      <c r="AQ23" s="746"/>
      <c r="AR23" s="746"/>
      <c r="AS23" s="746"/>
      <c r="AT23" s="746"/>
      <c r="AU23" s="746"/>
      <c r="AV23" s="746"/>
      <c r="AW23" s="746"/>
      <c r="AX23" s="746"/>
      <c r="AY23" s="746"/>
      <c r="AZ23" s="746"/>
      <c r="BA23" s="746"/>
      <c r="BB23" s="746"/>
      <c r="BC23" s="746"/>
      <c r="BD23" s="746"/>
      <c r="BE23" s="746"/>
      <c r="BF23" s="746"/>
      <c r="BG23" s="746"/>
      <c r="BH23" s="746"/>
      <c r="BI23" s="746"/>
      <c r="BJ23" s="746"/>
      <c r="BK23" s="746"/>
    </row>
    <row r="24" spans="1:63" s="1363" customFormat="1" ht="33.75" x14ac:dyDescent="0.25">
      <c r="A24" s="1383" t="s">
        <v>2082</v>
      </c>
      <c r="B24" s="1384" t="s">
        <v>886</v>
      </c>
      <c r="C24" s="1384" t="s">
        <v>2083</v>
      </c>
      <c r="D24" s="1383" t="s">
        <v>1495</v>
      </c>
      <c r="E24" s="1384"/>
      <c r="F24" s="1384" t="s">
        <v>2031</v>
      </c>
      <c r="G24" s="1384"/>
      <c r="H24" s="1384"/>
      <c r="I24" s="1384" t="s">
        <v>2073</v>
      </c>
      <c r="J24" s="1384"/>
      <c r="K24" s="1384"/>
      <c r="L24" s="1384"/>
      <c r="M24" s="1384" t="s">
        <v>2033</v>
      </c>
      <c r="N24" s="1384"/>
      <c r="O24" s="1384"/>
      <c r="P24" s="1384" t="s">
        <v>2009</v>
      </c>
      <c r="Q24" s="1384"/>
      <c r="R24" s="746"/>
      <c r="S24" s="746"/>
      <c r="T24" s="746"/>
      <c r="U24" s="746"/>
      <c r="V24" s="746"/>
      <c r="W24" s="746"/>
      <c r="X24" s="746"/>
      <c r="Y24" s="746"/>
      <c r="Z24" s="746"/>
      <c r="AA24" s="746"/>
      <c r="AB24" s="746"/>
      <c r="AC24" s="746"/>
      <c r="AD24" s="746"/>
      <c r="AE24" s="746"/>
      <c r="AF24" s="746"/>
      <c r="AG24" s="746"/>
      <c r="AH24" s="746"/>
      <c r="AI24" s="746"/>
      <c r="AJ24" s="746"/>
      <c r="AK24" s="746"/>
      <c r="AL24" s="746"/>
      <c r="AM24" s="746"/>
      <c r="AN24" s="746"/>
      <c r="AO24" s="746"/>
      <c r="AP24" s="746"/>
      <c r="AQ24" s="746"/>
      <c r="AR24" s="746"/>
      <c r="AS24" s="746"/>
      <c r="AT24" s="746"/>
      <c r="AU24" s="746"/>
      <c r="AV24" s="746"/>
      <c r="AW24" s="746"/>
      <c r="AX24" s="746"/>
      <c r="AY24" s="746"/>
      <c r="AZ24" s="746"/>
      <c r="BA24" s="746"/>
      <c r="BB24" s="746"/>
      <c r="BC24" s="746"/>
      <c r="BD24" s="746"/>
      <c r="BE24" s="746"/>
      <c r="BF24" s="746"/>
      <c r="BG24" s="746"/>
      <c r="BH24" s="746"/>
      <c r="BI24" s="746"/>
      <c r="BJ24" s="746"/>
      <c r="BK24" s="746"/>
    </row>
    <row r="25" spans="1:63" s="1364" customFormat="1" ht="56.25" x14ac:dyDescent="0.25">
      <c r="A25" s="1383" t="s">
        <v>2084</v>
      </c>
      <c r="B25" s="1384" t="s">
        <v>889</v>
      </c>
      <c r="C25" s="1384" t="s">
        <v>2085</v>
      </c>
      <c r="D25" s="1383" t="s">
        <v>1344</v>
      </c>
      <c r="E25" s="1384" t="s">
        <v>2024</v>
      </c>
      <c r="F25" s="1384" t="s">
        <v>2031</v>
      </c>
      <c r="G25" s="1384" t="s">
        <v>2051</v>
      </c>
      <c r="H25" s="1384">
        <v>4599</v>
      </c>
      <c r="I25" s="1384" t="s">
        <v>2073</v>
      </c>
      <c r="J25" s="1384">
        <v>4599032</v>
      </c>
      <c r="K25" s="1384" t="s">
        <v>2068</v>
      </c>
      <c r="L25" s="1384" t="s">
        <v>2069</v>
      </c>
      <c r="M25" s="1384" t="s">
        <v>2033</v>
      </c>
      <c r="N25" s="1384">
        <v>459903200</v>
      </c>
      <c r="O25" s="1384" t="s">
        <v>2070</v>
      </c>
      <c r="P25" s="1384" t="s">
        <v>2009</v>
      </c>
      <c r="Q25" s="1384" t="s">
        <v>2061</v>
      </c>
      <c r="R25" s="746"/>
      <c r="S25" s="746"/>
      <c r="T25" s="746"/>
      <c r="U25" s="746"/>
      <c r="V25" s="746"/>
      <c r="W25" s="746"/>
      <c r="X25" s="746"/>
      <c r="Y25" s="746"/>
      <c r="Z25" s="746"/>
      <c r="AA25" s="746"/>
      <c r="AB25" s="746"/>
      <c r="AC25" s="746"/>
      <c r="AD25" s="746"/>
      <c r="AE25" s="746"/>
      <c r="AF25" s="746"/>
      <c r="AG25" s="746"/>
      <c r="AH25" s="746"/>
      <c r="AI25" s="746"/>
      <c r="AJ25" s="746"/>
      <c r="AK25" s="746"/>
      <c r="AL25" s="746"/>
      <c r="AM25" s="746"/>
      <c r="AN25" s="746"/>
      <c r="AO25" s="746"/>
      <c r="AP25" s="746"/>
      <c r="AQ25" s="746"/>
      <c r="AR25" s="746"/>
      <c r="AS25" s="746"/>
      <c r="AT25" s="746"/>
      <c r="AU25" s="746"/>
      <c r="AV25" s="746"/>
      <c r="AW25" s="746"/>
      <c r="AX25" s="746"/>
      <c r="AY25" s="746"/>
      <c r="AZ25" s="746"/>
      <c r="BA25" s="746"/>
      <c r="BB25" s="746"/>
      <c r="BC25" s="746"/>
      <c r="BD25" s="746"/>
      <c r="BE25" s="746"/>
      <c r="BF25" s="746"/>
      <c r="BG25" s="746"/>
      <c r="BH25" s="746"/>
      <c r="BI25" s="746"/>
      <c r="BJ25" s="746"/>
      <c r="BK25" s="746"/>
    </row>
    <row r="26" spans="1:63" ht="22.5" x14ac:dyDescent="0.25">
      <c r="A26" s="1383" t="s">
        <v>2086</v>
      </c>
      <c r="B26" s="1384" t="s">
        <v>2087</v>
      </c>
      <c r="C26" s="1384" t="s">
        <v>2088</v>
      </c>
      <c r="D26" s="1383" t="s">
        <v>2089</v>
      </c>
      <c r="E26" s="1384" t="s">
        <v>2013</v>
      </c>
      <c r="F26" s="1384" t="s">
        <v>2090</v>
      </c>
      <c r="G26" s="1384"/>
      <c r="H26" s="1384"/>
      <c r="I26" s="1384" t="s">
        <v>2091</v>
      </c>
      <c r="J26" s="1384"/>
      <c r="K26" s="1384"/>
      <c r="L26" s="1384"/>
      <c r="M26" s="1384" t="s">
        <v>2008</v>
      </c>
      <c r="N26" s="1384"/>
      <c r="O26" s="1384"/>
      <c r="P26" s="1384" t="s">
        <v>2009</v>
      </c>
      <c r="Q26" s="1384"/>
    </row>
    <row r="27" spans="1:63" s="1361" customFormat="1" ht="112.5" x14ac:dyDescent="0.25">
      <c r="A27" s="1383" t="s">
        <v>2092</v>
      </c>
      <c r="B27" s="1384" t="s">
        <v>139</v>
      </c>
      <c r="C27" s="1384" t="s">
        <v>2093</v>
      </c>
      <c r="D27" s="1383" t="s">
        <v>1415</v>
      </c>
      <c r="E27" s="1384" t="s">
        <v>2013</v>
      </c>
      <c r="F27" s="1384" t="s">
        <v>2094</v>
      </c>
      <c r="G27" s="1384"/>
      <c r="H27" s="1384"/>
      <c r="I27" s="1384" t="s">
        <v>2095</v>
      </c>
      <c r="J27" s="1384"/>
      <c r="K27" s="1384"/>
      <c r="L27" s="1384"/>
      <c r="M27" s="1384" t="s">
        <v>2008</v>
      </c>
      <c r="N27" s="1384"/>
      <c r="O27" s="1384"/>
      <c r="P27" s="1384" t="s">
        <v>2009</v>
      </c>
      <c r="Q27" s="1384"/>
      <c r="R27" s="746"/>
      <c r="S27" s="746"/>
      <c r="T27" s="746"/>
      <c r="U27" s="746"/>
      <c r="V27" s="746"/>
      <c r="W27" s="746"/>
      <c r="X27" s="746"/>
      <c r="Y27" s="746"/>
      <c r="Z27" s="746"/>
      <c r="AA27" s="746"/>
      <c r="AB27" s="746"/>
      <c r="AC27" s="746"/>
      <c r="AD27" s="746"/>
      <c r="AE27" s="746"/>
      <c r="AF27" s="746"/>
      <c r="AG27" s="746"/>
      <c r="AH27" s="746"/>
      <c r="AI27" s="746"/>
      <c r="AJ27" s="746"/>
      <c r="AK27" s="746"/>
      <c r="AL27" s="746"/>
      <c r="AM27" s="746"/>
      <c r="AN27" s="746"/>
      <c r="AO27" s="746"/>
      <c r="AP27" s="746"/>
      <c r="AQ27" s="746"/>
      <c r="AR27" s="746"/>
      <c r="AS27" s="746"/>
      <c r="AT27" s="746"/>
      <c r="AU27" s="746"/>
      <c r="AV27" s="746"/>
      <c r="AW27" s="746"/>
      <c r="AX27" s="746"/>
      <c r="AY27" s="746"/>
      <c r="AZ27" s="746"/>
      <c r="BA27" s="746"/>
      <c r="BB27" s="746"/>
      <c r="BC27" s="746"/>
      <c r="BD27" s="746"/>
      <c r="BE27" s="746"/>
      <c r="BF27" s="746"/>
      <c r="BG27" s="746"/>
      <c r="BH27" s="746"/>
      <c r="BI27" s="746"/>
      <c r="BJ27" s="746"/>
      <c r="BK27" s="746"/>
    </row>
    <row r="28" spans="1:63" ht="168.75" x14ac:dyDescent="0.25">
      <c r="A28" s="1383" t="s">
        <v>2096</v>
      </c>
      <c r="B28" s="1384" t="s">
        <v>2097</v>
      </c>
      <c r="C28" s="1384" t="s">
        <v>2098</v>
      </c>
      <c r="D28" s="1383" t="s">
        <v>2099</v>
      </c>
      <c r="E28" s="1384" t="s">
        <v>2013</v>
      </c>
      <c r="F28" s="1384" t="s">
        <v>2100</v>
      </c>
      <c r="G28" s="1384"/>
      <c r="H28" s="1384"/>
      <c r="I28" s="1384" t="s">
        <v>2101</v>
      </c>
      <c r="J28" s="1384"/>
      <c r="K28" s="1384"/>
      <c r="L28" s="1384"/>
      <c r="M28" s="1384" t="s">
        <v>2102</v>
      </c>
      <c r="N28" s="1384"/>
      <c r="O28" s="1384"/>
      <c r="P28" s="1384" t="s">
        <v>2009</v>
      </c>
      <c r="Q28" s="1384"/>
    </row>
    <row r="29" spans="1:63" ht="33.75" x14ac:dyDescent="0.25">
      <c r="A29" s="1383" t="s">
        <v>2103</v>
      </c>
      <c r="B29" s="1384" t="s">
        <v>2104</v>
      </c>
      <c r="C29" s="1384" t="s">
        <v>2105</v>
      </c>
      <c r="D29" s="1383"/>
      <c r="E29" s="1384" t="s">
        <v>2106</v>
      </c>
      <c r="F29" s="1384" t="s">
        <v>2100</v>
      </c>
      <c r="G29" s="1384"/>
      <c r="H29" s="1384"/>
      <c r="I29" s="1384" t="s">
        <v>2101</v>
      </c>
      <c r="J29" s="1384"/>
      <c r="K29" s="1384"/>
      <c r="L29" s="1384"/>
      <c r="M29" s="1384" t="s">
        <v>2107</v>
      </c>
      <c r="N29" s="1384"/>
      <c r="O29" s="1384"/>
      <c r="P29" s="1384" t="s">
        <v>2009</v>
      </c>
      <c r="Q29" s="1384"/>
    </row>
    <row r="30" spans="1:63" ht="56.25" x14ac:dyDescent="0.25">
      <c r="A30" s="1383" t="s">
        <v>2096</v>
      </c>
      <c r="B30" s="1384" t="s">
        <v>56</v>
      </c>
      <c r="C30" s="1384" t="s">
        <v>2108</v>
      </c>
      <c r="D30" s="1383"/>
      <c r="E30" s="1384" t="s">
        <v>2024</v>
      </c>
      <c r="F30" s="1384" t="s">
        <v>2100</v>
      </c>
      <c r="G30" s="1384" t="s">
        <v>2051</v>
      </c>
      <c r="H30" s="1384">
        <v>4599</v>
      </c>
      <c r="I30" s="1384" t="s">
        <v>2101</v>
      </c>
      <c r="J30" s="1384">
        <v>4599023</v>
      </c>
      <c r="K30" s="1384" t="s">
        <v>2109</v>
      </c>
      <c r="L30" s="1384" t="s">
        <v>2110</v>
      </c>
      <c r="M30" s="1384" t="s">
        <v>2102</v>
      </c>
      <c r="N30" s="1384">
        <v>459902301</v>
      </c>
      <c r="O30" s="1384" t="s">
        <v>2111</v>
      </c>
      <c r="P30" s="1384" t="s">
        <v>2009</v>
      </c>
      <c r="Q30" s="1384" t="s">
        <v>2055</v>
      </c>
    </row>
    <row r="31" spans="1:63" ht="225" x14ac:dyDescent="0.25">
      <c r="A31" s="1383" t="s">
        <v>2112</v>
      </c>
      <c r="B31" s="1384" t="s">
        <v>2113</v>
      </c>
      <c r="C31" s="1384" t="s">
        <v>2114</v>
      </c>
      <c r="D31" s="1383"/>
      <c r="E31" s="1384" t="s">
        <v>2024</v>
      </c>
      <c r="F31" s="1384" t="s">
        <v>2100</v>
      </c>
      <c r="G31" s="1384" t="s">
        <v>2051</v>
      </c>
      <c r="H31" s="1384">
        <v>4502</v>
      </c>
      <c r="I31" s="1384" t="s">
        <v>2115</v>
      </c>
      <c r="J31" s="1384">
        <v>4502035</v>
      </c>
      <c r="K31" s="1384" t="s">
        <v>63</v>
      </c>
      <c r="L31" s="1384" t="s">
        <v>2116</v>
      </c>
      <c r="M31" s="1384" t="s">
        <v>2117</v>
      </c>
      <c r="N31" s="1384">
        <v>450203501</v>
      </c>
      <c r="O31" s="1384" t="s">
        <v>2118</v>
      </c>
      <c r="P31" s="1384" t="s">
        <v>2009</v>
      </c>
      <c r="Q31" s="1384" t="s">
        <v>2055</v>
      </c>
    </row>
    <row r="32" spans="1:63" ht="202.5" x14ac:dyDescent="0.25">
      <c r="A32" s="1383" t="s">
        <v>2119</v>
      </c>
      <c r="B32" s="1384" t="s">
        <v>2120</v>
      </c>
      <c r="C32" s="1384" t="s">
        <v>2121</v>
      </c>
      <c r="D32" s="1385" t="s">
        <v>2122</v>
      </c>
      <c r="E32" s="1384" t="s">
        <v>2013</v>
      </c>
      <c r="F32" s="1384" t="s">
        <v>2100</v>
      </c>
      <c r="G32" s="1384"/>
      <c r="H32" s="1384"/>
      <c r="I32" s="1384" t="s">
        <v>2115</v>
      </c>
      <c r="J32" s="1384"/>
      <c r="K32" s="1384"/>
      <c r="L32" s="1384"/>
      <c r="M32" s="1384" t="s">
        <v>2123</v>
      </c>
      <c r="N32" s="1384"/>
      <c r="O32" s="1384"/>
      <c r="P32" s="1384" t="s">
        <v>2009</v>
      </c>
      <c r="Q32" s="1384"/>
    </row>
    <row r="33" spans="1:63" ht="146.25" x14ac:dyDescent="0.25">
      <c r="A33" s="1383" t="s">
        <v>2124</v>
      </c>
      <c r="B33" s="1384" t="s">
        <v>2125</v>
      </c>
      <c r="C33" s="1384" t="s">
        <v>2126</v>
      </c>
      <c r="D33" s="1383"/>
      <c r="E33" s="1384" t="s">
        <v>2024</v>
      </c>
      <c r="F33" s="1384" t="s">
        <v>2100</v>
      </c>
      <c r="G33" s="1384" t="s">
        <v>2051</v>
      </c>
      <c r="H33" s="1384">
        <v>4599</v>
      </c>
      <c r="I33" s="1384" t="s">
        <v>2101</v>
      </c>
      <c r="J33" s="1384">
        <v>4599018</v>
      </c>
      <c r="K33" s="1384" t="s">
        <v>85</v>
      </c>
      <c r="L33" s="1384" t="s">
        <v>2127</v>
      </c>
      <c r="M33" s="1384" t="s">
        <v>2117</v>
      </c>
      <c r="N33" s="1384">
        <v>459901802</v>
      </c>
      <c r="O33" s="1384" t="s">
        <v>2128</v>
      </c>
      <c r="P33" s="1384" t="s">
        <v>2009</v>
      </c>
      <c r="Q33" s="1384" t="s">
        <v>2055</v>
      </c>
    </row>
    <row r="34" spans="1:63" ht="33.75" x14ac:dyDescent="0.25">
      <c r="A34" s="1383" t="s">
        <v>2129</v>
      </c>
      <c r="B34" s="1384" t="s">
        <v>2130</v>
      </c>
      <c r="C34" s="1384" t="s">
        <v>2131</v>
      </c>
      <c r="D34" s="1383" t="s">
        <v>2132</v>
      </c>
      <c r="E34" s="1384" t="s">
        <v>2133</v>
      </c>
      <c r="F34" s="1384" t="s">
        <v>2100</v>
      </c>
      <c r="G34" s="1384"/>
      <c r="H34" s="1384"/>
      <c r="I34" s="1384" t="s">
        <v>2134</v>
      </c>
      <c r="J34" s="1384"/>
      <c r="K34" s="1384"/>
      <c r="L34" s="1384"/>
      <c r="M34" s="1384" t="s">
        <v>2135</v>
      </c>
      <c r="N34" s="1384"/>
      <c r="O34" s="1384"/>
      <c r="P34" s="1384" t="s">
        <v>2009</v>
      </c>
      <c r="Q34" s="1384"/>
    </row>
    <row r="35" spans="1:63" ht="202.5" x14ac:dyDescent="0.25">
      <c r="A35" s="1383" t="s">
        <v>2136</v>
      </c>
      <c r="B35" s="1384" t="s">
        <v>2137</v>
      </c>
      <c r="C35" s="1384" t="s">
        <v>2138</v>
      </c>
      <c r="D35" s="1385" t="s">
        <v>2139</v>
      </c>
      <c r="E35" s="1384" t="s">
        <v>2013</v>
      </c>
      <c r="F35" s="1384" t="s">
        <v>2100</v>
      </c>
      <c r="G35" s="1384"/>
      <c r="H35" s="1384"/>
      <c r="I35" s="1384" t="s">
        <v>2134</v>
      </c>
      <c r="J35" s="1384"/>
      <c r="K35" s="1384"/>
      <c r="L35" s="1384"/>
      <c r="M35" s="1384" t="s">
        <v>2135</v>
      </c>
      <c r="N35" s="1384"/>
      <c r="O35" s="1384"/>
      <c r="P35" s="1384" t="s">
        <v>2009</v>
      </c>
      <c r="Q35" s="1384"/>
    </row>
    <row r="36" spans="1:63" ht="225" x14ac:dyDescent="0.25">
      <c r="A36" s="1383" t="s">
        <v>2140</v>
      </c>
      <c r="B36" s="1384" t="s">
        <v>2141</v>
      </c>
      <c r="C36" s="1384" t="s">
        <v>2142</v>
      </c>
      <c r="D36" s="1383"/>
      <c r="E36" s="1384" t="s">
        <v>2024</v>
      </c>
      <c r="F36" s="1384" t="s">
        <v>2100</v>
      </c>
      <c r="G36" s="1384" t="s">
        <v>2051</v>
      </c>
      <c r="H36" s="1384">
        <v>4599</v>
      </c>
      <c r="I36" s="1384" t="s">
        <v>2134</v>
      </c>
      <c r="J36" s="1384">
        <v>4599031</v>
      </c>
      <c r="K36" s="1384" t="s">
        <v>102</v>
      </c>
      <c r="L36" s="1384" t="s">
        <v>2077</v>
      </c>
      <c r="M36" s="1384" t="s">
        <v>2143</v>
      </c>
      <c r="N36" s="1384">
        <v>459903101</v>
      </c>
      <c r="O36" s="1384" t="s">
        <v>108</v>
      </c>
      <c r="P36" s="1384" t="s">
        <v>2009</v>
      </c>
      <c r="Q36" s="1384" t="s">
        <v>2055</v>
      </c>
    </row>
    <row r="37" spans="1:63" ht="225" x14ac:dyDescent="0.25">
      <c r="A37" s="1383" t="s">
        <v>2140</v>
      </c>
      <c r="B37" s="1384" t="s">
        <v>2144</v>
      </c>
      <c r="C37" s="1384" t="s">
        <v>2145</v>
      </c>
      <c r="D37" s="1383"/>
      <c r="E37" s="1384" t="s">
        <v>2024</v>
      </c>
      <c r="F37" s="1384" t="s">
        <v>2100</v>
      </c>
      <c r="G37" s="1384" t="s">
        <v>2051</v>
      </c>
      <c r="H37" s="1384">
        <v>4599</v>
      </c>
      <c r="I37" s="1384" t="s">
        <v>2134</v>
      </c>
      <c r="J37" s="1384">
        <v>4599031</v>
      </c>
      <c r="K37" s="1384" t="s">
        <v>102</v>
      </c>
      <c r="L37" s="1384" t="s">
        <v>2077</v>
      </c>
      <c r="M37" s="1384" t="s">
        <v>2143</v>
      </c>
      <c r="N37" s="1384">
        <v>459903101</v>
      </c>
      <c r="O37" s="1384" t="s">
        <v>108</v>
      </c>
      <c r="P37" s="1384" t="s">
        <v>2009</v>
      </c>
      <c r="Q37" s="1384" t="s">
        <v>2055</v>
      </c>
    </row>
    <row r="38" spans="1:63" ht="225" x14ac:dyDescent="0.25">
      <c r="A38" s="1383" t="s">
        <v>2140</v>
      </c>
      <c r="B38" s="1384" t="s">
        <v>2146</v>
      </c>
      <c r="C38" s="1384"/>
      <c r="D38" s="1383"/>
      <c r="E38" s="1384" t="s">
        <v>2024</v>
      </c>
      <c r="F38" s="1384" t="s">
        <v>2100</v>
      </c>
      <c r="G38" s="1384" t="s">
        <v>2051</v>
      </c>
      <c r="H38" s="1384">
        <v>4599</v>
      </c>
      <c r="I38" s="1384" t="s">
        <v>2134</v>
      </c>
      <c r="J38" s="1384">
        <v>4599031</v>
      </c>
      <c r="K38" s="1384" t="s">
        <v>102</v>
      </c>
      <c r="L38" s="1384" t="s">
        <v>2077</v>
      </c>
      <c r="M38" s="1384" t="s">
        <v>2143</v>
      </c>
      <c r="N38" s="1384">
        <v>459903101</v>
      </c>
      <c r="O38" s="1384" t="s">
        <v>108</v>
      </c>
      <c r="P38" s="1384" t="s">
        <v>2009</v>
      </c>
      <c r="Q38" s="1384" t="s">
        <v>2055</v>
      </c>
    </row>
    <row r="39" spans="1:63" ht="225" x14ac:dyDescent="0.25">
      <c r="A39" s="1383" t="s">
        <v>2140</v>
      </c>
      <c r="B39" s="1384" t="s">
        <v>2147</v>
      </c>
      <c r="C39" s="1384" t="s">
        <v>2148</v>
      </c>
      <c r="D39" s="1383"/>
      <c r="E39" s="1384" t="s">
        <v>2024</v>
      </c>
      <c r="F39" s="1384" t="s">
        <v>2100</v>
      </c>
      <c r="G39" s="1384" t="s">
        <v>2051</v>
      </c>
      <c r="H39" s="1384">
        <v>4599</v>
      </c>
      <c r="I39" s="1384" t="s">
        <v>2134</v>
      </c>
      <c r="J39" s="1384">
        <v>4599031</v>
      </c>
      <c r="K39" s="1384" t="s">
        <v>102</v>
      </c>
      <c r="L39" s="1384" t="s">
        <v>2077</v>
      </c>
      <c r="M39" s="1384" t="s">
        <v>2143</v>
      </c>
      <c r="N39" s="1384">
        <v>459903101</v>
      </c>
      <c r="O39" s="1384" t="s">
        <v>108</v>
      </c>
      <c r="P39" s="1384" t="s">
        <v>2009</v>
      </c>
      <c r="Q39" s="1384" t="s">
        <v>2055</v>
      </c>
    </row>
    <row r="40" spans="1:63" ht="225" x14ac:dyDescent="0.25">
      <c r="A40" s="1383" t="s">
        <v>2140</v>
      </c>
      <c r="B40" s="1384" t="s">
        <v>2149</v>
      </c>
      <c r="C40" s="1384" t="s">
        <v>2150</v>
      </c>
      <c r="D40" s="1383"/>
      <c r="E40" s="1384" t="s">
        <v>2024</v>
      </c>
      <c r="F40" s="1384" t="s">
        <v>2100</v>
      </c>
      <c r="G40" s="1384" t="s">
        <v>2051</v>
      </c>
      <c r="H40" s="1384">
        <v>4599</v>
      </c>
      <c r="I40" s="1384" t="s">
        <v>2134</v>
      </c>
      <c r="J40" s="1384">
        <v>4599031</v>
      </c>
      <c r="K40" s="1384" t="s">
        <v>102</v>
      </c>
      <c r="L40" s="1384" t="s">
        <v>2077</v>
      </c>
      <c r="M40" s="1384" t="s">
        <v>2143</v>
      </c>
      <c r="N40" s="1384">
        <v>459903101</v>
      </c>
      <c r="O40" s="1384" t="s">
        <v>108</v>
      </c>
      <c r="P40" s="1384" t="s">
        <v>2009</v>
      </c>
      <c r="Q40" s="1384" t="s">
        <v>2055</v>
      </c>
    </row>
    <row r="41" spans="1:63" ht="225" x14ac:dyDescent="0.25">
      <c r="A41" s="1383" t="s">
        <v>2140</v>
      </c>
      <c r="B41" s="1384" t="s">
        <v>2151</v>
      </c>
      <c r="C41" s="1384" t="s">
        <v>2152</v>
      </c>
      <c r="D41" s="1383"/>
      <c r="E41" s="1384" t="s">
        <v>2024</v>
      </c>
      <c r="F41" s="1384" t="s">
        <v>2100</v>
      </c>
      <c r="G41" s="1384" t="s">
        <v>2051</v>
      </c>
      <c r="H41" s="1384">
        <v>4599</v>
      </c>
      <c r="I41" s="1384" t="s">
        <v>2134</v>
      </c>
      <c r="J41" s="1384">
        <v>4599031</v>
      </c>
      <c r="K41" s="1384" t="s">
        <v>102</v>
      </c>
      <c r="L41" s="1384" t="s">
        <v>2077</v>
      </c>
      <c r="M41" s="1384" t="s">
        <v>2143</v>
      </c>
      <c r="N41" s="1384">
        <v>459903101</v>
      </c>
      <c r="O41" s="1384" t="s">
        <v>108</v>
      </c>
      <c r="P41" s="1384" t="s">
        <v>2009</v>
      </c>
      <c r="Q41" s="1384" t="s">
        <v>2055</v>
      </c>
    </row>
    <row r="42" spans="1:63" s="1365" customFormat="1" ht="40.5" customHeight="1" x14ac:dyDescent="0.25">
      <c r="A42" s="1383" t="s">
        <v>2103</v>
      </c>
      <c r="B42" s="1384" t="s">
        <v>2153</v>
      </c>
      <c r="C42" s="1384" t="s">
        <v>2154</v>
      </c>
      <c r="D42" s="1383"/>
      <c r="E42" s="1384" t="s">
        <v>2155</v>
      </c>
      <c r="F42" s="1384" t="s">
        <v>2100</v>
      </c>
      <c r="G42" s="1384" t="s">
        <v>2051</v>
      </c>
      <c r="H42" s="1384">
        <v>4599</v>
      </c>
      <c r="I42" s="1384" t="s">
        <v>2101</v>
      </c>
      <c r="J42" s="1384">
        <v>4599002</v>
      </c>
      <c r="K42" s="1384" t="s">
        <v>2156</v>
      </c>
      <c r="L42" s="1384" t="s">
        <v>2157</v>
      </c>
      <c r="M42" s="1384" t="s">
        <v>2107</v>
      </c>
      <c r="N42" s="1384"/>
      <c r="O42" s="1384" t="s">
        <v>2158</v>
      </c>
      <c r="P42" s="1384" t="s">
        <v>2009</v>
      </c>
      <c r="Q42" s="1384" t="s">
        <v>2055</v>
      </c>
      <c r="R42" s="1387"/>
      <c r="S42" s="1387"/>
      <c r="T42" s="1387"/>
      <c r="U42" s="1387"/>
      <c r="V42" s="1387"/>
      <c r="W42" s="1387"/>
      <c r="X42" s="1387"/>
      <c r="Y42" s="1387"/>
      <c r="Z42" s="1387"/>
      <c r="AA42" s="1387"/>
      <c r="AB42" s="1387"/>
      <c r="AC42" s="1387"/>
      <c r="AD42" s="1387"/>
      <c r="AE42" s="1387"/>
      <c r="AF42" s="1387"/>
      <c r="AG42" s="1387"/>
      <c r="AH42" s="1387"/>
      <c r="AI42" s="1387"/>
      <c r="AJ42" s="1387"/>
      <c r="AK42" s="1387"/>
      <c r="AL42" s="1387"/>
      <c r="AM42" s="1387"/>
      <c r="AN42" s="1387"/>
      <c r="AO42" s="1387"/>
      <c r="AP42" s="1387"/>
      <c r="AQ42" s="1387"/>
      <c r="AR42" s="1387"/>
      <c r="AS42" s="1387"/>
      <c r="AT42" s="1387"/>
      <c r="AU42" s="1387"/>
      <c r="AV42" s="1387"/>
      <c r="AW42" s="1387"/>
      <c r="AX42" s="1387"/>
      <c r="AY42" s="1387"/>
      <c r="AZ42" s="1387"/>
      <c r="BA42" s="1387"/>
      <c r="BB42" s="1387"/>
      <c r="BC42" s="1387"/>
      <c r="BD42" s="1387"/>
      <c r="BE42" s="1387"/>
      <c r="BF42" s="1387"/>
      <c r="BG42" s="1387"/>
      <c r="BH42" s="1387"/>
      <c r="BI42" s="1387"/>
      <c r="BJ42" s="1387"/>
      <c r="BK42" s="1387"/>
    </row>
    <row r="43" spans="1:63" ht="225" x14ac:dyDescent="0.25">
      <c r="A43" s="1383" t="s">
        <v>2103</v>
      </c>
      <c r="B43" s="1384" t="s">
        <v>2159</v>
      </c>
      <c r="C43" s="1384" t="s">
        <v>2154</v>
      </c>
      <c r="D43" s="1386"/>
      <c r="E43" s="1384" t="s">
        <v>2024</v>
      </c>
      <c r="F43" s="1384" t="s">
        <v>2100</v>
      </c>
      <c r="G43" s="1384" t="s">
        <v>2051</v>
      </c>
      <c r="H43" s="1384">
        <v>4599</v>
      </c>
      <c r="I43" s="1384" t="s">
        <v>2101</v>
      </c>
      <c r="J43" s="1384">
        <v>4599031</v>
      </c>
      <c r="K43" s="1384" t="s">
        <v>102</v>
      </c>
      <c r="L43" s="1384" t="s">
        <v>2077</v>
      </c>
      <c r="M43" s="1384" t="s">
        <v>2107</v>
      </c>
      <c r="N43" s="1384">
        <v>459903105</v>
      </c>
      <c r="O43" s="1384" t="s">
        <v>2160</v>
      </c>
      <c r="P43" s="1384" t="s">
        <v>2009</v>
      </c>
      <c r="Q43" s="1384" t="s">
        <v>2055</v>
      </c>
    </row>
    <row r="44" spans="1:63" ht="78.75" x14ac:dyDescent="0.25">
      <c r="A44" s="1383" t="s">
        <v>2161</v>
      </c>
      <c r="B44" s="1384" t="s">
        <v>236</v>
      </c>
      <c r="C44" s="1384" t="s">
        <v>2162</v>
      </c>
      <c r="D44" s="1383" t="s">
        <v>2163</v>
      </c>
      <c r="E44" s="1384" t="s">
        <v>2013</v>
      </c>
      <c r="F44" s="1384" t="s">
        <v>2100</v>
      </c>
      <c r="G44" s="1384"/>
      <c r="H44" s="1384"/>
      <c r="I44" s="1384" t="s">
        <v>2134</v>
      </c>
      <c r="J44" s="1384"/>
      <c r="K44" s="1384"/>
      <c r="L44" s="1384"/>
      <c r="M44" s="1384" t="s">
        <v>2008</v>
      </c>
      <c r="N44" s="1384"/>
      <c r="O44" s="1384"/>
      <c r="P44" s="1384" t="s">
        <v>2009</v>
      </c>
      <c r="Q44" s="1384"/>
    </row>
    <row r="45" spans="1:63" ht="213.75" x14ac:dyDescent="0.25">
      <c r="A45" s="1383" t="s">
        <v>2164</v>
      </c>
      <c r="B45" s="1384" t="s">
        <v>2165</v>
      </c>
      <c r="C45" s="1384" t="s">
        <v>2166</v>
      </c>
      <c r="D45" s="1383" t="s">
        <v>2167</v>
      </c>
      <c r="E45" s="1384" t="s">
        <v>2013</v>
      </c>
      <c r="F45" s="1384" t="s">
        <v>2100</v>
      </c>
      <c r="G45" s="1384"/>
      <c r="H45" s="1384"/>
      <c r="I45" s="1384" t="s">
        <v>2168</v>
      </c>
      <c r="J45" s="1384"/>
      <c r="K45" s="1384"/>
      <c r="L45" s="1384"/>
      <c r="M45" s="1384" t="s">
        <v>2169</v>
      </c>
      <c r="N45" s="1384"/>
      <c r="O45" s="1384"/>
      <c r="P45" s="1384" t="s">
        <v>2009</v>
      </c>
      <c r="Q45" s="1384"/>
    </row>
    <row r="46" spans="1:63" ht="213.75" x14ac:dyDescent="0.25">
      <c r="A46" s="1383" t="s">
        <v>2170</v>
      </c>
      <c r="B46" s="1384" t="s">
        <v>2171</v>
      </c>
      <c r="C46" s="1384" t="s">
        <v>2172</v>
      </c>
      <c r="D46" s="1383" t="s">
        <v>2173</v>
      </c>
      <c r="E46" s="1384" t="s">
        <v>2013</v>
      </c>
      <c r="F46" s="1384" t="s">
        <v>2100</v>
      </c>
      <c r="G46" s="1384"/>
      <c r="H46" s="1384"/>
      <c r="I46" s="1384" t="s">
        <v>2115</v>
      </c>
      <c r="J46" s="1384"/>
      <c r="K46" s="1384"/>
      <c r="L46" s="1384"/>
      <c r="M46" s="1384" t="s">
        <v>2174</v>
      </c>
      <c r="N46" s="1384"/>
      <c r="O46" s="1384"/>
      <c r="P46" s="1384" t="s">
        <v>2009</v>
      </c>
      <c r="Q46" s="1384"/>
    </row>
    <row r="47" spans="1:63" ht="33.75" x14ac:dyDescent="0.25">
      <c r="A47" s="1383" t="s">
        <v>2175</v>
      </c>
      <c r="B47" s="1384" t="s">
        <v>2176</v>
      </c>
      <c r="C47" s="1384" t="s">
        <v>2177</v>
      </c>
      <c r="D47" s="1383"/>
      <c r="E47" s="1384" t="s">
        <v>2024</v>
      </c>
      <c r="F47" s="1384" t="s">
        <v>2100</v>
      </c>
      <c r="G47" s="1384" t="s">
        <v>2051</v>
      </c>
      <c r="H47" s="1384">
        <v>4599</v>
      </c>
      <c r="I47" s="1384" t="s">
        <v>2101</v>
      </c>
      <c r="J47" s="1384">
        <v>4599032</v>
      </c>
      <c r="K47" s="1384" t="s">
        <v>2068</v>
      </c>
      <c r="L47" s="1384" t="s">
        <v>2069</v>
      </c>
      <c r="M47" s="1384" t="s">
        <v>2117</v>
      </c>
      <c r="N47" s="1384">
        <v>459903200</v>
      </c>
      <c r="O47" s="1384" t="s">
        <v>2070</v>
      </c>
      <c r="P47" s="1384" t="s">
        <v>2009</v>
      </c>
      <c r="Q47" s="1384" t="s">
        <v>2061</v>
      </c>
    </row>
    <row r="48" spans="1:63" ht="146.25" x14ac:dyDescent="0.25">
      <c r="A48" s="1383" t="s">
        <v>2124</v>
      </c>
      <c r="B48" s="1384" t="s">
        <v>620</v>
      </c>
      <c r="C48" s="1384" t="s">
        <v>2042</v>
      </c>
      <c r="D48" s="1383"/>
      <c r="E48" s="1384" t="s">
        <v>2024</v>
      </c>
      <c r="F48" s="1384" t="s">
        <v>2100</v>
      </c>
      <c r="G48" s="1384" t="s">
        <v>2051</v>
      </c>
      <c r="H48" s="1384">
        <v>4599</v>
      </c>
      <c r="I48" s="1384" t="s">
        <v>2178</v>
      </c>
      <c r="J48" s="1384">
        <v>4599018</v>
      </c>
      <c r="K48" s="1384" t="s">
        <v>85</v>
      </c>
      <c r="L48" s="1384" t="s">
        <v>2127</v>
      </c>
      <c r="M48" s="1384" t="s">
        <v>2117</v>
      </c>
      <c r="N48" s="1384">
        <v>459901802</v>
      </c>
      <c r="O48" s="1384" t="s">
        <v>2128</v>
      </c>
      <c r="P48" s="1384" t="s">
        <v>2009</v>
      </c>
      <c r="Q48" s="1384" t="s">
        <v>2055</v>
      </c>
    </row>
    <row r="49" spans="1:63" s="1364" customFormat="1" ht="213.75" x14ac:dyDescent="0.25">
      <c r="A49" s="1383" t="s">
        <v>2179</v>
      </c>
      <c r="B49" s="1384" t="s">
        <v>2180</v>
      </c>
      <c r="C49" s="1384" t="s">
        <v>2181</v>
      </c>
      <c r="D49" s="1383"/>
      <c r="E49" s="1384" t="s">
        <v>2024</v>
      </c>
      <c r="F49" s="1384" t="s">
        <v>2100</v>
      </c>
      <c r="G49" s="1384" t="s">
        <v>2051</v>
      </c>
      <c r="H49" s="1384">
        <v>4502</v>
      </c>
      <c r="I49" s="1384" t="s">
        <v>2038</v>
      </c>
      <c r="J49" s="1384">
        <v>4502024</v>
      </c>
      <c r="K49" s="1384" t="s">
        <v>303</v>
      </c>
      <c r="L49" s="1384" t="s">
        <v>2182</v>
      </c>
      <c r="M49" s="1384" t="s">
        <v>2033</v>
      </c>
      <c r="N49" s="1384">
        <v>450202400</v>
      </c>
      <c r="O49" s="1384" t="s">
        <v>304</v>
      </c>
      <c r="P49" s="1384" t="s">
        <v>2009</v>
      </c>
      <c r="Q49" s="1384" t="s">
        <v>2061</v>
      </c>
      <c r="R49" s="746"/>
      <c r="S49" s="746"/>
      <c r="T49" s="746"/>
      <c r="U49" s="746"/>
      <c r="V49" s="746"/>
      <c r="W49" s="746"/>
      <c r="X49" s="746"/>
      <c r="Y49" s="746"/>
      <c r="Z49" s="746"/>
      <c r="AA49" s="746"/>
      <c r="AB49" s="746"/>
      <c r="AC49" s="746"/>
      <c r="AD49" s="746"/>
      <c r="AE49" s="746"/>
      <c r="AF49" s="746"/>
      <c r="AG49" s="746"/>
      <c r="AH49" s="746"/>
      <c r="AI49" s="746"/>
      <c r="AJ49" s="746"/>
      <c r="AK49" s="746"/>
      <c r="AL49" s="746"/>
      <c r="AM49" s="746"/>
      <c r="AN49" s="746"/>
      <c r="AO49" s="746"/>
      <c r="AP49" s="746"/>
      <c r="AQ49" s="746"/>
      <c r="AR49" s="746"/>
      <c r="AS49" s="746"/>
      <c r="AT49" s="746"/>
      <c r="AU49" s="746"/>
      <c r="AV49" s="746"/>
      <c r="AW49" s="746"/>
      <c r="AX49" s="746"/>
      <c r="AY49" s="746"/>
      <c r="AZ49" s="746"/>
      <c r="BA49" s="746"/>
      <c r="BB49" s="746"/>
      <c r="BC49" s="746"/>
      <c r="BD49" s="746"/>
      <c r="BE49" s="746"/>
      <c r="BF49" s="746"/>
      <c r="BG49" s="746"/>
      <c r="BH49" s="746"/>
      <c r="BI49" s="746"/>
      <c r="BJ49" s="746"/>
      <c r="BK49" s="746"/>
    </row>
    <row r="50" spans="1:63" s="1364" customFormat="1" ht="213.75" x14ac:dyDescent="0.25">
      <c r="A50" s="1383" t="s">
        <v>2179</v>
      </c>
      <c r="B50" s="1384" t="s">
        <v>2183</v>
      </c>
      <c r="C50" s="1384" t="s">
        <v>2184</v>
      </c>
      <c r="D50" s="1383"/>
      <c r="E50" s="1384" t="s">
        <v>2024</v>
      </c>
      <c r="F50" s="1384" t="s">
        <v>2100</v>
      </c>
      <c r="G50" s="1384" t="s">
        <v>2051</v>
      </c>
      <c r="H50" s="1384">
        <v>4502</v>
      </c>
      <c r="I50" s="1384" t="s">
        <v>2038</v>
      </c>
      <c r="J50" s="1384">
        <v>4502024</v>
      </c>
      <c r="K50" s="1384" t="s">
        <v>303</v>
      </c>
      <c r="L50" s="1384" t="s">
        <v>2182</v>
      </c>
      <c r="M50" s="1384" t="s">
        <v>2033</v>
      </c>
      <c r="N50" s="1384">
        <v>450202401</v>
      </c>
      <c r="O50" s="1384" t="s">
        <v>1965</v>
      </c>
      <c r="P50" s="1384" t="s">
        <v>2009</v>
      </c>
      <c r="Q50" s="1384" t="s">
        <v>2055</v>
      </c>
      <c r="R50" s="746"/>
      <c r="S50" s="746"/>
      <c r="T50" s="746"/>
      <c r="U50" s="746"/>
      <c r="V50" s="746"/>
      <c r="W50" s="746"/>
      <c r="X50" s="746"/>
      <c r="Y50" s="746"/>
      <c r="Z50" s="746"/>
      <c r="AA50" s="746"/>
      <c r="AB50" s="746"/>
      <c r="AC50" s="746"/>
      <c r="AD50" s="746"/>
      <c r="AE50" s="746"/>
      <c r="AF50" s="746"/>
      <c r="AG50" s="746"/>
      <c r="AH50" s="746"/>
      <c r="AI50" s="746"/>
      <c r="AJ50" s="746"/>
      <c r="AK50" s="746"/>
      <c r="AL50" s="746"/>
      <c r="AM50" s="746"/>
      <c r="AN50" s="746"/>
      <c r="AO50" s="746"/>
      <c r="AP50" s="746"/>
      <c r="AQ50" s="746"/>
      <c r="AR50" s="746"/>
      <c r="AS50" s="746"/>
      <c r="AT50" s="746"/>
      <c r="AU50" s="746"/>
      <c r="AV50" s="746"/>
      <c r="AW50" s="746"/>
      <c r="AX50" s="746"/>
      <c r="AY50" s="746"/>
      <c r="AZ50" s="746"/>
      <c r="BA50" s="746"/>
      <c r="BB50" s="746"/>
      <c r="BC50" s="746"/>
      <c r="BD50" s="746"/>
      <c r="BE50" s="746"/>
      <c r="BF50" s="746"/>
      <c r="BG50" s="746"/>
      <c r="BH50" s="746"/>
      <c r="BI50" s="746"/>
      <c r="BJ50" s="746"/>
      <c r="BK50" s="746"/>
    </row>
    <row r="51" spans="1:63" ht="78.75" x14ac:dyDescent="0.25">
      <c r="A51" s="1383" t="s">
        <v>2185</v>
      </c>
      <c r="B51" s="1384" t="s">
        <v>563</v>
      </c>
      <c r="C51" s="1384" t="s">
        <v>2186</v>
      </c>
      <c r="D51" s="1383" t="s">
        <v>2187</v>
      </c>
      <c r="E51" s="1384" t="s">
        <v>2188</v>
      </c>
      <c r="F51" s="1384" t="s">
        <v>2189</v>
      </c>
      <c r="G51" s="1384"/>
      <c r="H51" s="1384"/>
      <c r="I51" s="1384" t="s">
        <v>2190</v>
      </c>
      <c r="J51" s="1384"/>
      <c r="K51" s="1384"/>
      <c r="L51" s="1384"/>
      <c r="M51" s="1384" t="s">
        <v>2191</v>
      </c>
      <c r="N51" s="1384"/>
      <c r="O51" s="1384"/>
      <c r="P51" s="1384" t="s">
        <v>2192</v>
      </c>
      <c r="Q51" s="1384"/>
    </row>
    <row r="52" spans="1:63" s="1353" customFormat="1" ht="27" customHeight="1" x14ac:dyDescent="0.25">
      <c r="A52" s="1383" t="s">
        <v>2193</v>
      </c>
      <c r="B52" s="1384" t="s">
        <v>567</v>
      </c>
      <c r="C52" s="1384" t="s">
        <v>2194</v>
      </c>
      <c r="D52" s="1383" t="s">
        <v>1468</v>
      </c>
      <c r="E52" s="1384" t="s">
        <v>2013</v>
      </c>
      <c r="F52" s="1384" t="s">
        <v>2189</v>
      </c>
      <c r="G52" s="1384"/>
      <c r="H52" s="1384"/>
      <c r="I52" s="1384" t="s">
        <v>2190</v>
      </c>
      <c r="J52" s="1384"/>
      <c r="K52" s="1384"/>
      <c r="L52" s="1384"/>
      <c r="M52" s="1384" t="s">
        <v>2195</v>
      </c>
      <c r="N52" s="1384"/>
      <c r="O52" s="1384"/>
      <c r="P52" s="1384" t="s">
        <v>2009</v>
      </c>
      <c r="Q52" s="1384"/>
      <c r="R52" s="1387"/>
      <c r="S52" s="1387"/>
      <c r="T52" s="1387"/>
      <c r="U52" s="1387"/>
      <c r="V52" s="1387"/>
      <c r="W52" s="1387"/>
      <c r="X52" s="1387"/>
      <c r="Y52" s="1387"/>
      <c r="Z52" s="1387"/>
      <c r="AA52" s="1387"/>
      <c r="AB52" s="1387"/>
      <c r="AC52" s="1387"/>
      <c r="AD52" s="1387"/>
      <c r="AE52" s="1387"/>
      <c r="AF52" s="1387"/>
      <c r="AG52" s="1387"/>
      <c r="AH52" s="1387"/>
      <c r="AI52" s="1387"/>
      <c r="AJ52" s="1387"/>
      <c r="AK52" s="1387"/>
      <c r="AL52" s="1387"/>
      <c r="AM52" s="1387"/>
      <c r="AN52" s="1387"/>
      <c r="AO52" s="1387"/>
      <c r="AP52" s="1387"/>
      <c r="AQ52" s="1387"/>
      <c r="AR52" s="1387"/>
      <c r="AS52" s="1387"/>
      <c r="AT52" s="1387"/>
      <c r="AU52" s="1387"/>
      <c r="AV52" s="1387"/>
      <c r="AW52" s="1387"/>
      <c r="AX52" s="1387"/>
      <c r="AY52" s="1387"/>
      <c r="AZ52" s="1387"/>
      <c r="BA52" s="1387"/>
      <c r="BB52" s="1387"/>
      <c r="BC52" s="1387"/>
      <c r="BD52" s="1387"/>
      <c r="BE52" s="1387"/>
      <c r="BF52" s="1387"/>
      <c r="BG52" s="1387"/>
      <c r="BH52" s="1387"/>
      <c r="BI52" s="1387"/>
      <c r="BJ52" s="1387"/>
      <c r="BK52" s="1387"/>
    </row>
    <row r="53" spans="1:63" ht="45" x14ac:dyDescent="0.25">
      <c r="A53" s="1383" t="s">
        <v>2196</v>
      </c>
      <c r="B53" s="1384" t="s">
        <v>572</v>
      </c>
      <c r="C53" s="1384" t="s">
        <v>2197</v>
      </c>
      <c r="D53" s="1383" t="s">
        <v>2198</v>
      </c>
      <c r="E53" s="1384" t="s">
        <v>2013</v>
      </c>
      <c r="F53" s="1384" t="s">
        <v>2189</v>
      </c>
      <c r="G53" s="1384"/>
      <c r="H53" s="1384"/>
      <c r="I53" s="1384" t="s">
        <v>2190</v>
      </c>
      <c r="J53" s="1384"/>
      <c r="K53" s="1384"/>
      <c r="L53" s="1384"/>
      <c r="M53" s="1384" t="s">
        <v>2195</v>
      </c>
      <c r="N53" s="1384"/>
      <c r="O53" s="1384"/>
      <c r="P53" s="1384" t="s">
        <v>2009</v>
      </c>
      <c r="Q53" s="1384"/>
    </row>
    <row r="54" spans="1:63" s="1361" customFormat="1" ht="348.75" x14ac:dyDescent="0.25">
      <c r="A54" s="1383" t="s">
        <v>2199</v>
      </c>
      <c r="B54" s="1384" t="s">
        <v>148</v>
      </c>
      <c r="C54" s="1384" t="s">
        <v>2154</v>
      </c>
      <c r="D54" s="1383" t="s">
        <v>1417</v>
      </c>
      <c r="E54" s="1384" t="s">
        <v>2024</v>
      </c>
      <c r="F54" s="1384" t="s">
        <v>2200</v>
      </c>
      <c r="G54" s="1384" t="s">
        <v>2201</v>
      </c>
      <c r="H54" s="1384">
        <v>1906</v>
      </c>
      <c r="I54" s="1384" t="s">
        <v>2202</v>
      </c>
      <c r="J54" s="1384">
        <v>1906001</v>
      </c>
      <c r="K54" s="1384" t="s">
        <v>2203</v>
      </c>
      <c r="L54" s="1384" t="s">
        <v>2204</v>
      </c>
      <c r="M54" s="1384" t="s">
        <v>2008</v>
      </c>
      <c r="N54" s="1384">
        <v>190600100</v>
      </c>
      <c r="O54" s="1384" t="s">
        <v>2203</v>
      </c>
      <c r="P54" s="1384" t="s">
        <v>2009</v>
      </c>
      <c r="Q54" s="1384">
        <v>1</v>
      </c>
      <c r="R54" s="746"/>
      <c r="S54" s="746"/>
      <c r="T54" s="746"/>
      <c r="U54" s="746"/>
      <c r="V54" s="746"/>
      <c r="W54" s="746"/>
      <c r="X54" s="746"/>
      <c r="Y54" s="746"/>
      <c r="Z54" s="746"/>
      <c r="AA54" s="746"/>
      <c r="AB54" s="746"/>
      <c r="AC54" s="746"/>
      <c r="AD54" s="746"/>
      <c r="AE54" s="746"/>
      <c r="AF54" s="746"/>
      <c r="AG54" s="746"/>
      <c r="AH54" s="746"/>
      <c r="AI54" s="746"/>
      <c r="AJ54" s="746"/>
      <c r="AK54" s="746"/>
      <c r="AL54" s="746"/>
      <c r="AM54" s="746"/>
      <c r="AN54" s="746"/>
      <c r="AO54" s="746"/>
      <c r="AP54" s="746"/>
      <c r="AQ54" s="746"/>
      <c r="AR54" s="746"/>
      <c r="AS54" s="746"/>
      <c r="AT54" s="746"/>
      <c r="AU54" s="746"/>
      <c r="AV54" s="746"/>
      <c r="AW54" s="746"/>
      <c r="AX54" s="746"/>
      <c r="AY54" s="746"/>
      <c r="AZ54" s="746"/>
      <c r="BA54" s="746"/>
      <c r="BB54" s="746"/>
      <c r="BC54" s="746"/>
      <c r="BD54" s="746"/>
      <c r="BE54" s="746"/>
      <c r="BF54" s="746"/>
      <c r="BG54" s="746"/>
      <c r="BH54" s="746"/>
      <c r="BI54" s="746"/>
      <c r="BJ54" s="746"/>
      <c r="BK54" s="746"/>
    </row>
    <row r="55" spans="1:63" ht="191.25" x14ac:dyDescent="0.25">
      <c r="A55" s="1383" t="s">
        <v>2205</v>
      </c>
      <c r="B55" s="1384" t="s">
        <v>941</v>
      </c>
      <c r="C55" s="1384" t="s">
        <v>2206</v>
      </c>
      <c r="D55" s="1383" t="s">
        <v>2207</v>
      </c>
      <c r="E55" s="1384" t="s">
        <v>2013</v>
      </c>
      <c r="F55" s="1384" t="s">
        <v>2200</v>
      </c>
      <c r="G55" s="1384" t="s">
        <v>2201</v>
      </c>
      <c r="H55" s="1384">
        <v>1903</v>
      </c>
      <c r="I55" s="1384" t="s">
        <v>2208</v>
      </c>
      <c r="J55" s="1384" t="s">
        <v>2209</v>
      </c>
      <c r="K55" s="1384" t="s">
        <v>2209</v>
      </c>
      <c r="L55" s="1384" t="s">
        <v>2209</v>
      </c>
      <c r="M55" s="1384" t="s">
        <v>2033</v>
      </c>
      <c r="N55" s="1384" t="s">
        <v>2209</v>
      </c>
      <c r="O55" s="1384" t="s">
        <v>2209</v>
      </c>
      <c r="P55" s="1384" t="s">
        <v>2009</v>
      </c>
      <c r="Q55" s="1384" t="s">
        <v>2209</v>
      </c>
    </row>
    <row r="56" spans="1:63" s="1362" customFormat="1" ht="281.25" x14ac:dyDescent="0.25">
      <c r="A56" s="1383" t="s">
        <v>2210</v>
      </c>
      <c r="B56" s="1384" t="s">
        <v>1010</v>
      </c>
      <c r="C56" s="1384" t="s">
        <v>2211</v>
      </c>
      <c r="D56" s="1383" t="s">
        <v>2212</v>
      </c>
      <c r="E56" s="1384" t="s">
        <v>2013</v>
      </c>
      <c r="F56" s="1384" t="s">
        <v>2200</v>
      </c>
      <c r="G56" s="1384" t="s">
        <v>2201</v>
      </c>
      <c r="H56" s="1384">
        <v>1905</v>
      </c>
      <c r="I56" s="1384" t="s">
        <v>2213</v>
      </c>
      <c r="J56" s="1384" t="s">
        <v>2209</v>
      </c>
      <c r="K56" s="1384" t="s">
        <v>2209</v>
      </c>
      <c r="L56" s="1384" t="s">
        <v>2209</v>
      </c>
      <c r="M56" s="1384" t="s">
        <v>2033</v>
      </c>
      <c r="N56" s="1384" t="s">
        <v>2209</v>
      </c>
      <c r="O56" s="1384" t="s">
        <v>2209</v>
      </c>
      <c r="P56" s="1384" t="s">
        <v>2009</v>
      </c>
      <c r="Q56" s="1384" t="s">
        <v>2209</v>
      </c>
      <c r="R56" s="746"/>
      <c r="S56" s="746"/>
      <c r="T56" s="746"/>
      <c r="U56" s="746"/>
      <c r="V56" s="746"/>
      <c r="W56" s="746"/>
      <c r="X56" s="746"/>
      <c r="Y56" s="746"/>
      <c r="Z56" s="746"/>
      <c r="AA56" s="746"/>
      <c r="AB56" s="746"/>
      <c r="AC56" s="746"/>
      <c r="AD56" s="746"/>
      <c r="AE56" s="746"/>
      <c r="AF56" s="746"/>
      <c r="AG56" s="746"/>
      <c r="AH56" s="746"/>
      <c r="AI56" s="746"/>
      <c r="AJ56" s="746"/>
      <c r="AK56" s="746"/>
      <c r="AL56" s="746"/>
      <c r="AM56" s="746"/>
      <c r="AN56" s="746"/>
      <c r="AO56" s="746"/>
      <c r="AP56" s="746"/>
      <c r="AQ56" s="746"/>
      <c r="AR56" s="746"/>
      <c r="AS56" s="746"/>
      <c r="AT56" s="746"/>
      <c r="AU56" s="746"/>
      <c r="AV56" s="746"/>
      <c r="AW56" s="746"/>
      <c r="AX56" s="746"/>
      <c r="AY56" s="746"/>
      <c r="AZ56" s="746"/>
      <c r="BA56" s="746"/>
      <c r="BB56" s="746"/>
      <c r="BC56" s="746"/>
      <c r="BD56" s="746"/>
      <c r="BE56" s="746"/>
      <c r="BF56" s="746"/>
      <c r="BG56" s="746"/>
      <c r="BH56" s="746"/>
      <c r="BI56" s="746"/>
      <c r="BJ56" s="746"/>
      <c r="BK56" s="746"/>
    </row>
    <row r="57" spans="1:63" ht="191.25" x14ac:dyDescent="0.25">
      <c r="A57" s="1383" t="s">
        <v>2214</v>
      </c>
      <c r="B57" s="1384" t="s">
        <v>1020</v>
      </c>
      <c r="C57" s="1384" t="s">
        <v>2215</v>
      </c>
      <c r="D57" s="1383" t="s">
        <v>2216</v>
      </c>
      <c r="E57" s="1384" t="s">
        <v>2024</v>
      </c>
      <c r="F57" s="1384" t="s">
        <v>2200</v>
      </c>
      <c r="G57" s="1384" t="s">
        <v>2201</v>
      </c>
      <c r="H57" s="1384">
        <v>1905</v>
      </c>
      <c r="I57" s="1384" t="s">
        <v>2213</v>
      </c>
      <c r="J57" s="1384">
        <v>1905024</v>
      </c>
      <c r="K57" s="1384" t="s">
        <v>2217</v>
      </c>
      <c r="L57" s="1384" t="s">
        <v>2218</v>
      </c>
      <c r="M57" s="1384" t="s">
        <v>2033</v>
      </c>
      <c r="N57" s="1384">
        <v>190502400</v>
      </c>
      <c r="O57" s="1384" t="s">
        <v>2219</v>
      </c>
      <c r="P57" s="1384" t="s">
        <v>2009</v>
      </c>
      <c r="Q57" s="1384">
        <v>1</v>
      </c>
    </row>
    <row r="58" spans="1:63" ht="112.5" x14ac:dyDescent="0.25">
      <c r="A58" s="1383" t="s">
        <v>2220</v>
      </c>
      <c r="B58" s="1384" t="s">
        <v>1022</v>
      </c>
      <c r="C58" s="1384" t="s">
        <v>2221</v>
      </c>
      <c r="D58" s="1383" t="s">
        <v>2222</v>
      </c>
      <c r="E58" s="1384" t="s">
        <v>2013</v>
      </c>
      <c r="F58" s="1384" t="s">
        <v>2200</v>
      </c>
      <c r="G58" s="1384" t="s">
        <v>2201</v>
      </c>
      <c r="H58" s="1384">
        <v>1905</v>
      </c>
      <c r="I58" s="1384" t="s">
        <v>2213</v>
      </c>
      <c r="J58" s="1384" t="s">
        <v>2209</v>
      </c>
      <c r="K58" s="1384" t="s">
        <v>2209</v>
      </c>
      <c r="L58" s="1384" t="s">
        <v>2209</v>
      </c>
      <c r="M58" s="1384" t="s">
        <v>2033</v>
      </c>
      <c r="N58" s="1384" t="s">
        <v>2209</v>
      </c>
      <c r="O58" s="1384" t="s">
        <v>2209</v>
      </c>
      <c r="P58" s="1384" t="s">
        <v>2009</v>
      </c>
      <c r="Q58" s="1384" t="s">
        <v>2209</v>
      </c>
    </row>
    <row r="59" spans="1:63" ht="191.25" x14ac:dyDescent="0.25">
      <c r="A59" s="1383" t="s">
        <v>2223</v>
      </c>
      <c r="B59" s="1384" t="s">
        <v>1033</v>
      </c>
      <c r="C59" s="1384" t="s">
        <v>2224</v>
      </c>
      <c r="D59" s="1383" t="s">
        <v>2225</v>
      </c>
      <c r="E59" s="1384" t="s">
        <v>2013</v>
      </c>
      <c r="F59" s="1384" t="s">
        <v>2200</v>
      </c>
      <c r="G59" s="1384" t="s">
        <v>2201</v>
      </c>
      <c r="H59" s="1384">
        <v>1905</v>
      </c>
      <c r="I59" s="1384" t="s">
        <v>2213</v>
      </c>
      <c r="J59" s="1384" t="s">
        <v>2209</v>
      </c>
      <c r="K59" s="1384" t="s">
        <v>2209</v>
      </c>
      <c r="L59" s="1384" t="s">
        <v>2209</v>
      </c>
      <c r="M59" s="1384" t="s">
        <v>2033</v>
      </c>
      <c r="N59" s="1384" t="s">
        <v>2209</v>
      </c>
      <c r="O59" s="1384" t="s">
        <v>2209</v>
      </c>
      <c r="P59" s="1384" t="s">
        <v>2009</v>
      </c>
      <c r="Q59" s="1384" t="s">
        <v>2209</v>
      </c>
    </row>
    <row r="60" spans="1:63" ht="225" x14ac:dyDescent="0.25">
      <c r="A60" s="1383" t="s">
        <v>2226</v>
      </c>
      <c r="B60" s="1384" t="s">
        <v>1018</v>
      </c>
      <c r="C60" s="1384" t="s">
        <v>2227</v>
      </c>
      <c r="D60" s="1383" t="s">
        <v>2228</v>
      </c>
      <c r="E60" s="1384" t="s">
        <v>2024</v>
      </c>
      <c r="F60" s="1384" t="s">
        <v>2200</v>
      </c>
      <c r="G60" s="1384" t="s">
        <v>2201</v>
      </c>
      <c r="H60" s="1384">
        <v>1905</v>
      </c>
      <c r="I60" s="1384" t="s">
        <v>2213</v>
      </c>
      <c r="J60" s="1384">
        <v>1905015</v>
      </c>
      <c r="K60" s="1384" t="s">
        <v>63</v>
      </c>
      <c r="L60" s="1384"/>
      <c r="M60" s="1384" t="s">
        <v>2033</v>
      </c>
      <c r="N60" s="1384">
        <v>190501500</v>
      </c>
      <c r="O60" s="1384" t="s">
        <v>216</v>
      </c>
      <c r="P60" s="1384" t="s">
        <v>2009</v>
      </c>
      <c r="Q60" s="1384">
        <v>1</v>
      </c>
    </row>
    <row r="61" spans="1:63" s="1366" customFormat="1" ht="146.25" x14ac:dyDescent="0.25">
      <c r="A61" s="1383" t="s">
        <v>2229</v>
      </c>
      <c r="B61" s="1384" t="s">
        <v>1094</v>
      </c>
      <c r="C61" s="1384" t="s">
        <v>2230</v>
      </c>
      <c r="D61" s="1383" t="s">
        <v>1524</v>
      </c>
      <c r="E61" s="1384" t="s">
        <v>2024</v>
      </c>
      <c r="F61" s="1384" t="s">
        <v>2200</v>
      </c>
      <c r="G61" s="1384" t="s">
        <v>2231</v>
      </c>
      <c r="H61" s="1384">
        <v>1906</v>
      </c>
      <c r="I61" s="1384" t="s">
        <v>2202</v>
      </c>
      <c r="J61" s="1384" t="s">
        <v>2209</v>
      </c>
      <c r="K61" s="1384" t="s">
        <v>1978</v>
      </c>
      <c r="L61" s="1384" t="s">
        <v>2232</v>
      </c>
      <c r="M61" s="1384" t="s">
        <v>2033</v>
      </c>
      <c r="N61" s="1384">
        <v>0</v>
      </c>
      <c r="O61" s="1384" t="s">
        <v>1980</v>
      </c>
      <c r="P61" s="1384" t="s">
        <v>2009</v>
      </c>
      <c r="Q61" s="1384">
        <v>1</v>
      </c>
      <c r="R61" s="746"/>
      <c r="S61" s="746"/>
      <c r="T61" s="746"/>
      <c r="U61" s="746"/>
      <c r="V61" s="746"/>
      <c r="W61" s="746"/>
      <c r="X61" s="746"/>
      <c r="Y61" s="746"/>
      <c r="Z61" s="746"/>
      <c r="AA61" s="746"/>
      <c r="AB61" s="746"/>
      <c r="AC61" s="746"/>
      <c r="AD61" s="746"/>
      <c r="AE61" s="746"/>
      <c r="AF61" s="746"/>
      <c r="AG61" s="746"/>
      <c r="AH61" s="746"/>
      <c r="AI61" s="746"/>
      <c r="AJ61" s="746"/>
      <c r="AK61" s="746"/>
      <c r="AL61" s="746"/>
      <c r="AM61" s="746"/>
      <c r="AN61" s="746"/>
      <c r="AO61" s="746"/>
      <c r="AP61" s="746"/>
      <c r="AQ61" s="746"/>
      <c r="AR61" s="746"/>
      <c r="AS61" s="746"/>
      <c r="AT61" s="746"/>
      <c r="AU61" s="746"/>
      <c r="AV61" s="746"/>
      <c r="AW61" s="746"/>
      <c r="AX61" s="746"/>
      <c r="AY61" s="746"/>
      <c r="AZ61" s="746"/>
      <c r="BA61" s="746"/>
      <c r="BB61" s="746"/>
      <c r="BC61" s="746"/>
      <c r="BD61" s="746"/>
      <c r="BE61" s="746"/>
      <c r="BF61" s="746"/>
      <c r="BG61" s="746"/>
      <c r="BH61" s="746"/>
      <c r="BI61" s="746"/>
      <c r="BJ61" s="746"/>
      <c r="BK61" s="746"/>
    </row>
    <row r="62" spans="1:63" s="1366" customFormat="1" ht="146.25" x14ac:dyDescent="0.25">
      <c r="A62" s="1383" t="s">
        <v>1095</v>
      </c>
      <c r="B62" s="1384" t="s">
        <v>2233</v>
      </c>
      <c r="C62" s="1384" t="s">
        <v>2234</v>
      </c>
      <c r="D62" s="1383" t="s">
        <v>1347</v>
      </c>
      <c r="E62" s="1384" t="s">
        <v>2024</v>
      </c>
      <c r="F62" s="1384" t="s">
        <v>2200</v>
      </c>
      <c r="G62" s="1384" t="s">
        <v>2231</v>
      </c>
      <c r="H62" s="1384">
        <v>1906</v>
      </c>
      <c r="I62" s="1384" t="s">
        <v>2202</v>
      </c>
      <c r="J62" s="1384">
        <v>1906023</v>
      </c>
      <c r="K62" s="1384" t="s">
        <v>1971</v>
      </c>
      <c r="L62" s="1384" t="s">
        <v>2235</v>
      </c>
      <c r="M62" s="1384" t="s">
        <v>2033</v>
      </c>
      <c r="N62" s="1384">
        <v>190602300</v>
      </c>
      <c r="O62" s="1384" t="s">
        <v>1973</v>
      </c>
      <c r="P62" s="1384" t="s">
        <v>2009</v>
      </c>
      <c r="Q62" s="1384">
        <v>1</v>
      </c>
      <c r="R62" s="746"/>
      <c r="S62" s="746"/>
      <c r="T62" s="746"/>
      <c r="U62" s="746"/>
      <c r="V62" s="746"/>
      <c r="W62" s="746"/>
      <c r="X62" s="746"/>
      <c r="Y62" s="746"/>
      <c r="Z62" s="746"/>
      <c r="AA62" s="746"/>
      <c r="AB62" s="746"/>
      <c r="AC62" s="746"/>
      <c r="AD62" s="746"/>
      <c r="AE62" s="746"/>
      <c r="AF62" s="746"/>
      <c r="AG62" s="746"/>
      <c r="AH62" s="746"/>
      <c r="AI62" s="746"/>
      <c r="AJ62" s="746"/>
      <c r="AK62" s="746"/>
      <c r="AL62" s="746"/>
      <c r="AM62" s="746"/>
      <c r="AN62" s="746"/>
      <c r="AO62" s="746"/>
      <c r="AP62" s="746"/>
      <c r="AQ62" s="746"/>
      <c r="AR62" s="746"/>
      <c r="AS62" s="746"/>
      <c r="AT62" s="746"/>
      <c r="AU62" s="746"/>
      <c r="AV62" s="746"/>
      <c r="AW62" s="746"/>
      <c r="AX62" s="746"/>
      <c r="AY62" s="746"/>
      <c r="AZ62" s="746"/>
      <c r="BA62" s="746"/>
      <c r="BB62" s="746"/>
      <c r="BC62" s="746"/>
      <c r="BD62" s="746"/>
      <c r="BE62" s="746"/>
      <c r="BF62" s="746"/>
      <c r="BG62" s="746"/>
      <c r="BH62" s="746"/>
      <c r="BI62" s="746"/>
      <c r="BJ62" s="746"/>
      <c r="BK62" s="746"/>
    </row>
    <row r="63" spans="1:63" s="1366" customFormat="1" ht="157.5" x14ac:dyDescent="0.25">
      <c r="A63" s="1383" t="s">
        <v>2236</v>
      </c>
      <c r="B63" s="1384" t="s">
        <v>2237</v>
      </c>
      <c r="C63" s="1384" t="s">
        <v>2238</v>
      </c>
      <c r="D63" s="1383" t="s">
        <v>1348</v>
      </c>
      <c r="E63" s="1384" t="s">
        <v>2013</v>
      </c>
      <c r="F63" s="1384" t="s">
        <v>2200</v>
      </c>
      <c r="G63" s="1384" t="s">
        <v>2231</v>
      </c>
      <c r="H63" s="1384">
        <v>1906</v>
      </c>
      <c r="I63" s="1384" t="s">
        <v>2202</v>
      </c>
      <c r="J63" s="1384" t="s">
        <v>2209</v>
      </c>
      <c r="K63" s="1384" t="s">
        <v>2209</v>
      </c>
      <c r="L63" s="1384" t="s">
        <v>2209</v>
      </c>
      <c r="M63" s="1384" t="s">
        <v>2033</v>
      </c>
      <c r="N63" s="1384" t="s">
        <v>2209</v>
      </c>
      <c r="O63" s="1384" t="s">
        <v>2209</v>
      </c>
      <c r="P63" s="1384" t="s">
        <v>2009</v>
      </c>
      <c r="Q63" s="1384" t="s">
        <v>2209</v>
      </c>
      <c r="R63" s="746"/>
      <c r="S63" s="746"/>
      <c r="T63" s="746"/>
      <c r="U63" s="746"/>
      <c r="V63" s="746"/>
      <c r="W63" s="746"/>
      <c r="X63" s="746"/>
      <c r="Y63" s="746"/>
      <c r="Z63" s="746"/>
      <c r="AA63" s="746"/>
      <c r="AB63" s="746"/>
      <c r="AC63" s="746"/>
      <c r="AD63" s="746"/>
      <c r="AE63" s="746"/>
      <c r="AF63" s="746"/>
      <c r="AG63" s="746"/>
      <c r="AH63" s="746"/>
      <c r="AI63" s="746"/>
      <c r="AJ63" s="746"/>
      <c r="AK63" s="746"/>
      <c r="AL63" s="746"/>
      <c r="AM63" s="746"/>
      <c r="AN63" s="746"/>
      <c r="AO63" s="746"/>
      <c r="AP63" s="746"/>
      <c r="AQ63" s="746"/>
      <c r="AR63" s="746"/>
      <c r="AS63" s="746"/>
      <c r="AT63" s="746"/>
      <c r="AU63" s="746"/>
      <c r="AV63" s="746"/>
      <c r="AW63" s="746"/>
      <c r="AX63" s="746"/>
      <c r="AY63" s="746"/>
      <c r="AZ63" s="746"/>
      <c r="BA63" s="746"/>
      <c r="BB63" s="746"/>
      <c r="BC63" s="746"/>
      <c r="BD63" s="746"/>
      <c r="BE63" s="746"/>
      <c r="BF63" s="746"/>
      <c r="BG63" s="746"/>
      <c r="BH63" s="746"/>
      <c r="BI63" s="746"/>
      <c r="BJ63" s="746"/>
      <c r="BK63" s="746"/>
    </row>
    <row r="64" spans="1:63" s="1366" customFormat="1" ht="168.75" x14ac:dyDescent="0.25">
      <c r="A64" s="1383" t="s">
        <v>2239</v>
      </c>
      <c r="B64" s="1384" t="s">
        <v>2240</v>
      </c>
      <c r="C64" s="1384" t="s">
        <v>2241</v>
      </c>
      <c r="D64" s="1383" t="s">
        <v>1349</v>
      </c>
      <c r="E64" s="1384" t="s">
        <v>2024</v>
      </c>
      <c r="F64" s="1384" t="s">
        <v>2200</v>
      </c>
      <c r="G64" s="1384" t="s">
        <v>2231</v>
      </c>
      <c r="H64" s="1384">
        <v>1906</v>
      </c>
      <c r="I64" s="1384" t="s">
        <v>2202</v>
      </c>
      <c r="J64" s="1384" t="s">
        <v>2209</v>
      </c>
      <c r="K64" s="1384" t="s">
        <v>1978</v>
      </c>
      <c r="L64" s="1384" t="s">
        <v>2232</v>
      </c>
      <c r="M64" s="1384" t="s">
        <v>2033</v>
      </c>
      <c r="N64" s="1384">
        <v>0</v>
      </c>
      <c r="O64" s="1384" t="s">
        <v>1980</v>
      </c>
      <c r="P64" s="1384" t="s">
        <v>2009</v>
      </c>
      <c r="Q64" s="1384">
        <v>1</v>
      </c>
      <c r="R64" s="746"/>
      <c r="S64" s="746"/>
      <c r="T64" s="746"/>
      <c r="U64" s="746"/>
      <c r="V64" s="746"/>
      <c r="W64" s="746"/>
      <c r="X64" s="746"/>
      <c r="Y64" s="746"/>
      <c r="Z64" s="746"/>
      <c r="AA64" s="746"/>
      <c r="AB64" s="746"/>
      <c r="AC64" s="746"/>
      <c r="AD64" s="746"/>
      <c r="AE64" s="746"/>
      <c r="AF64" s="746"/>
      <c r="AG64" s="746"/>
      <c r="AH64" s="746"/>
      <c r="AI64" s="746"/>
      <c r="AJ64" s="746"/>
      <c r="AK64" s="746"/>
      <c r="AL64" s="746"/>
      <c r="AM64" s="746"/>
      <c r="AN64" s="746"/>
      <c r="AO64" s="746"/>
      <c r="AP64" s="746"/>
      <c r="AQ64" s="746"/>
      <c r="AR64" s="746"/>
      <c r="AS64" s="746"/>
      <c r="AT64" s="746"/>
      <c r="AU64" s="746"/>
      <c r="AV64" s="746"/>
      <c r="AW64" s="746"/>
      <c r="AX64" s="746"/>
      <c r="AY64" s="746"/>
      <c r="AZ64" s="746"/>
      <c r="BA64" s="746"/>
      <c r="BB64" s="746"/>
      <c r="BC64" s="746"/>
      <c r="BD64" s="746"/>
      <c r="BE64" s="746"/>
      <c r="BF64" s="746"/>
      <c r="BG64" s="746"/>
      <c r="BH64" s="746"/>
      <c r="BI64" s="746"/>
      <c r="BJ64" s="746"/>
      <c r="BK64" s="746"/>
    </row>
    <row r="65" spans="1:63" s="1366" customFormat="1" ht="146.25" x14ac:dyDescent="0.25">
      <c r="A65" s="1383" t="s">
        <v>2242</v>
      </c>
      <c r="B65" s="1384" t="s">
        <v>1115</v>
      </c>
      <c r="C65" s="1384" t="s">
        <v>2243</v>
      </c>
      <c r="D65" s="1383" t="s">
        <v>2244</v>
      </c>
      <c r="E65" s="1384" t="s">
        <v>2024</v>
      </c>
      <c r="F65" s="1384" t="s">
        <v>2200</v>
      </c>
      <c r="G65" s="1384" t="s">
        <v>2231</v>
      </c>
      <c r="H65" s="1384">
        <v>1906</v>
      </c>
      <c r="I65" s="1384" t="s">
        <v>2202</v>
      </c>
      <c r="J65" s="1384">
        <v>1906023</v>
      </c>
      <c r="K65" s="1384" t="s">
        <v>1971</v>
      </c>
      <c r="L65" s="1384" t="s">
        <v>2235</v>
      </c>
      <c r="M65" s="1384" t="s">
        <v>2033</v>
      </c>
      <c r="N65" s="1384">
        <v>190602300</v>
      </c>
      <c r="O65" s="1384" t="s">
        <v>1973</v>
      </c>
      <c r="P65" s="1384" t="s">
        <v>2009</v>
      </c>
      <c r="Q65" s="1384">
        <v>1</v>
      </c>
      <c r="R65" s="746"/>
      <c r="S65" s="746"/>
      <c r="T65" s="746"/>
      <c r="U65" s="746"/>
      <c r="V65" s="746"/>
      <c r="W65" s="746"/>
      <c r="X65" s="746"/>
      <c r="Y65" s="746"/>
      <c r="Z65" s="746"/>
      <c r="AA65" s="746"/>
      <c r="AB65" s="746"/>
      <c r="AC65" s="746"/>
      <c r="AD65" s="746"/>
      <c r="AE65" s="746"/>
      <c r="AF65" s="746"/>
      <c r="AG65" s="746"/>
      <c r="AH65" s="746"/>
      <c r="AI65" s="746"/>
      <c r="AJ65" s="746"/>
      <c r="AK65" s="746"/>
      <c r="AL65" s="746"/>
      <c r="AM65" s="746"/>
      <c r="AN65" s="746"/>
      <c r="AO65" s="746"/>
      <c r="AP65" s="746"/>
      <c r="AQ65" s="746"/>
      <c r="AR65" s="746"/>
      <c r="AS65" s="746"/>
      <c r="AT65" s="746"/>
      <c r="AU65" s="746"/>
      <c r="AV65" s="746"/>
      <c r="AW65" s="746"/>
      <c r="AX65" s="746"/>
      <c r="AY65" s="746"/>
      <c r="AZ65" s="746"/>
      <c r="BA65" s="746"/>
      <c r="BB65" s="746"/>
      <c r="BC65" s="746"/>
      <c r="BD65" s="746"/>
      <c r="BE65" s="746"/>
      <c r="BF65" s="746"/>
      <c r="BG65" s="746"/>
      <c r="BH65" s="746"/>
      <c r="BI65" s="746"/>
      <c r="BJ65" s="746"/>
      <c r="BK65" s="746"/>
    </row>
    <row r="66" spans="1:63" ht="292.5" x14ac:dyDescent="0.25">
      <c r="A66" s="1383" t="s">
        <v>2245</v>
      </c>
      <c r="B66" s="1384" t="s">
        <v>1209</v>
      </c>
      <c r="C66" s="1384" t="s">
        <v>2246</v>
      </c>
      <c r="D66" s="1383" t="s">
        <v>2247</v>
      </c>
      <c r="E66" s="1384" t="s">
        <v>2013</v>
      </c>
      <c r="F66" s="1384" t="s">
        <v>2200</v>
      </c>
      <c r="G66" s="1384" t="s">
        <v>2201</v>
      </c>
      <c r="H66" s="1384">
        <v>1905</v>
      </c>
      <c r="I66" s="1384" t="s">
        <v>2091</v>
      </c>
      <c r="J66" s="1384">
        <v>1905031</v>
      </c>
      <c r="K66" s="1384" t="s">
        <v>2248</v>
      </c>
      <c r="L66" s="1384" t="s">
        <v>2249</v>
      </c>
      <c r="M66" s="1384" t="s">
        <v>2033</v>
      </c>
      <c r="N66" s="1384">
        <v>190503100</v>
      </c>
      <c r="O66" s="1384" t="s">
        <v>2250</v>
      </c>
      <c r="P66" s="1384" t="s">
        <v>2009</v>
      </c>
      <c r="Q66" s="1384">
        <v>1</v>
      </c>
    </row>
    <row r="67" spans="1:63" ht="292.5" x14ac:dyDescent="0.25">
      <c r="A67" s="1383" t="s">
        <v>2245</v>
      </c>
      <c r="B67" s="1384" t="s">
        <v>1209</v>
      </c>
      <c r="C67" s="1384" t="s">
        <v>2246</v>
      </c>
      <c r="D67" s="1383" t="s">
        <v>2247</v>
      </c>
      <c r="E67" s="1384" t="s">
        <v>2013</v>
      </c>
      <c r="F67" s="1384" t="s">
        <v>2200</v>
      </c>
      <c r="G67" s="1384" t="s">
        <v>2201</v>
      </c>
      <c r="H67" s="1384">
        <v>1905</v>
      </c>
      <c r="I67" s="1384" t="s">
        <v>2091</v>
      </c>
      <c r="J67" s="1384">
        <v>1905031</v>
      </c>
      <c r="K67" s="1384" t="s">
        <v>2248</v>
      </c>
      <c r="L67" s="1384" t="s">
        <v>2249</v>
      </c>
      <c r="M67" s="1384" t="s">
        <v>2033</v>
      </c>
      <c r="N67" s="1384">
        <v>190503100</v>
      </c>
      <c r="O67" s="1384" t="s">
        <v>2250</v>
      </c>
      <c r="P67" s="1384" t="s">
        <v>2009</v>
      </c>
      <c r="Q67" s="1384">
        <v>1</v>
      </c>
    </row>
    <row r="68" spans="1:63" s="1378" customFormat="1" ht="47.25" customHeight="1" x14ac:dyDescent="0.25">
      <c r="A68" s="1383" t="s">
        <v>2251</v>
      </c>
      <c r="B68" s="1384" t="s">
        <v>731</v>
      </c>
      <c r="C68" s="1384" t="s">
        <v>2177</v>
      </c>
      <c r="D68" s="1383" t="s">
        <v>2252</v>
      </c>
      <c r="E68" s="1384" t="s">
        <v>2155</v>
      </c>
      <c r="F68" s="1384" t="s">
        <v>2006</v>
      </c>
      <c r="G68" s="1384" t="s">
        <v>2253</v>
      </c>
      <c r="H68" s="1384">
        <v>2202</v>
      </c>
      <c r="I68" s="1384" t="s">
        <v>2254</v>
      </c>
      <c r="J68" s="1384">
        <v>2202006</v>
      </c>
      <c r="K68" s="1384" t="s">
        <v>2255</v>
      </c>
      <c r="L68" s="1384" t="s">
        <v>2256</v>
      </c>
      <c r="M68" s="1384" t="s">
        <v>2257</v>
      </c>
      <c r="N68" s="1384"/>
      <c r="O68" s="1384" t="s">
        <v>2258</v>
      </c>
      <c r="P68" s="1384" t="s">
        <v>2009</v>
      </c>
      <c r="Q68" s="1384" t="s">
        <v>2055</v>
      </c>
      <c r="R68" s="1388"/>
      <c r="S68" s="1388"/>
      <c r="T68" s="1388"/>
      <c r="U68" s="1388"/>
      <c r="V68" s="1388"/>
      <c r="W68" s="1388"/>
      <c r="X68" s="1388"/>
      <c r="Y68" s="1388"/>
      <c r="Z68" s="1388"/>
      <c r="AA68" s="1388"/>
      <c r="AB68" s="1388"/>
      <c r="AC68" s="1388"/>
      <c r="AD68" s="1388"/>
      <c r="AE68" s="1388"/>
      <c r="AF68" s="1388"/>
      <c r="AG68" s="1388"/>
      <c r="AH68" s="1388"/>
      <c r="AI68" s="1388"/>
      <c r="AJ68" s="1388"/>
      <c r="AK68" s="1388"/>
      <c r="AL68" s="1388"/>
      <c r="AM68" s="1388"/>
      <c r="AN68" s="1388"/>
      <c r="AO68" s="1388"/>
      <c r="AP68" s="1388"/>
      <c r="AQ68" s="1388"/>
      <c r="AR68" s="1388"/>
      <c r="AS68" s="1388"/>
      <c r="AT68" s="1388"/>
      <c r="AU68" s="1388"/>
      <c r="AV68" s="1388"/>
      <c r="AW68" s="1388"/>
      <c r="AX68" s="1388"/>
      <c r="AY68" s="1388"/>
      <c r="AZ68" s="1388"/>
      <c r="BA68" s="1388"/>
      <c r="BB68" s="1388"/>
      <c r="BC68" s="1388"/>
      <c r="BD68" s="1388"/>
      <c r="BE68" s="1388"/>
      <c r="BF68" s="1388"/>
      <c r="BG68" s="1388"/>
      <c r="BH68" s="1388"/>
      <c r="BI68" s="1388"/>
      <c r="BJ68" s="1388"/>
      <c r="BK68" s="1388"/>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6:R20"/>
  <sheetViews>
    <sheetView zoomScale="60" zoomScaleNormal="60" workbookViewId="0">
      <selection activeCell="N15" sqref="N15"/>
    </sheetView>
  </sheetViews>
  <sheetFormatPr baseColWidth="10" defaultRowHeight="15" x14ac:dyDescent="0.25"/>
  <cols>
    <col min="2" max="2" width="19.85546875" style="719" customWidth="1"/>
    <col min="3" max="3" width="15" style="719" customWidth="1"/>
    <col min="4" max="4" width="26.42578125" style="729" customWidth="1"/>
    <col min="5" max="5" width="30.5703125" customWidth="1"/>
    <col min="6" max="6" width="46.42578125" customWidth="1"/>
    <col min="7" max="7" width="28.28515625" customWidth="1"/>
    <col min="8" max="8" width="50.28515625" customWidth="1"/>
    <col min="9" max="9" width="87.28515625" style="746" customWidth="1"/>
    <col min="10" max="10" width="28.28515625" style="746" customWidth="1"/>
    <col min="11" max="11" width="13.140625" style="746" customWidth="1"/>
    <col min="12" max="12" width="18.5703125" customWidth="1"/>
    <col min="13" max="13" width="9.42578125" customWidth="1"/>
    <col min="14" max="14" width="29.5703125" customWidth="1"/>
    <col min="16" max="16" width="29.42578125" customWidth="1"/>
    <col min="18" max="18" width="26.42578125" customWidth="1"/>
  </cols>
  <sheetData>
    <row r="6" spans="2:18" ht="29.25" customHeight="1" x14ac:dyDescent="0.25">
      <c r="B6" s="727" t="s">
        <v>1336</v>
      </c>
      <c r="C6" s="730" t="s">
        <v>1341</v>
      </c>
      <c r="D6" s="730" t="s">
        <v>11</v>
      </c>
      <c r="E6" s="728" t="s">
        <v>1338</v>
      </c>
      <c r="F6" s="728" t="s">
        <v>1337</v>
      </c>
      <c r="G6" s="728" t="s">
        <v>1339</v>
      </c>
      <c r="H6" s="733" t="s">
        <v>1340</v>
      </c>
      <c r="I6" s="741" t="s">
        <v>1342</v>
      </c>
      <c r="J6" s="1356"/>
      <c r="K6" s="1356" t="s">
        <v>1959</v>
      </c>
      <c r="L6" s="1356" t="s">
        <v>11</v>
      </c>
      <c r="M6" s="1285" t="s">
        <v>1959</v>
      </c>
      <c r="N6" s="1285" t="s">
        <v>1960</v>
      </c>
      <c r="O6" s="1285" t="s">
        <v>1959</v>
      </c>
      <c r="P6" s="1285" t="s">
        <v>1340</v>
      </c>
      <c r="Q6" s="1285" t="s">
        <v>1959</v>
      </c>
      <c r="R6" s="1285" t="s">
        <v>1340</v>
      </c>
    </row>
    <row r="7" spans="2:18" ht="175.5" customHeight="1" x14ac:dyDescent="0.25">
      <c r="B7" s="1280">
        <v>1</v>
      </c>
      <c r="C7" s="1280">
        <v>1202</v>
      </c>
      <c r="D7" s="1281" t="s">
        <v>135</v>
      </c>
      <c r="E7" s="1284" t="s">
        <v>1555</v>
      </c>
      <c r="F7" s="1283" t="s">
        <v>138</v>
      </c>
      <c r="G7" s="896" t="s">
        <v>137</v>
      </c>
      <c r="H7" s="1257" t="s">
        <v>139</v>
      </c>
      <c r="I7" s="1282" t="s">
        <v>1415</v>
      </c>
      <c r="J7" s="1357"/>
      <c r="K7" s="1357"/>
      <c r="M7" s="1286" t="s">
        <v>1956</v>
      </c>
      <c r="N7" s="1287" t="s">
        <v>1957</v>
      </c>
      <c r="O7" s="1286" t="s">
        <v>1966</v>
      </c>
      <c r="P7" s="1287" t="s">
        <v>1967</v>
      </c>
    </row>
    <row r="8" spans="2:18" ht="78" customHeight="1" x14ac:dyDescent="0.25">
      <c r="B8" s="724">
        <v>2</v>
      </c>
      <c r="C8" s="724">
        <v>4501</v>
      </c>
      <c r="D8" s="1281" t="s">
        <v>296</v>
      </c>
      <c r="E8" s="725">
        <v>4501024</v>
      </c>
      <c r="F8" s="716" t="s">
        <v>303</v>
      </c>
      <c r="G8" s="726">
        <v>450102400</v>
      </c>
      <c r="H8" s="734" t="s">
        <v>304</v>
      </c>
      <c r="I8" s="1338" t="s">
        <v>1346</v>
      </c>
      <c r="J8" s="968"/>
      <c r="K8" s="968"/>
      <c r="M8" s="1339" t="s">
        <v>1958</v>
      </c>
      <c r="N8" s="1339" t="s">
        <v>303</v>
      </c>
      <c r="O8" s="1339" t="s">
        <v>1961</v>
      </c>
      <c r="P8" s="1339" t="s">
        <v>304</v>
      </c>
    </row>
    <row r="9" spans="2:18" ht="60" x14ac:dyDescent="0.25">
      <c r="B9" s="1280">
        <v>3</v>
      </c>
      <c r="C9" s="723">
        <v>3202</v>
      </c>
      <c r="D9" s="731" t="s">
        <v>551</v>
      </c>
      <c r="E9" s="720" t="s">
        <v>137</v>
      </c>
      <c r="F9" s="791" t="s">
        <v>566</v>
      </c>
      <c r="G9" s="195" t="s">
        <v>137</v>
      </c>
      <c r="H9" s="735" t="s">
        <v>567</v>
      </c>
      <c r="I9" s="741"/>
      <c r="J9" s="1356"/>
      <c r="K9" s="1356"/>
    </row>
    <row r="10" spans="2:18" ht="75" customHeight="1" x14ac:dyDescent="0.25">
      <c r="B10" s="724">
        <v>4</v>
      </c>
      <c r="C10" s="723">
        <v>4102</v>
      </c>
      <c r="D10" s="731" t="s">
        <v>761</v>
      </c>
      <c r="E10" s="720" t="s">
        <v>137</v>
      </c>
      <c r="F10" s="714" t="s">
        <v>790</v>
      </c>
      <c r="G10" s="256" t="s">
        <v>137</v>
      </c>
      <c r="H10" s="736" t="s">
        <v>791</v>
      </c>
      <c r="I10" s="742" t="s">
        <v>1343</v>
      </c>
      <c r="J10" s="1358"/>
      <c r="K10" s="1358"/>
    </row>
    <row r="11" spans="2:18" ht="89.25" customHeight="1" x14ac:dyDescent="0.25">
      <c r="B11" s="1280">
        <v>5</v>
      </c>
      <c r="C11" s="723">
        <v>4104</v>
      </c>
      <c r="D11" s="731" t="s">
        <v>848</v>
      </c>
      <c r="E11" s="721" t="s">
        <v>137</v>
      </c>
      <c r="F11" s="715" t="s">
        <v>870</v>
      </c>
      <c r="G11" s="261" t="s">
        <v>137</v>
      </c>
      <c r="H11" s="737" t="s">
        <v>871</v>
      </c>
      <c r="I11" s="742" t="s">
        <v>1344</v>
      </c>
      <c r="J11" s="1358"/>
      <c r="K11" s="1358"/>
    </row>
    <row r="12" spans="2:18" ht="90" x14ac:dyDescent="0.25">
      <c r="B12" s="724">
        <v>6</v>
      </c>
      <c r="C12" s="723">
        <v>4104</v>
      </c>
      <c r="D12" s="731" t="s">
        <v>848</v>
      </c>
      <c r="E12" s="721" t="s">
        <v>137</v>
      </c>
      <c r="F12" s="490" t="s">
        <v>876</v>
      </c>
      <c r="G12" s="157" t="s">
        <v>137</v>
      </c>
      <c r="H12" s="738" t="s">
        <v>877</v>
      </c>
      <c r="I12" s="742" t="s">
        <v>1345</v>
      </c>
      <c r="J12" s="1358"/>
      <c r="K12" s="1358"/>
    </row>
    <row r="13" spans="2:18" ht="99.75" customHeight="1" x14ac:dyDescent="0.25">
      <c r="B13" s="1280">
        <v>7</v>
      </c>
      <c r="C13" s="723">
        <v>4104</v>
      </c>
      <c r="D13" s="731" t="s">
        <v>848</v>
      </c>
      <c r="E13" s="721" t="s">
        <v>137</v>
      </c>
      <c r="F13" s="490" t="s">
        <v>888</v>
      </c>
      <c r="G13" s="157" t="s">
        <v>137</v>
      </c>
      <c r="H13" s="738" t="s">
        <v>889</v>
      </c>
      <c r="I13" s="740" t="s">
        <v>1344</v>
      </c>
      <c r="J13" s="968"/>
      <c r="K13" s="968"/>
    </row>
    <row r="14" spans="2:18" ht="59.25" customHeight="1" x14ac:dyDescent="0.25">
      <c r="B14" s="724">
        <v>8</v>
      </c>
      <c r="C14" s="723">
        <v>4501</v>
      </c>
      <c r="D14" s="731" t="s">
        <v>296</v>
      </c>
      <c r="E14" s="722" t="s">
        <v>137</v>
      </c>
      <c r="F14" s="714" t="s">
        <v>303</v>
      </c>
      <c r="G14" s="153" t="s">
        <v>137</v>
      </c>
      <c r="H14" s="736" t="s">
        <v>894</v>
      </c>
      <c r="I14" s="1338" t="s">
        <v>1346</v>
      </c>
      <c r="J14" s="968"/>
      <c r="K14" s="968"/>
      <c r="M14" s="1339" t="s">
        <v>1958</v>
      </c>
      <c r="N14" s="1339" t="s">
        <v>303</v>
      </c>
      <c r="O14" s="1339" t="s">
        <v>1962</v>
      </c>
      <c r="P14" s="1339" t="s">
        <v>1963</v>
      </c>
      <c r="Q14" s="1339" t="s">
        <v>1964</v>
      </c>
      <c r="R14" s="1339" t="s">
        <v>1965</v>
      </c>
    </row>
    <row r="15" spans="2:18" ht="162.75" customHeight="1" x14ac:dyDescent="0.25">
      <c r="B15" s="1280">
        <v>9</v>
      </c>
      <c r="C15" s="723">
        <v>1906</v>
      </c>
      <c r="D15" s="1281" t="s">
        <v>145</v>
      </c>
      <c r="E15" s="720" t="s">
        <v>137</v>
      </c>
      <c r="F15" s="771" t="s">
        <v>1976</v>
      </c>
      <c r="G15" s="124" t="s">
        <v>137</v>
      </c>
      <c r="H15" s="739" t="s">
        <v>1094</v>
      </c>
      <c r="I15" s="966" t="s">
        <v>1524</v>
      </c>
      <c r="J15" s="1033"/>
      <c r="K15" s="1360" t="s">
        <v>1981</v>
      </c>
      <c r="L15" s="1355" t="s">
        <v>1982</v>
      </c>
      <c r="M15" s="1360" t="s">
        <v>1977</v>
      </c>
      <c r="N15" s="1355" t="s">
        <v>1978</v>
      </c>
      <c r="O15" s="1360" t="s">
        <v>1979</v>
      </c>
      <c r="P15" s="1355" t="s">
        <v>1980</v>
      </c>
      <c r="Q15" s="703"/>
      <c r="R15" s="703"/>
    </row>
    <row r="16" spans="2:18" ht="135" x14ac:dyDescent="0.25">
      <c r="B16" s="724">
        <v>10</v>
      </c>
      <c r="C16" s="723">
        <v>1906</v>
      </c>
      <c r="D16" s="1281" t="s">
        <v>145</v>
      </c>
      <c r="E16" s="720" t="s">
        <v>137</v>
      </c>
      <c r="F16" s="791" t="s">
        <v>1095</v>
      </c>
      <c r="G16" s="124" t="s">
        <v>137</v>
      </c>
      <c r="H16" s="735" t="s">
        <v>1096</v>
      </c>
      <c r="I16" s="1351" t="s">
        <v>1347</v>
      </c>
      <c r="J16" s="1359"/>
      <c r="K16" s="1031"/>
      <c r="L16" s="703"/>
      <c r="M16" s="1339" t="s">
        <v>1970</v>
      </c>
      <c r="N16" s="1339" t="s">
        <v>1971</v>
      </c>
      <c r="O16" s="1339" t="s">
        <v>1972</v>
      </c>
      <c r="P16" s="1339" t="s">
        <v>1973</v>
      </c>
      <c r="Q16" s="1339" t="s">
        <v>1974</v>
      </c>
      <c r="R16" s="1339" t="s">
        <v>1975</v>
      </c>
    </row>
    <row r="17" spans="2:18" ht="166.5" customHeight="1" x14ac:dyDescent="0.25">
      <c r="B17" s="1280">
        <v>11</v>
      </c>
      <c r="C17" s="723">
        <v>1906</v>
      </c>
      <c r="D17" s="731" t="s">
        <v>145</v>
      </c>
      <c r="E17" s="720" t="s">
        <v>137</v>
      </c>
      <c r="F17" s="714" t="s">
        <v>1100</v>
      </c>
      <c r="G17" s="261" t="s">
        <v>137</v>
      </c>
      <c r="H17" s="735" t="s">
        <v>1101</v>
      </c>
      <c r="I17" s="743" t="s">
        <v>1348</v>
      </c>
      <c r="J17" s="1359"/>
      <c r="K17" s="1031"/>
      <c r="L17" s="703"/>
      <c r="M17" s="703"/>
      <c r="N17" s="703"/>
      <c r="O17" s="703"/>
      <c r="P17" s="703"/>
      <c r="Q17" s="703"/>
      <c r="R17" s="703"/>
    </row>
    <row r="18" spans="2:18" ht="171.75" customHeight="1" x14ac:dyDescent="0.25">
      <c r="B18" s="724">
        <v>12</v>
      </c>
      <c r="C18" s="723">
        <v>1906</v>
      </c>
      <c r="D18" s="731" t="s">
        <v>145</v>
      </c>
      <c r="E18" s="720" t="s">
        <v>137</v>
      </c>
      <c r="F18" s="714" t="s">
        <v>1102</v>
      </c>
      <c r="G18" s="261" t="s">
        <v>137</v>
      </c>
      <c r="H18" s="717" t="s">
        <v>1103</v>
      </c>
      <c r="I18" s="743" t="s">
        <v>1349</v>
      </c>
      <c r="J18" s="1359"/>
      <c r="K18" s="1031"/>
      <c r="L18" s="703"/>
      <c r="M18" s="703"/>
      <c r="N18" s="703"/>
      <c r="O18" s="703"/>
      <c r="P18" s="703"/>
      <c r="Q18" s="703"/>
      <c r="R18" s="703"/>
    </row>
    <row r="19" spans="2:18" ht="160.5" customHeight="1" x14ac:dyDescent="0.25">
      <c r="B19" s="1280">
        <v>13</v>
      </c>
      <c r="C19" s="723">
        <v>1906</v>
      </c>
      <c r="D19" s="731" t="s">
        <v>145</v>
      </c>
      <c r="E19" s="720" t="s">
        <v>137</v>
      </c>
      <c r="F19" s="714" t="s">
        <v>1114</v>
      </c>
      <c r="G19" s="261" t="s">
        <v>137</v>
      </c>
      <c r="H19" s="717" t="s">
        <v>1115</v>
      </c>
      <c r="I19" s="744" t="s">
        <v>1347</v>
      </c>
      <c r="J19" s="877"/>
      <c r="K19" s="876"/>
      <c r="L19" s="703"/>
      <c r="M19" s="1339" t="s">
        <v>1970</v>
      </c>
      <c r="N19" s="1339" t="s">
        <v>1971</v>
      </c>
      <c r="O19" s="1339" t="s">
        <v>1972</v>
      </c>
      <c r="P19" s="1339" t="s">
        <v>1973</v>
      </c>
      <c r="Q19" s="1339" t="s">
        <v>1974</v>
      </c>
      <c r="R19" s="1339" t="s">
        <v>1975</v>
      </c>
    </row>
    <row r="20" spans="2:18" x14ac:dyDescent="0.25">
      <c r="I20" s="745"/>
      <c r="J20" s="1356"/>
      <c r="K20" s="135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filterMode="1"/>
  <dimension ref="A1:DJ556"/>
  <sheetViews>
    <sheetView tabSelected="1" zoomScale="60" zoomScaleNormal="60" workbookViewId="0">
      <selection activeCell="Y178" sqref="Y178"/>
    </sheetView>
  </sheetViews>
  <sheetFormatPr baseColWidth="10" defaultRowHeight="15" x14ac:dyDescent="0.2"/>
  <cols>
    <col min="1" max="1" width="19.140625" style="18" customWidth="1"/>
    <col min="2" max="2" width="26.5703125" style="920" customWidth="1"/>
    <col min="3" max="3" width="21.7109375" style="12" customWidth="1"/>
    <col min="4" max="4" width="25.28515625" style="12" customWidth="1"/>
    <col min="5" max="5" width="32.85546875" style="1159" customWidth="1"/>
    <col min="6" max="6" width="16.28515625" style="13" customWidth="1"/>
    <col min="7" max="7" width="18.42578125" style="13" customWidth="1"/>
    <col min="8" max="8" width="25" style="1438" customWidth="1"/>
    <col min="9" max="9" width="23.28515625" style="1463" customWidth="1"/>
    <col min="10" max="12" width="25" style="12" hidden="1" customWidth="1"/>
    <col min="13" max="13" width="17.28515625" style="922" customWidth="1"/>
    <col min="14" max="14" width="15.140625" style="12" customWidth="1"/>
    <col min="15" max="20" width="25" style="12" hidden="1" customWidth="1"/>
    <col min="21" max="21" width="10.42578125" style="12" customWidth="1"/>
    <col min="22" max="22" width="18.7109375" style="12" customWidth="1"/>
    <col min="23" max="23" width="11.85546875" style="13" customWidth="1"/>
    <col min="24" max="24" width="27.42578125" style="14" customWidth="1"/>
    <col min="25" max="25" width="16.42578125" style="1160" customWidth="1"/>
    <col min="26" max="26" width="40.5703125" style="919" customWidth="1"/>
    <col min="27" max="27" width="22.28515625" style="13" customWidth="1"/>
    <col min="28" max="28" width="22.42578125" style="17" customWidth="1"/>
    <col min="29" max="29" width="22.5703125" style="1274" customWidth="1"/>
    <col min="30" max="30" width="27.85546875" style="17" customWidth="1"/>
    <col min="31" max="31" width="20.42578125" style="921" customWidth="1"/>
    <col min="32" max="32" width="38.85546875" style="17" customWidth="1"/>
    <col min="33" max="33" width="6.5703125" style="17" customWidth="1"/>
    <col min="34" max="34" width="50.85546875" style="17" customWidth="1"/>
    <col min="35" max="35" width="146" style="4" hidden="1" customWidth="1"/>
    <col min="36" max="36" width="15.42578125" style="4" customWidth="1"/>
    <col min="37" max="37" width="34.5703125" style="4" customWidth="1"/>
    <col min="38" max="38" width="15.7109375" style="4" customWidth="1"/>
    <col min="39" max="114" width="11.42578125" style="4"/>
    <col min="115" max="16384" width="11.42578125" style="1"/>
  </cols>
  <sheetData>
    <row r="1" spans="1:114" ht="32.25" customHeight="1" x14ac:dyDescent="0.25">
      <c r="D1" t="s">
        <v>1952</v>
      </c>
      <c r="E1" s="1574" t="s">
        <v>1350</v>
      </c>
      <c r="F1" s="1577" t="s">
        <v>1351</v>
      </c>
      <c r="G1" s="1577" t="s">
        <v>1352</v>
      </c>
      <c r="H1" s="1580" t="s">
        <v>1353</v>
      </c>
      <c r="I1" s="1583" t="s">
        <v>1354</v>
      </c>
      <c r="J1" s="1584"/>
      <c r="K1" s="1584"/>
      <c r="L1" s="1584"/>
      <c r="M1" s="1585"/>
      <c r="N1" s="1586"/>
      <c r="O1" s="1584"/>
      <c r="P1" s="1584"/>
      <c r="Q1" s="1584"/>
      <c r="R1" s="1584"/>
      <c r="S1" s="1584"/>
      <c r="T1" s="1584"/>
      <c r="U1" s="1587"/>
      <c r="V1" s="1587"/>
      <c r="W1" s="1587"/>
      <c r="X1" s="1587"/>
      <c r="Y1" s="1588"/>
      <c r="Z1" s="1587"/>
      <c r="AA1" s="1587"/>
      <c r="AB1" s="1587"/>
      <c r="AC1" s="1589"/>
      <c r="AD1" s="1587"/>
      <c r="AE1" s="1587"/>
      <c r="AF1" s="1587"/>
      <c r="AG1" s="747"/>
      <c r="AH1" s="748"/>
      <c r="AI1" s="1563" t="s">
        <v>1355</v>
      </c>
    </row>
    <row r="2" spans="1:114" ht="39" customHeight="1" x14ac:dyDescent="0.2">
      <c r="D2" s="1256" t="s">
        <v>41</v>
      </c>
      <c r="E2" s="1575"/>
      <c r="F2" s="1578"/>
      <c r="G2" s="1578"/>
      <c r="H2" s="1581"/>
      <c r="I2" s="1564" t="s">
        <v>1356</v>
      </c>
      <c r="J2" s="1565"/>
      <c r="K2" s="1565"/>
      <c r="L2" s="1566"/>
      <c r="M2" s="1069"/>
      <c r="N2" s="1069" t="s">
        <v>1357</v>
      </c>
      <c r="O2" s="749"/>
      <c r="P2" s="1567" t="s">
        <v>1358</v>
      </c>
      <c r="Q2" s="1567"/>
      <c r="R2" s="1567"/>
      <c r="S2" s="1567"/>
      <c r="T2" s="1567"/>
      <c r="U2" s="1568" t="s">
        <v>1359</v>
      </c>
      <c r="V2" s="1569"/>
      <c r="W2" s="1569"/>
      <c r="X2" s="1569"/>
      <c r="Y2" s="1570"/>
      <c r="Z2" s="1569"/>
      <c r="AA2" s="1569"/>
      <c r="AB2" s="1569"/>
      <c r="AC2" s="1571"/>
      <c r="AD2" s="1572"/>
      <c r="AE2" s="1573" t="s">
        <v>1360</v>
      </c>
      <c r="AF2" s="1573"/>
      <c r="AG2" s="750"/>
      <c r="AH2" s="751"/>
      <c r="AI2" s="1563"/>
    </row>
    <row r="3" spans="1:114" s="757" customFormat="1" ht="48" customHeight="1" x14ac:dyDescent="0.25">
      <c r="A3" s="937" t="s">
        <v>1350</v>
      </c>
      <c r="B3" s="752" t="s">
        <v>1361</v>
      </c>
      <c r="C3" s="752" t="s">
        <v>9</v>
      </c>
      <c r="D3" s="752" t="s">
        <v>1362</v>
      </c>
      <c r="E3" s="1575"/>
      <c r="F3" s="1578"/>
      <c r="G3" s="1578"/>
      <c r="H3" s="1581"/>
      <c r="I3" s="1455" t="s">
        <v>1363</v>
      </c>
      <c r="J3" s="753" t="s">
        <v>1364</v>
      </c>
      <c r="K3" s="753" t="s">
        <v>1365</v>
      </c>
      <c r="L3" s="753" t="s">
        <v>1366</v>
      </c>
      <c r="M3" s="1070"/>
      <c r="N3" s="1070" t="s">
        <v>1367</v>
      </c>
      <c r="O3" s="1594" t="s">
        <v>1368</v>
      </c>
      <c r="P3" s="1595"/>
      <c r="Q3" s="1596" t="s">
        <v>1369</v>
      </c>
      <c r="R3" s="1597"/>
      <c r="S3" s="1594" t="s">
        <v>1370</v>
      </c>
      <c r="T3" s="1595"/>
      <c r="U3" s="1590" t="s">
        <v>1371</v>
      </c>
      <c r="V3" s="1591"/>
      <c r="W3" s="1590" t="s">
        <v>1372</v>
      </c>
      <c r="X3" s="1591"/>
      <c r="Y3" s="1600" t="s">
        <v>1350</v>
      </c>
      <c r="Z3" s="1598" t="s">
        <v>1373</v>
      </c>
      <c r="AA3" s="1590" t="s">
        <v>1374</v>
      </c>
      <c r="AB3" s="1591"/>
      <c r="AC3" s="1592" t="s">
        <v>1375</v>
      </c>
      <c r="AD3" s="1593"/>
      <c r="AE3" s="1573"/>
      <c r="AF3" s="1573"/>
      <c r="AG3" s="754"/>
      <c r="AH3" s="755" t="s">
        <v>1376</v>
      </c>
      <c r="AI3" s="1563"/>
      <c r="AJ3" s="756"/>
      <c r="AK3" s="756"/>
      <c r="AL3" s="756"/>
      <c r="AM3" s="756"/>
      <c r="AN3" s="756"/>
      <c r="AO3" s="756"/>
      <c r="AP3" s="756"/>
      <c r="AQ3" s="756"/>
      <c r="AR3" s="756"/>
      <c r="AS3" s="756"/>
      <c r="AT3" s="756"/>
      <c r="AU3" s="756"/>
      <c r="AV3" s="756"/>
      <c r="AW3" s="756"/>
      <c r="AX3" s="756"/>
      <c r="AY3" s="756"/>
      <c r="AZ3" s="756"/>
      <c r="BA3" s="756"/>
      <c r="BB3" s="756"/>
      <c r="BC3" s="756"/>
      <c r="BD3" s="756"/>
      <c r="BE3" s="756"/>
      <c r="BF3" s="756"/>
      <c r="BG3" s="756"/>
      <c r="BH3" s="756"/>
      <c r="BI3" s="756"/>
      <c r="BJ3" s="756"/>
      <c r="BK3" s="756"/>
      <c r="BL3" s="756"/>
      <c r="BM3" s="756"/>
      <c r="BN3" s="756"/>
      <c r="BO3" s="756"/>
      <c r="BP3" s="756"/>
      <c r="BQ3" s="756"/>
      <c r="BR3" s="756"/>
      <c r="BS3" s="756"/>
      <c r="BT3" s="756"/>
      <c r="BU3" s="756"/>
      <c r="BV3" s="756"/>
      <c r="BW3" s="756"/>
      <c r="BX3" s="756"/>
      <c r="BY3" s="756"/>
      <c r="BZ3" s="756"/>
      <c r="CA3" s="756"/>
      <c r="CB3" s="756"/>
      <c r="CC3" s="756"/>
      <c r="CD3" s="756"/>
      <c r="CE3" s="756"/>
      <c r="CF3" s="756"/>
      <c r="CG3" s="756"/>
      <c r="CH3" s="756"/>
      <c r="CI3" s="756"/>
      <c r="CJ3" s="756"/>
      <c r="CK3" s="756"/>
      <c r="CL3" s="756"/>
      <c r="CM3" s="756"/>
      <c r="CN3" s="756"/>
      <c r="CO3" s="756"/>
      <c r="CP3" s="756"/>
      <c r="CQ3" s="756"/>
      <c r="CR3" s="756"/>
      <c r="CS3" s="756"/>
      <c r="CT3" s="756"/>
      <c r="CU3" s="756"/>
      <c r="CV3" s="756"/>
      <c r="CW3" s="756"/>
      <c r="CX3" s="756"/>
      <c r="CY3" s="756"/>
      <c r="CZ3" s="756"/>
      <c r="DA3" s="756"/>
      <c r="DB3" s="756"/>
      <c r="DC3" s="756"/>
      <c r="DD3" s="756"/>
      <c r="DE3" s="756"/>
      <c r="DF3" s="756"/>
      <c r="DG3" s="756"/>
      <c r="DH3" s="756"/>
      <c r="DI3" s="756"/>
      <c r="DJ3" s="756"/>
    </row>
    <row r="4" spans="1:114" s="757" customFormat="1" ht="32.25" hidden="1" customHeight="1" x14ac:dyDescent="0.25">
      <c r="A4" s="938"/>
      <c r="B4" s="758"/>
      <c r="C4" s="758"/>
      <c r="D4" s="758"/>
      <c r="E4" s="1576"/>
      <c r="F4" s="1579"/>
      <c r="G4" s="1579"/>
      <c r="H4" s="1582"/>
      <c r="I4" s="759"/>
      <c r="J4" s="759"/>
      <c r="K4" s="759"/>
      <c r="L4" s="759"/>
      <c r="M4" s="759"/>
      <c r="N4" s="759"/>
      <c r="O4" s="759" t="s">
        <v>1377</v>
      </c>
      <c r="P4" s="759" t="s">
        <v>1378</v>
      </c>
      <c r="Q4" s="759" t="s">
        <v>1379</v>
      </c>
      <c r="R4" s="759" t="s">
        <v>1380</v>
      </c>
      <c r="S4" s="759" t="s">
        <v>1381</v>
      </c>
      <c r="T4" s="759" t="s">
        <v>1382</v>
      </c>
      <c r="U4" s="748" t="s">
        <v>1269</v>
      </c>
      <c r="V4" s="748" t="s">
        <v>1383</v>
      </c>
      <c r="W4" s="748" t="s">
        <v>1269</v>
      </c>
      <c r="X4" s="748" t="s">
        <v>1383</v>
      </c>
      <c r="Y4" s="1601"/>
      <c r="Z4" s="1599"/>
      <c r="AA4" s="748" t="s">
        <v>1269</v>
      </c>
      <c r="AB4" s="760" t="s">
        <v>1383</v>
      </c>
      <c r="AC4" s="748" t="s">
        <v>1269</v>
      </c>
      <c r="AD4" s="748" t="s">
        <v>1383</v>
      </c>
      <c r="AE4" s="748" t="s">
        <v>1269</v>
      </c>
      <c r="AF4" s="748" t="s">
        <v>1384</v>
      </c>
      <c r="AG4" s="754"/>
      <c r="AH4" s="748"/>
      <c r="AI4" s="761"/>
      <c r="AJ4" s="756"/>
      <c r="AK4" s="756"/>
      <c r="AL4" s="756"/>
      <c r="AM4" s="756"/>
      <c r="AN4" s="756"/>
      <c r="AO4" s="756"/>
      <c r="AP4" s="756"/>
      <c r="AQ4" s="756"/>
      <c r="AR4" s="756"/>
      <c r="AS4" s="756"/>
      <c r="AT4" s="756"/>
      <c r="AU4" s="756"/>
      <c r="AV4" s="756"/>
      <c r="AW4" s="756"/>
      <c r="AX4" s="756"/>
      <c r="AY4" s="756"/>
      <c r="AZ4" s="756"/>
      <c r="BA4" s="756"/>
      <c r="BB4" s="756"/>
      <c r="BC4" s="756"/>
      <c r="BD4" s="756"/>
      <c r="BE4" s="756"/>
      <c r="BF4" s="756"/>
      <c r="BG4" s="756"/>
      <c r="BH4" s="756"/>
      <c r="BI4" s="756"/>
      <c r="BJ4" s="756"/>
      <c r="BK4" s="756"/>
      <c r="BL4" s="756"/>
      <c r="BM4" s="756"/>
      <c r="BN4" s="756"/>
      <c r="BO4" s="756"/>
      <c r="BP4" s="756"/>
      <c r="BQ4" s="756"/>
      <c r="BR4" s="756"/>
      <c r="BS4" s="756"/>
      <c r="BT4" s="756"/>
      <c r="BU4" s="756"/>
      <c r="BV4" s="756"/>
      <c r="BW4" s="756"/>
      <c r="BX4" s="756"/>
      <c r="BY4" s="756"/>
      <c r="BZ4" s="756"/>
      <c r="CA4" s="756"/>
      <c r="CB4" s="756"/>
      <c r="CC4" s="756"/>
      <c r="CD4" s="756"/>
      <c r="CE4" s="756"/>
      <c r="CF4" s="756"/>
      <c r="CG4" s="756"/>
      <c r="CH4" s="756"/>
      <c r="CI4" s="756"/>
      <c r="CJ4" s="756"/>
      <c r="CK4" s="756"/>
      <c r="CL4" s="756"/>
      <c r="CM4" s="756"/>
      <c r="CN4" s="756"/>
      <c r="CO4" s="756"/>
      <c r="CP4" s="756"/>
      <c r="CQ4" s="756"/>
      <c r="CR4" s="756"/>
      <c r="CS4" s="756"/>
      <c r="CT4" s="756"/>
      <c r="CU4" s="756"/>
      <c r="CV4" s="756"/>
      <c r="CW4" s="756"/>
      <c r="CX4" s="756"/>
      <c r="CY4" s="756"/>
      <c r="CZ4" s="756"/>
      <c r="DA4" s="756"/>
      <c r="DB4" s="756"/>
      <c r="DC4" s="756"/>
      <c r="DD4" s="756"/>
      <c r="DE4" s="756"/>
      <c r="DF4" s="756"/>
      <c r="DG4" s="756"/>
      <c r="DH4" s="756"/>
      <c r="DI4" s="756"/>
      <c r="DJ4" s="756"/>
    </row>
    <row r="5" spans="1:114" s="4" customFormat="1" ht="115.5" hidden="1" customHeight="1" x14ac:dyDescent="0.2">
      <c r="A5" s="931">
        <v>304</v>
      </c>
      <c r="B5" s="990" t="s">
        <v>1385</v>
      </c>
      <c r="C5" s="792">
        <v>4</v>
      </c>
      <c r="D5" s="792" t="s">
        <v>1386</v>
      </c>
      <c r="E5" s="1145" t="s">
        <v>1540</v>
      </c>
      <c r="F5" s="1034">
        <v>6</v>
      </c>
      <c r="G5" s="1034" t="s">
        <v>1395</v>
      </c>
      <c r="H5" s="964" t="s">
        <v>1537</v>
      </c>
      <c r="I5" s="873">
        <v>36000000</v>
      </c>
      <c r="J5" s="873"/>
      <c r="K5" s="873"/>
      <c r="L5" s="873"/>
      <c r="M5" s="1035">
        <v>20</v>
      </c>
      <c r="N5" s="873" t="s">
        <v>1538</v>
      </c>
      <c r="O5" s="874"/>
      <c r="P5" s="874"/>
      <c r="Q5" s="874"/>
      <c r="R5" s="874"/>
      <c r="S5" s="874"/>
      <c r="T5" s="874"/>
      <c r="U5" s="961">
        <v>45</v>
      </c>
      <c r="V5" s="1006" t="s">
        <v>1302</v>
      </c>
      <c r="W5" s="1026">
        <v>4599</v>
      </c>
      <c r="X5" s="964" t="s">
        <v>40</v>
      </c>
      <c r="Y5" s="961">
        <v>45991</v>
      </c>
      <c r="Z5" s="1101" t="s">
        <v>1387</v>
      </c>
      <c r="AA5" s="792" t="s">
        <v>1539</v>
      </c>
      <c r="AB5" s="1007" t="s">
        <v>43</v>
      </c>
      <c r="AC5" s="1020" t="s">
        <v>46</v>
      </c>
      <c r="AD5" s="1007" t="s">
        <v>1388</v>
      </c>
      <c r="AE5" s="965">
        <v>91119</v>
      </c>
      <c r="AF5" s="740" t="s">
        <v>1389</v>
      </c>
      <c r="AG5" s="968"/>
      <c r="AH5" s="740" t="str">
        <f>CONCATENATE(E5,AA5,AE5)</f>
        <v>2.3.2.02.02.009.4599023.91119</v>
      </c>
      <c r="AI5" s="827"/>
    </row>
    <row r="6" spans="1:114" s="4" customFormat="1" ht="96" hidden="1" customHeight="1" x14ac:dyDescent="0.2">
      <c r="A6" s="931">
        <v>304</v>
      </c>
      <c r="B6" s="990" t="s">
        <v>1385</v>
      </c>
      <c r="C6" s="792">
        <v>4</v>
      </c>
      <c r="D6" s="792" t="s">
        <v>1386</v>
      </c>
      <c r="E6" s="1145" t="s">
        <v>1540</v>
      </c>
      <c r="F6" s="1034">
        <v>6</v>
      </c>
      <c r="G6" s="1034" t="s">
        <v>1395</v>
      </c>
      <c r="H6" s="964" t="s">
        <v>1537</v>
      </c>
      <c r="I6" s="873">
        <v>50000000</v>
      </c>
      <c r="J6" s="873"/>
      <c r="K6" s="873"/>
      <c r="L6" s="873"/>
      <c r="M6" s="1035">
        <v>20</v>
      </c>
      <c r="N6" s="873" t="s">
        <v>1538</v>
      </c>
      <c r="O6" s="874"/>
      <c r="P6" s="874"/>
      <c r="Q6" s="874"/>
      <c r="R6" s="874"/>
      <c r="S6" s="874"/>
      <c r="T6" s="874"/>
      <c r="U6" s="961">
        <v>45</v>
      </c>
      <c r="V6" s="1006" t="s">
        <v>1302</v>
      </c>
      <c r="W6" s="1026">
        <v>4599</v>
      </c>
      <c r="X6" s="964" t="s">
        <v>40</v>
      </c>
      <c r="Y6" s="961">
        <v>45991</v>
      </c>
      <c r="Z6" s="1101" t="s">
        <v>1387</v>
      </c>
      <c r="AA6" s="167" t="s">
        <v>1541</v>
      </c>
      <c r="AB6" s="1007" t="s">
        <v>50</v>
      </c>
      <c r="AC6" s="1020" t="s">
        <v>52</v>
      </c>
      <c r="AD6" s="1007" t="s">
        <v>1390</v>
      </c>
      <c r="AE6" s="965">
        <v>91119</v>
      </c>
      <c r="AF6" s="740" t="s">
        <v>1389</v>
      </c>
      <c r="AG6" s="968"/>
      <c r="AH6" s="740" t="str">
        <f t="shared" ref="AH6:AH8" si="0">CONCATENATE(E6,AA6,AE6)</f>
        <v>2.3.2.02.02.009.45990023.91119</v>
      </c>
      <c r="AI6" s="827"/>
    </row>
    <row r="7" spans="1:114" s="4" customFormat="1" ht="114" hidden="1" customHeight="1" x14ac:dyDescent="0.2">
      <c r="A7" s="931">
        <v>304</v>
      </c>
      <c r="B7" s="990" t="s">
        <v>1385</v>
      </c>
      <c r="C7" s="792">
        <v>4</v>
      </c>
      <c r="D7" s="792" t="s">
        <v>1386</v>
      </c>
      <c r="E7" s="1145" t="s">
        <v>1540</v>
      </c>
      <c r="F7" s="1034">
        <v>6</v>
      </c>
      <c r="G7" s="1034" t="s">
        <v>1395</v>
      </c>
      <c r="H7" s="964" t="s">
        <v>1537</v>
      </c>
      <c r="I7" s="873">
        <v>50000000</v>
      </c>
      <c r="J7" s="999"/>
      <c r="K7" s="999"/>
      <c r="L7" s="999"/>
      <c r="M7" s="1035">
        <v>20</v>
      </c>
      <c r="N7" s="873" t="s">
        <v>1538</v>
      </c>
      <c r="O7" s="1036"/>
      <c r="P7" s="1036"/>
      <c r="Q7" s="1036"/>
      <c r="R7" s="1036"/>
      <c r="S7" s="1036"/>
      <c r="T7" s="1036"/>
      <c r="U7" s="961">
        <v>45</v>
      </c>
      <c r="V7" s="1006" t="s">
        <v>1302</v>
      </c>
      <c r="W7" s="1026">
        <v>4599</v>
      </c>
      <c r="X7" s="964" t="s">
        <v>40</v>
      </c>
      <c r="Y7" s="961">
        <v>45991</v>
      </c>
      <c r="Z7" s="1101" t="s">
        <v>1391</v>
      </c>
      <c r="AA7" s="792" t="s">
        <v>1539</v>
      </c>
      <c r="AB7" s="1007" t="s">
        <v>55</v>
      </c>
      <c r="AC7" s="1020" t="s">
        <v>58</v>
      </c>
      <c r="AD7" s="1007" t="s">
        <v>1392</v>
      </c>
      <c r="AE7" s="965">
        <v>91119</v>
      </c>
      <c r="AF7" s="740" t="s">
        <v>1389</v>
      </c>
      <c r="AG7" s="968"/>
      <c r="AH7" s="740" t="str">
        <f t="shared" si="0"/>
        <v>2.3.2.02.02.009.4599023.91119</v>
      </c>
      <c r="AI7" s="827"/>
    </row>
    <row r="8" spans="1:114" s="4" customFormat="1" ht="93" hidden="1" customHeight="1" x14ac:dyDescent="0.2">
      <c r="A8" s="931">
        <v>304</v>
      </c>
      <c r="B8" s="990" t="s">
        <v>1385</v>
      </c>
      <c r="C8" s="792">
        <v>4</v>
      </c>
      <c r="D8" s="792" t="s">
        <v>1386</v>
      </c>
      <c r="E8" s="1145" t="s">
        <v>1540</v>
      </c>
      <c r="F8" s="1034">
        <v>6</v>
      </c>
      <c r="G8" s="1034" t="s">
        <v>1395</v>
      </c>
      <c r="H8" s="964" t="s">
        <v>1537</v>
      </c>
      <c r="I8" s="873">
        <v>25000000</v>
      </c>
      <c r="J8" s="998"/>
      <c r="K8" s="998"/>
      <c r="L8" s="998"/>
      <c r="M8" s="1011">
        <v>20</v>
      </c>
      <c r="N8" s="873" t="s">
        <v>1538</v>
      </c>
      <c r="O8" s="1012"/>
      <c r="P8" s="1012"/>
      <c r="Q8" s="1012"/>
      <c r="R8" s="1012"/>
      <c r="S8" s="1012"/>
      <c r="T8" s="1012"/>
      <c r="U8" s="961">
        <v>45</v>
      </c>
      <c r="V8" s="1006" t="s">
        <v>1302</v>
      </c>
      <c r="W8" s="1013">
        <v>4502</v>
      </c>
      <c r="X8" s="964" t="s">
        <v>61</v>
      </c>
      <c r="Y8" s="1013">
        <v>45022</v>
      </c>
      <c r="Z8" s="1101" t="s">
        <v>1855</v>
      </c>
      <c r="AA8" s="792" t="s">
        <v>1544</v>
      </c>
      <c r="AB8" s="1007" t="s">
        <v>64</v>
      </c>
      <c r="AC8" s="996" t="s">
        <v>66</v>
      </c>
      <c r="AD8" s="944" t="s">
        <v>67</v>
      </c>
      <c r="AE8" s="965">
        <v>91119</v>
      </c>
      <c r="AF8" s="740" t="s">
        <v>1389</v>
      </c>
      <c r="AG8" s="968"/>
      <c r="AH8" s="740" t="str">
        <f t="shared" si="0"/>
        <v>2.3.2.02.02.009.4502035.91119</v>
      </c>
      <c r="AI8" s="827"/>
    </row>
    <row r="9" spans="1:114" s="936" customFormat="1" ht="120.75" hidden="1" customHeight="1" x14ac:dyDescent="0.2">
      <c r="A9" s="931">
        <v>304</v>
      </c>
      <c r="B9" s="990" t="s">
        <v>1385</v>
      </c>
      <c r="C9" s="792">
        <v>4</v>
      </c>
      <c r="D9" s="792" t="s">
        <v>1386</v>
      </c>
      <c r="E9" s="1000" t="s">
        <v>1542</v>
      </c>
      <c r="F9" s="1010">
        <v>8</v>
      </c>
      <c r="G9" s="1010" t="s">
        <v>1395</v>
      </c>
      <c r="H9" s="964" t="s">
        <v>1543</v>
      </c>
      <c r="I9" s="873">
        <v>10000000</v>
      </c>
      <c r="J9" s="998"/>
      <c r="K9" s="998"/>
      <c r="L9" s="998"/>
      <c r="M9" s="1011">
        <v>20</v>
      </c>
      <c r="N9" s="873" t="s">
        <v>1538</v>
      </c>
      <c r="O9" s="1012"/>
      <c r="P9" s="1012"/>
      <c r="Q9" s="1012"/>
      <c r="R9" s="1012"/>
      <c r="S9" s="1012"/>
      <c r="T9" s="1012"/>
      <c r="U9" s="961">
        <v>45</v>
      </c>
      <c r="V9" s="1037" t="s">
        <v>1302</v>
      </c>
      <c r="W9" s="1013">
        <v>4502</v>
      </c>
      <c r="X9" s="964" t="s">
        <v>61</v>
      </c>
      <c r="Y9" s="1013">
        <v>45022</v>
      </c>
      <c r="Z9" s="1101" t="s">
        <v>1855</v>
      </c>
      <c r="AA9" s="792" t="s">
        <v>1544</v>
      </c>
      <c r="AB9" s="1007" t="s">
        <v>64</v>
      </c>
      <c r="AC9" s="996" t="s">
        <v>66</v>
      </c>
      <c r="AD9" s="944" t="s">
        <v>67</v>
      </c>
      <c r="AE9" s="1464">
        <v>45250</v>
      </c>
      <c r="AF9" s="1429" t="s">
        <v>2326</v>
      </c>
      <c r="AG9" s="968"/>
      <c r="AH9" s="740" t="str">
        <f t="shared" ref="AH9:AH10" si="1">CONCATENATE(E9,AA9,AE9)</f>
        <v>2.3.2.01.01.003.03.02.4502035.45250</v>
      </c>
      <c r="AI9" s="827"/>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row>
    <row r="10" spans="1:114" s="4" customFormat="1" ht="87" hidden="1" customHeight="1" x14ac:dyDescent="0.2">
      <c r="A10" s="931">
        <v>304</v>
      </c>
      <c r="B10" s="990" t="s">
        <v>1385</v>
      </c>
      <c r="C10" s="792">
        <v>4</v>
      </c>
      <c r="D10" s="792" t="s">
        <v>1386</v>
      </c>
      <c r="E10" s="1000" t="s">
        <v>1545</v>
      </c>
      <c r="F10" s="1010">
        <v>6</v>
      </c>
      <c r="G10" s="1010" t="s">
        <v>1395</v>
      </c>
      <c r="H10" s="964" t="s">
        <v>1547</v>
      </c>
      <c r="I10" s="873">
        <v>5000000</v>
      </c>
      <c r="J10" s="998"/>
      <c r="K10" s="998"/>
      <c r="L10" s="998"/>
      <c r="M10" s="1011">
        <v>20</v>
      </c>
      <c r="N10" s="873" t="s">
        <v>1538</v>
      </c>
      <c r="O10" s="1012"/>
      <c r="P10" s="1012"/>
      <c r="Q10" s="1012"/>
      <c r="R10" s="1012"/>
      <c r="S10" s="1012"/>
      <c r="T10" s="1012"/>
      <c r="U10" s="961">
        <v>45</v>
      </c>
      <c r="V10" s="1006" t="s">
        <v>1302</v>
      </c>
      <c r="W10" s="1013">
        <v>4502</v>
      </c>
      <c r="X10" s="964" t="s">
        <v>61</v>
      </c>
      <c r="Y10" s="1013">
        <v>45022</v>
      </c>
      <c r="Z10" s="1101" t="s">
        <v>1855</v>
      </c>
      <c r="AA10" s="792" t="s">
        <v>1544</v>
      </c>
      <c r="AB10" s="1007" t="s">
        <v>64</v>
      </c>
      <c r="AC10" s="996" t="s">
        <v>66</v>
      </c>
      <c r="AD10" s="944" t="s">
        <v>67</v>
      </c>
      <c r="AE10" s="965">
        <v>54129</v>
      </c>
      <c r="AF10" s="740" t="s">
        <v>1546</v>
      </c>
      <c r="AG10" s="968"/>
      <c r="AH10" s="740" t="str">
        <f t="shared" si="1"/>
        <v>2.3.2.02.02.005.4502035.54129</v>
      </c>
      <c r="AI10" s="827"/>
    </row>
    <row r="11" spans="1:114" s="18" customFormat="1" ht="129.75" hidden="1" customHeight="1" x14ac:dyDescent="0.2">
      <c r="A11" s="931">
        <v>305</v>
      </c>
      <c r="B11" s="1014" t="s">
        <v>1393</v>
      </c>
      <c r="C11" s="930">
        <v>4</v>
      </c>
      <c r="D11" s="930" t="s">
        <v>1386</v>
      </c>
      <c r="E11" s="1146" t="s">
        <v>1540</v>
      </c>
      <c r="F11" s="1015">
        <v>6</v>
      </c>
      <c r="G11" s="1015" t="s">
        <v>1395</v>
      </c>
      <c r="H11" s="1016" t="s">
        <v>1396</v>
      </c>
      <c r="I11" s="1017">
        <v>140000000</v>
      </c>
      <c r="J11" s="932"/>
      <c r="K11" s="932"/>
      <c r="L11" s="932"/>
      <c r="M11" s="1050"/>
      <c r="N11" s="1015" t="s">
        <v>1397</v>
      </c>
      <c r="O11" s="933"/>
      <c r="P11" s="933"/>
      <c r="Q11" s="933"/>
      <c r="R11" s="933"/>
      <c r="S11" s="933"/>
      <c r="T11" s="933"/>
      <c r="U11" s="1015">
        <v>45</v>
      </c>
      <c r="V11" s="1018" t="s">
        <v>1302</v>
      </c>
      <c r="W11" s="1013">
        <v>4502</v>
      </c>
      <c r="X11" s="1099" t="s">
        <v>61</v>
      </c>
      <c r="Y11" s="1013">
        <v>45022</v>
      </c>
      <c r="Z11" s="1102" t="s">
        <v>1398</v>
      </c>
      <c r="AA11" s="930" t="s">
        <v>1548</v>
      </c>
      <c r="AB11" s="1007" t="s">
        <v>72</v>
      </c>
      <c r="AC11" s="1020" t="s">
        <v>74</v>
      </c>
      <c r="AD11" s="1019" t="s">
        <v>75</v>
      </c>
      <c r="AE11" s="965" t="s">
        <v>1549</v>
      </c>
      <c r="AF11" s="740" t="s">
        <v>1389</v>
      </c>
      <c r="AG11" s="968"/>
      <c r="AH11" s="740" t="str">
        <f>CONCATENATE(E11,AA11,AE11)</f>
        <v>2.3.2.02.02.009.4502001.91119.</v>
      </c>
      <c r="AI11" s="1021"/>
    </row>
    <row r="12" spans="1:114" s="4" customFormat="1" ht="112.5" hidden="1" customHeight="1" x14ac:dyDescent="0.2">
      <c r="A12" s="931">
        <v>305</v>
      </c>
      <c r="B12" s="990" t="s">
        <v>1393</v>
      </c>
      <c r="C12" s="792">
        <v>4</v>
      </c>
      <c r="D12" s="792" t="s">
        <v>1386</v>
      </c>
      <c r="E12" s="1147" t="s">
        <v>1540</v>
      </c>
      <c r="F12" s="961">
        <v>6</v>
      </c>
      <c r="G12" s="961" t="s">
        <v>1395</v>
      </c>
      <c r="H12" s="1022" t="s">
        <v>1396</v>
      </c>
      <c r="I12" s="993">
        <v>35000000</v>
      </c>
      <c r="J12" s="961"/>
      <c r="K12" s="998"/>
      <c r="L12" s="998"/>
      <c r="M12" s="999"/>
      <c r="N12" s="961" t="s">
        <v>1397</v>
      </c>
      <c r="O12" s="1012"/>
      <c r="P12" s="1012"/>
      <c r="Q12" s="1012"/>
      <c r="R12" s="1012"/>
      <c r="S12" s="1012"/>
      <c r="T12" s="1012"/>
      <c r="U12" s="961">
        <v>45</v>
      </c>
      <c r="V12" s="1006" t="s">
        <v>1302</v>
      </c>
      <c r="W12" s="1013">
        <v>4502</v>
      </c>
      <c r="X12" s="1105" t="s">
        <v>61</v>
      </c>
      <c r="Y12" s="1106">
        <v>45022</v>
      </c>
      <c r="Z12" s="1101" t="s">
        <v>1399</v>
      </c>
      <c r="AA12" s="1023" t="s">
        <v>1548</v>
      </c>
      <c r="AB12" s="1024" t="s">
        <v>79</v>
      </c>
      <c r="AC12" s="996" t="s">
        <v>81</v>
      </c>
      <c r="AD12" s="1019" t="s">
        <v>82</v>
      </c>
      <c r="AE12" s="965" t="s">
        <v>1549</v>
      </c>
      <c r="AF12" s="740" t="s">
        <v>1389</v>
      </c>
      <c r="AG12" s="968"/>
      <c r="AH12" s="740" t="str">
        <f t="shared" ref="AH12:AH24" si="2">CONCATENATE(E12,AA12,AE12)</f>
        <v>2.3.2.02.02.009.4502001.91119.</v>
      </c>
      <c r="AI12" s="827"/>
    </row>
    <row r="13" spans="1:114" s="18" customFormat="1" ht="179.25" hidden="1" customHeight="1" x14ac:dyDescent="0.2">
      <c r="A13" s="1025">
        <v>305</v>
      </c>
      <c r="B13" s="990" t="s">
        <v>1393</v>
      </c>
      <c r="C13" s="952">
        <v>4</v>
      </c>
      <c r="D13" s="952" t="s">
        <v>1386</v>
      </c>
      <c r="E13" s="1147" t="s">
        <v>1540</v>
      </c>
      <c r="F13" s="961">
        <v>6</v>
      </c>
      <c r="G13" s="961" t="s">
        <v>1395</v>
      </c>
      <c r="H13" s="1022" t="s">
        <v>1396</v>
      </c>
      <c r="I13" s="993">
        <v>144000000</v>
      </c>
      <c r="J13" s="961"/>
      <c r="K13" s="998"/>
      <c r="L13" s="998"/>
      <c r="M13" s="999"/>
      <c r="N13" s="961" t="s">
        <v>1397</v>
      </c>
      <c r="O13" s="1012"/>
      <c r="P13" s="1012"/>
      <c r="Q13" s="1012"/>
      <c r="R13" s="1012"/>
      <c r="S13" s="1012"/>
      <c r="T13" s="1012"/>
      <c r="U13" s="961">
        <v>45</v>
      </c>
      <c r="V13" s="1006" t="s">
        <v>1302</v>
      </c>
      <c r="W13" s="1104">
        <v>4599</v>
      </c>
      <c r="X13" s="873" t="s">
        <v>84</v>
      </c>
      <c r="Y13" s="961">
        <v>45994</v>
      </c>
      <c r="Z13" s="1101" t="s">
        <v>1400</v>
      </c>
      <c r="AA13" s="792" t="s">
        <v>1551</v>
      </c>
      <c r="AB13" s="702" t="s">
        <v>86</v>
      </c>
      <c r="AC13" s="996" t="s">
        <v>88</v>
      </c>
      <c r="AD13" s="1019" t="s">
        <v>89</v>
      </c>
      <c r="AE13" s="965" t="s">
        <v>1550</v>
      </c>
      <c r="AF13" s="740" t="s">
        <v>1401</v>
      </c>
      <c r="AG13" s="968"/>
      <c r="AH13" s="740" t="str">
        <f t="shared" si="2"/>
        <v>2.3.2.02.02.009.4599018.91114.</v>
      </c>
      <c r="AI13" s="1021"/>
    </row>
    <row r="14" spans="1:114" s="4" customFormat="1" ht="150" hidden="1" x14ac:dyDescent="0.2">
      <c r="A14" s="939">
        <v>305</v>
      </c>
      <c r="B14" s="990" t="s">
        <v>1393</v>
      </c>
      <c r="C14" s="961">
        <v>4</v>
      </c>
      <c r="D14" s="961" t="s">
        <v>1386</v>
      </c>
      <c r="E14" s="1147" t="s">
        <v>1540</v>
      </c>
      <c r="F14" s="961">
        <v>6</v>
      </c>
      <c r="G14" s="961" t="s">
        <v>1395</v>
      </c>
      <c r="H14" s="1022" t="s">
        <v>1396</v>
      </c>
      <c r="I14" s="993">
        <v>72000000</v>
      </c>
      <c r="J14" s="961" t="s">
        <v>1402</v>
      </c>
      <c r="K14" s="998"/>
      <c r="L14" s="998"/>
      <c r="M14" s="999"/>
      <c r="N14" s="961" t="s">
        <v>1397</v>
      </c>
      <c r="O14" s="1005"/>
      <c r="P14" s="998"/>
      <c r="Q14" s="998"/>
      <c r="R14" s="998"/>
      <c r="S14" s="998"/>
      <c r="T14" s="998"/>
      <c r="U14" s="961">
        <v>45</v>
      </c>
      <c r="V14" s="1006" t="s">
        <v>1302</v>
      </c>
      <c r="W14" s="1026">
        <v>4599</v>
      </c>
      <c r="X14" s="875" t="s">
        <v>84</v>
      </c>
      <c r="Y14" s="961">
        <v>45992</v>
      </c>
      <c r="Z14" s="1101" t="s">
        <v>1403</v>
      </c>
      <c r="AA14" s="167" t="s">
        <v>1552</v>
      </c>
      <c r="AB14" s="842" t="s">
        <v>91</v>
      </c>
      <c r="AC14" s="996" t="s">
        <v>93</v>
      </c>
      <c r="AD14" s="1019" t="s">
        <v>94</v>
      </c>
      <c r="AE14" s="965" t="s">
        <v>1550</v>
      </c>
      <c r="AF14" s="740" t="s">
        <v>1401</v>
      </c>
      <c r="AG14" s="968"/>
      <c r="AH14" s="740" t="str">
        <f t="shared" si="2"/>
        <v>2.3.2.02.02.009.4599025.91114.</v>
      </c>
      <c r="AI14" s="827"/>
    </row>
    <row r="15" spans="1:114" s="4" customFormat="1" ht="108" hidden="1" customHeight="1" x14ac:dyDescent="0.2">
      <c r="A15" s="939">
        <v>305</v>
      </c>
      <c r="B15" s="990" t="s">
        <v>1393</v>
      </c>
      <c r="C15" s="961">
        <v>4</v>
      </c>
      <c r="D15" s="961" t="s">
        <v>1386</v>
      </c>
      <c r="E15" s="1147" t="s">
        <v>1394</v>
      </c>
      <c r="F15" s="961">
        <v>6</v>
      </c>
      <c r="G15" s="961" t="s">
        <v>1395</v>
      </c>
      <c r="H15" s="1022" t="s">
        <v>1396</v>
      </c>
      <c r="I15" s="993">
        <v>280000000</v>
      </c>
      <c r="J15" s="998"/>
      <c r="K15" s="998"/>
      <c r="L15" s="998"/>
      <c r="M15" s="999"/>
      <c r="N15" s="961" t="s">
        <v>1397</v>
      </c>
      <c r="O15" s="1005"/>
      <c r="P15" s="998"/>
      <c r="Q15" s="998"/>
      <c r="R15" s="998"/>
      <c r="S15" s="998"/>
      <c r="T15" s="998"/>
      <c r="U15" s="961">
        <v>45</v>
      </c>
      <c r="V15" s="1006" t="s">
        <v>1302</v>
      </c>
      <c r="W15" s="1026">
        <v>4599</v>
      </c>
      <c r="X15" s="875" t="s">
        <v>84</v>
      </c>
      <c r="Y15" s="961">
        <v>45992</v>
      </c>
      <c r="Z15" s="1101" t="s">
        <v>1404</v>
      </c>
      <c r="AA15" s="792" t="s">
        <v>1552</v>
      </c>
      <c r="AB15" s="842" t="s">
        <v>96</v>
      </c>
      <c r="AC15" s="996" t="s">
        <v>98</v>
      </c>
      <c r="AD15" s="1019" t="s">
        <v>99</v>
      </c>
      <c r="AE15" s="965" t="s">
        <v>1550</v>
      </c>
      <c r="AF15" s="740" t="s">
        <v>1401</v>
      </c>
      <c r="AG15" s="968"/>
      <c r="AH15" s="740" t="str">
        <f t="shared" si="2"/>
        <v>2.3.2.02.02.0094599025.91114.</v>
      </c>
      <c r="AI15" s="827"/>
    </row>
    <row r="16" spans="1:114" s="4" customFormat="1" ht="165" hidden="1" x14ac:dyDescent="0.2">
      <c r="A16" s="939">
        <v>305</v>
      </c>
      <c r="B16" s="990" t="s">
        <v>1393</v>
      </c>
      <c r="C16" s="961">
        <v>4</v>
      </c>
      <c r="D16" s="961" t="s">
        <v>1386</v>
      </c>
      <c r="E16" s="1147" t="s">
        <v>1394</v>
      </c>
      <c r="F16" s="961">
        <v>6</v>
      </c>
      <c r="G16" s="961" t="s">
        <v>1395</v>
      </c>
      <c r="H16" s="1022" t="s">
        <v>1396</v>
      </c>
      <c r="I16" s="993">
        <v>36000000</v>
      </c>
      <c r="J16" s="998"/>
      <c r="K16" s="998"/>
      <c r="L16" s="998"/>
      <c r="M16" s="999"/>
      <c r="N16" s="961" t="s">
        <v>1397</v>
      </c>
      <c r="O16" s="1005"/>
      <c r="P16" s="998"/>
      <c r="Q16" s="998"/>
      <c r="R16" s="998"/>
      <c r="S16" s="998"/>
      <c r="T16" s="998"/>
      <c r="U16" s="961">
        <v>45</v>
      </c>
      <c r="V16" s="1006" t="s">
        <v>1302</v>
      </c>
      <c r="W16" s="1026">
        <v>4599</v>
      </c>
      <c r="X16" s="875" t="s">
        <v>84</v>
      </c>
      <c r="Y16" s="961">
        <v>45994</v>
      </c>
      <c r="Z16" s="1101" t="s">
        <v>1405</v>
      </c>
      <c r="AA16" s="792" t="s">
        <v>1553</v>
      </c>
      <c r="AB16" s="842" t="s">
        <v>103</v>
      </c>
      <c r="AC16" s="996" t="s">
        <v>105</v>
      </c>
      <c r="AD16" s="1019" t="s">
        <v>106</v>
      </c>
      <c r="AE16" s="965" t="s">
        <v>1550</v>
      </c>
      <c r="AF16" s="740" t="s">
        <v>1401</v>
      </c>
      <c r="AG16" s="968"/>
      <c r="AH16" s="740" t="str">
        <f t="shared" si="2"/>
        <v>2.3.2.02.02.0094599031.91114.</v>
      </c>
      <c r="AI16" s="827"/>
    </row>
    <row r="17" spans="1:35" s="4" customFormat="1" ht="102.75" hidden="1" customHeight="1" x14ac:dyDescent="0.2">
      <c r="A17" s="939">
        <v>305</v>
      </c>
      <c r="B17" s="990" t="s">
        <v>1393</v>
      </c>
      <c r="C17" s="961">
        <v>4</v>
      </c>
      <c r="D17" s="961" t="s">
        <v>1386</v>
      </c>
      <c r="E17" s="1147" t="s">
        <v>1394</v>
      </c>
      <c r="F17" s="961">
        <v>6</v>
      </c>
      <c r="G17" s="961" t="s">
        <v>1395</v>
      </c>
      <c r="H17" s="1022" t="s">
        <v>1396</v>
      </c>
      <c r="I17" s="993">
        <v>36000000</v>
      </c>
      <c r="J17" s="998"/>
      <c r="K17" s="998"/>
      <c r="L17" s="998"/>
      <c r="M17" s="999"/>
      <c r="N17" s="961" t="s">
        <v>1397</v>
      </c>
      <c r="O17" s="1005"/>
      <c r="P17" s="998"/>
      <c r="Q17" s="998"/>
      <c r="R17" s="998"/>
      <c r="S17" s="998"/>
      <c r="T17" s="998"/>
      <c r="U17" s="961">
        <v>45</v>
      </c>
      <c r="V17" s="1006" t="s">
        <v>1302</v>
      </c>
      <c r="W17" s="1026">
        <v>4599</v>
      </c>
      <c r="X17" s="875" t="s">
        <v>84</v>
      </c>
      <c r="Y17" s="961">
        <v>45994</v>
      </c>
      <c r="Z17" s="1101" t="s">
        <v>1405</v>
      </c>
      <c r="AA17" s="792" t="s">
        <v>1553</v>
      </c>
      <c r="AB17" s="842" t="s">
        <v>109</v>
      </c>
      <c r="AC17" s="996" t="s">
        <v>105</v>
      </c>
      <c r="AD17" s="1019" t="s">
        <v>106</v>
      </c>
      <c r="AE17" s="965" t="s">
        <v>1550</v>
      </c>
      <c r="AF17" s="740" t="s">
        <v>1401</v>
      </c>
      <c r="AG17" s="968"/>
      <c r="AH17" s="740" t="str">
        <f t="shared" si="2"/>
        <v>2.3.2.02.02.0094599031.91114.</v>
      </c>
      <c r="AI17" s="827"/>
    </row>
    <row r="18" spans="1:35" s="4" customFormat="1" ht="97.5" hidden="1" customHeight="1" x14ac:dyDescent="0.2">
      <c r="A18" s="939">
        <v>305</v>
      </c>
      <c r="B18" s="990" t="s">
        <v>1393</v>
      </c>
      <c r="C18" s="961">
        <v>4</v>
      </c>
      <c r="D18" s="961" t="s">
        <v>1386</v>
      </c>
      <c r="E18" s="1147" t="s">
        <v>1394</v>
      </c>
      <c r="F18" s="961">
        <v>6</v>
      </c>
      <c r="G18" s="961" t="s">
        <v>1395</v>
      </c>
      <c r="H18" s="1022" t="s">
        <v>1396</v>
      </c>
      <c r="I18" s="993">
        <v>36000000</v>
      </c>
      <c r="J18" s="998"/>
      <c r="K18" s="998"/>
      <c r="L18" s="998"/>
      <c r="M18" s="999"/>
      <c r="N18" s="961" t="s">
        <v>1397</v>
      </c>
      <c r="O18" s="1005"/>
      <c r="P18" s="998"/>
      <c r="Q18" s="998"/>
      <c r="R18" s="998"/>
      <c r="S18" s="998"/>
      <c r="T18" s="998"/>
      <c r="U18" s="961">
        <v>45</v>
      </c>
      <c r="V18" s="1006" t="s">
        <v>1302</v>
      </c>
      <c r="W18" s="1026">
        <v>4599</v>
      </c>
      <c r="X18" s="875" t="s">
        <v>84</v>
      </c>
      <c r="Y18" s="961">
        <v>45994</v>
      </c>
      <c r="Z18" s="1101" t="s">
        <v>1405</v>
      </c>
      <c r="AA18" s="792" t="s">
        <v>1553</v>
      </c>
      <c r="AB18" s="842" t="s">
        <v>111</v>
      </c>
      <c r="AC18" s="996" t="s">
        <v>105</v>
      </c>
      <c r="AD18" s="1019" t="s">
        <v>106</v>
      </c>
      <c r="AE18" s="965" t="s">
        <v>1550</v>
      </c>
      <c r="AF18" s="740" t="s">
        <v>1401</v>
      </c>
      <c r="AG18" s="968"/>
      <c r="AH18" s="740" t="str">
        <f t="shared" si="2"/>
        <v>2.3.2.02.02.0094599031.91114.</v>
      </c>
      <c r="AI18" s="827"/>
    </row>
    <row r="19" spans="1:35" s="4" customFormat="1" ht="165" hidden="1" x14ac:dyDescent="0.2">
      <c r="A19" s="939">
        <v>305</v>
      </c>
      <c r="B19" s="990" t="s">
        <v>1393</v>
      </c>
      <c r="C19" s="961">
        <v>4</v>
      </c>
      <c r="D19" s="961" t="s">
        <v>1386</v>
      </c>
      <c r="E19" s="1147" t="s">
        <v>1394</v>
      </c>
      <c r="F19" s="961">
        <v>6</v>
      </c>
      <c r="G19" s="961" t="s">
        <v>1395</v>
      </c>
      <c r="H19" s="1022" t="s">
        <v>1396</v>
      </c>
      <c r="I19" s="993">
        <v>60000000</v>
      </c>
      <c r="J19" s="961" t="s">
        <v>1406</v>
      </c>
      <c r="K19" s="998"/>
      <c r="L19" s="998"/>
      <c r="M19" s="999"/>
      <c r="N19" s="961" t="s">
        <v>1397</v>
      </c>
      <c r="O19" s="1005"/>
      <c r="P19" s="998"/>
      <c r="Q19" s="998"/>
      <c r="R19" s="998"/>
      <c r="S19" s="998"/>
      <c r="T19" s="998"/>
      <c r="U19" s="961">
        <v>45</v>
      </c>
      <c r="V19" s="1006" t="s">
        <v>1302</v>
      </c>
      <c r="W19" s="1026">
        <v>4599</v>
      </c>
      <c r="X19" s="875" t="s">
        <v>84</v>
      </c>
      <c r="Y19" s="961">
        <v>45994</v>
      </c>
      <c r="Z19" s="1101" t="s">
        <v>1407</v>
      </c>
      <c r="AA19" s="792" t="s">
        <v>1553</v>
      </c>
      <c r="AB19" s="842" t="s">
        <v>112</v>
      </c>
      <c r="AC19" s="996" t="s">
        <v>105</v>
      </c>
      <c r="AD19" s="1019" t="s">
        <v>106</v>
      </c>
      <c r="AE19" s="965" t="s">
        <v>1550</v>
      </c>
      <c r="AF19" s="740" t="s">
        <v>1401</v>
      </c>
      <c r="AG19" s="968"/>
      <c r="AH19" s="740" t="str">
        <f t="shared" si="2"/>
        <v>2.3.2.02.02.0094599031.91114.</v>
      </c>
      <c r="AI19" s="827"/>
    </row>
    <row r="20" spans="1:35" s="4" customFormat="1" ht="120" hidden="1" customHeight="1" x14ac:dyDescent="0.2">
      <c r="A20" s="939">
        <v>305</v>
      </c>
      <c r="B20" s="990" t="s">
        <v>1393</v>
      </c>
      <c r="C20" s="961">
        <v>4</v>
      </c>
      <c r="D20" s="961" t="s">
        <v>1386</v>
      </c>
      <c r="E20" s="1147" t="s">
        <v>1394</v>
      </c>
      <c r="F20" s="961">
        <v>6</v>
      </c>
      <c r="G20" s="961" t="s">
        <v>1395</v>
      </c>
      <c r="H20" s="1022" t="s">
        <v>1396</v>
      </c>
      <c r="I20" s="993">
        <v>36000000</v>
      </c>
      <c r="J20" s="998"/>
      <c r="K20" s="998"/>
      <c r="L20" s="998"/>
      <c r="M20" s="999"/>
      <c r="N20" s="961" t="s">
        <v>1397</v>
      </c>
      <c r="O20" s="1005"/>
      <c r="P20" s="998"/>
      <c r="Q20" s="998"/>
      <c r="R20" s="998"/>
      <c r="S20" s="998"/>
      <c r="T20" s="998"/>
      <c r="U20" s="961">
        <v>45</v>
      </c>
      <c r="V20" s="1006" t="s">
        <v>1302</v>
      </c>
      <c r="W20" s="1026">
        <v>4599</v>
      </c>
      <c r="X20" s="875" t="s">
        <v>84</v>
      </c>
      <c r="Y20" s="961">
        <v>45994</v>
      </c>
      <c r="Z20" s="1101" t="s">
        <v>1407</v>
      </c>
      <c r="AA20" s="792" t="s">
        <v>1553</v>
      </c>
      <c r="AB20" s="842" t="s">
        <v>114</v>
      </c>
      <c r="AC20" s="996" t="s">
        <v>105</v>
      </c>
      <c r="AD20" s="1019" t="s">
        <v>106</v>
      </c>
      <c r="AE20" s="965" t="s">
        <v>1550</v>
      </c>
      <c r="AF20" s="740" t="s">
        <v>1401</v>
      </c>
      <c r="AG20" s="968"/>
      <c r="AH20" s="740" t="str">
        <f t="shared" si="2"/>
        <v>2.3.2.02.02.0094599031.91114.</v>
      </c>
      <c r="AI20" s="827"/>
    </row>
    <row r="21" spans="1:35" s="4" customFormat="1" ht="84" hidden="1" customHeight="1" x14ac:dyDescent="0.2">
      <c r="A21" s="939">
        <v>305</v>
      </c>
      <c r="B21" s="990" t="s">
        <v>1393</v>
      </c>
      <c r="C21" s="961">
        <v>4</v>
      </c>
      <c r="D21" s="961" t="s">
        <v>1386</v>
      </c>
      <c r="E21" s="1147" t="s">
        <v>1394</v>
      </c>
      <c r="F21" s="961">
        <v>6</v>
      </c>
      <c r="G21" s="961" t="s">
        <v>1395</v>
      </c>
      <c r="H21" s="1022" t="s">
        <v>1396</v>
      </c>
      <c r="I21" s="993">
        <v>36000000</v>
      </c>
      <c r="J21" s="961" t="s">
        <v>1406</v>
      </c>
      <c r="K21" s="998"/>
      <c r="L21" s="998"/>
      <c r="M21" s="999"/>
      <c r="N21" s="961" t="s">
        <v>1397</v>
      </c>
      <c r="O21" s="1005"/>
      <c r="P21" s="998"/>
      <c r="Q21" s="998"/>
      <c r="R21" s="998"/>
      <c r="S21" s="998"/>
      <c r="T21" s="998"/>
      <c r="U21" s="961">
        <v>45</v>
      </c>
      <c r="V21" s="1006" t="s">
        <v>1302</v>
      </c>
      <c r="W21" s="1026">
        <v>4599</v>
      </c>
      <c r="X21" s="875" t="s">
        <v>84</v>
      </c>
      <c r="Y21" s="961">
        <v>45994</v>
      </c>
      <c r="Z21" s="1101" t="s">
        <v>1407</v>
      </c>
      <c r="AA21" s="792" t="s">
        <v>1553</v>
      </c>
      <c r="AB21" s="842" t="s">
        <v>115</v>
      </c>
      <c r="AC21" s="996" t="s">
        <v>105</v>
      </c>
      <c r="AD21" s="1019" t="s">
        <v>106</v>
      </c>
      <c r="AE21" s="965" t="s">
        <v>1550</v>
      </c>
      <c r="AF21" s="740" t="s">
        <v>1401</v>
      </c>
      <c r="AG21" s="968"/>
      <c r="AH21" s="740" t="str">
        <f t="shared" si="2"/>
        <v>2.3.2.02.02.0094599031.91114.</v>
      </c>
      <c r="AI21" s="827"/>
    </row>
    <row r="22" spans="1:35" s="4" customFormat="1" ht="225" hidden="1" x14ac:dyDescent="0.2">
      <c r="A22" s="939">
        <v>305</v>
      </c>
      <c r="B22" s="990" t="s">
        <v>1393</v>
      </c>
      <c r="C22" s="961">
        <v>4</v>
      </c>
      <c r="D22" s="961" t="s">
        <v>1386</v>
      </c>
      <c r="E22" s="1147" t="s">
        <v>1394</v>
      </c>
      <c r="F22" s="961">
        <v>6</v>
      </c>
      <c r="G22" s="961" t="s">
        <v>1395</v>
      </c>
      <c r="H22" s="1022" t="s">
        <v>1396</v>
      </c>
      <c r="I22" s="993">
        <v>72000000</v>
      </c>
      <c r="J22" s="998"/>
      <c r="K22" s="998"/>
      <c r="L22" s="998"/>
      <c r="M22" s="999"/>
      <c r="N22" s="961" t="s">
        <v>1397</v>
      </c>
      <c r="O22" s="1005"/>
      <c r="P22" s="998"/>
      <c r="Q22" s="998"/>
      <c r="R22" s="998"/>
      <c r="S22" s="998"/>
      <c r="T22" s="998"/>
      <c r="U22" s="961">
        <v>45</v>
      </c>
      <c r="V22" s="1006" t="s">
        <v>1302</v>
      </c>
      <c r="W22" s="1026">
        <v>4599</v>
      </c>
      <c r="X22" s="875" t="s">
        <v>84</v>
      </c>
      <c r="Y22" s="961">
        <v>45991</v>
      </c>
      <c r="Z22" s="1101" t="s">
        <v>1387</v>
      </c>
      <c r="AA22" s="792" t="s">
        <v>1539</v>
      </c>
      <c r="AB22" s="842" t="s">
        <v>43</v>
      </c>
      <c r="AC22" s="1028" t="s">
        <v>116</v>
      </c>
      <c r="AD22" s="1007" t="s">
        <v>117</v>
      </c>
      <c r="AE22" s="965" t="s">
        <v>1549</v>
      </c>
      <c r="AF22" s="740" t="s">
        <v>1389</v>
      </c>
      <c r="AG22" s="968"/>
      <c r="AH22" s="740" t="str">
        <f t="shared" si="2"/>
        <v>2.3.2.02.02.0094599023.91119.</v>
      </c>
      <c r="AI22" s="827"/>
    </row>
    <row r="23" spans="1:35" s="4" customFormat="1" ht="225" hidden="1" x14ac:dyDescent="0.2">
      <c r="A23" s="939">
        <v>307</v>
      </c>
      <c r="B23" s="990" t="s">
        <v>1408</v>
      </c>
      <c r="C23" s="961">
        <v>4</v>
      </c>
      <c r="D23" s="961" t="s">
        <v>1386</v>
      </c>
      <c r="E23" s="1147"/>
      <c r="F23" s="961"/>
      <c r="G23" s="961"/>
      <c r="H23" s="1022"/>
      <c r="I23" s="993"/>
      <c r="J23" s="961" t="s">
        <v>1402</v>
      </c>
      <c r="K23" s="998"/>
      <c r="L23" s="998"/>
      <c r="M23" s="999"/>
      <c r="N23" s="997" t="s">
        <v>1397</v>
      </c>
      <c r="O23" s="1005"/>
      <c r="P23" s="998"/>
      <c r="Q23" s="998"/>
      <c r="R23" s="998"/>
      <c r="S23" s="998"/>
      <c r="T23" s="998"/>
      <c r="U23" s="961">
        <v>45</v>
      </c>
      <c r="V23" s="1006" t="s">
        <v>1302</v>
      </c>
      <c r="W23" s="1026">
        <v>4599</v>
      </c>
      <c r="X23" s="875" t="s">
        <v>84</v>
      </c>
      <c r="Y23" s="961">
        <v>45991</v>
      </c>
      <c r="Z23" s="1101" t="s">
        <v>1387</v>
      </c>
      <c r="AA23" s="792" t="s">
        <v>1644</v>
      </c>
      <c r="AB23" s="1029" t="s">
        <v>121</v>
      </c>
      <c r="AC23" s="996" t="s">
        <v>123</v>
      </c>
      <c r="AD23" s="842" t="s">
        <v>124</v>
      </c>
      <c r="AE23" s="965" t="s">
        <v>1409</v>
      </c>
      <c r="AF23" s="740" t="s">
        <v>1410</v>
      </c>
      <c r="AG23" s="874"/>
      <c r="AH23" s="740" t="str">
        <f t="shared" si="2"/>
        <v>4599002.91113</v>
      </c>
      <c r="AI23" s="827"/>
    </row>
    <row r="24" spans="1:35" s="4" customFormat="1" ht="225" hidden="1" x14ac:dyDescent="0.2">
      <c r="A24" s="939">
        <v>307</v>
      </c>
      <c r="B24" s="990" t="s">
        <v>1408</v>
      </c>
      <c r="C24" s="961">
        <v>4</v>
      </c>
      <c r="D24" s="961" t="s">
        <v>1386</v>
      </c>
      <c r="E24" s="1147"/>
      <c r="F24" s="961"/>
      <c r="G24" s="961"/>
      <c r="H24" s="1022"/>
      <c r="I24" s="993"/>
      <c r="J24" s="998"/>
      <c r="K24" s="998"/>
      <c r="L24" s="998"/>
      <c r="M24" s="999"/>
      <c r="N24" s="997" t="s">
        <v>1397</v>
      </c>
      <c r="O24" s="1005"/>
      <c r="P24" s="998"/>
      <c r="Q24" s="998"/>
      <c r="R24" s="998"/>
      <c r="S24" s="998"/>
      <c r="T24" s="998"/>
      <c r="U24" s="961">
        <v>45</v>
      </c>
      <c r="V24" s="1006" t="s">
        <v>1302</v>
      </c>
      <c r="W24" s="1026">
        <v>4599</v>
      </c>
      <c r="X24" s="875" t="s">
        <v>84</v>
      </c>
      <c r="Y24" s="961">
        <v>45991</v>
      </c>
      <c r="Z24" s="1101" t="s">
        <v>1387</v>
      </c>
      <c r="AA24" s="792" t="s">
        <v>1644</v>
      </c>
      <c r="AB24" s="1029" t="s">
        <v>128</v>
      </c>
      <c r="AC24" s="996" t="s">
        <v>130</v>
      </c>
      <c r="AD24" s="842" t="s">
        <v>131</v>
      </c>
      <c r="AE24" s="965" t="s">
        <v>1409</v>
      </c>
      <c r="AF24" s="740" t="s">
        <v>1410</v>
      </c>
      <c r="AG24" s="874"/>
      <c r="AH24" s="740" t="str">
        <f t="shared" si="2"/>
        <v>4599002.91113</v>
      </c>
      <c r="AI24" s="827"/>
    </row>
    <row r="25" spans="1:35" s="4" customFormat="1" ht="119.25" hidden="1" customHeight="1" x14ac:dyDescent="0.2">
      <c r="A25" s="931">
        <v>308</v>
      </c>
      <c r="B25" s="990" t="s">
        <v>1411</v>
      </c>
      <c r="C25" s="792">
        <v>1</v>
      </c>
      <c r="D25" s="991" t="s">
        <v>1412</v>
      </c>
      <c r="E25" s="1000" t="s">
        <v>1545</v>
      </c>
      <c r="F25" s="792">
        <v>6</v>
      </c>
      <c r="G25" s="792" t="s">
        <v>1395</v>
      </c>
      <c r="H25" s="992" t="s">
        <v>1547</v>
      </c>
      <c r="I25" s="993">
        <v>23750000</v>
      </c>
      <c r="J25" s="998"/>
      <c r="K25" s="998"/>
      <c r="L25" s="998"/>
      <c r="M25" s="999">
        <v>20</v>
      </c>
      <c r="N25" s="961" t="s">
        <v>1538</v>
      </c>
      <c r="O25" s="1012"/>
      <c r="P25" s="1012"/>
      <c r="Q25" s="1012"/>
      <c r="R25" s="1012"/>
      <c r="S25" s="1012"/>
      <c r="T25" s="1012"/>
      <c r="U25" s="961">
        <v>12</v>
      </c>
      <c r="V25" s="1018" t="s">
        <v>1303</v>
      </c>
      <c r="W25" s="1030" t="s">
        <v>1413</v>
      </c>
      <c r="X25" s="875" t="s">
        <v>135</v>
      </c>
      <c r="Y25" s="955" t="s">
        <v>41</v>
      </c>
      <c r="Z25" s="1107" t="s">
        <v>1414</v>
      </c>
      <c r="AA25" s="786" t="s">
        <v>1555</v>
      </c>
      <c r="AB25" s="1009" t="s">
        <v>138</v>
      </c>
      <c r="AC25" s="996" t="s">
        <v>140</v>
      </c>
      <c r="AD25" s="842" t="s">
        <v>141</v>
      </c>
      <c r="AE25" s="872" t="s">
        <v>1554</v>
      </c>
      <c r="AF25" s="873" t="s">
        <v>1546</v>
      </c>
      <c r="AG25" s="874"/>
      <c r="AH25" s="1186" t="str">
        <f>CONCATENATE(E25,AA25,AE25)</f>
        <v>2.3.2.02.02.005.DNP.54129.</v>
      </c>
      <c r="AI25" s="1031" t="s">
        <v>1415</v>
      </c>
    </row>
    <row r="26" spans="1:35" s="4" customFormat="1" ht="122.25" hidden="1" customHeight="1" x14ac:dyDescent="0.2">
      <c r="A26" s="931">
        <v>308</v>
      </c>
      <c r="B26" s="990" t="s">
        <v>1411</v>
      </c>
      <c r="C26" s="792">
        <v>1</v>
      </c>
      <c r="D26" s="991" t="s">
        <v>1412</v>
      </c>
      <c r="E26" s="1000" t="s">
        <v>1545</v>
      </c>
      <c r="F26" s="792">
        <v>6</v>
      </c>
      <c r="G26" s="792" t="s">
        <v>1395</v>
      </c>
      <c r="H26" s="992" t="s">
        <v>1547</v>
      </c>
      <c r="I26" s="993">
        <v>38000000</v>
      </c>
      <c r="J26" s="998"/>
      <c r="K26" s="998"/>
      <c r="L26" s="998"/>
      <c r="M26" s="999">
        <v>20</v>
      </c>
      <c r="N26" s="961" t="s">
        <v>1538</v>
      </c>
      <c r="O26" s="1001"/>
      <c r="P26" s="1002"/>
      <c r="Q26" s="1002"/>
      <c r="R26" s="1002"/>
      <c r="S26" s="1002"/>
      <c r="T26" s="1002"/>
      <c r="U26" s="792">
        <v>19</v>
      </c>
      <c r="V26" s="991" t="s">
        <v>1304</v>
      </c>
      <c r="W26" s="1030">
        <v>1906</v>
      </c>
      <c r="X26" s="875" t="s">
        <v>145</v>
      </c>
      <c r="Y26" s="961">
        <v>19063</v>
      </c>
      <c r="Z26" s="1101" t="s">
        <v>1416</v>
      </c>
      <c r="AA26" s="792" t="s">
        <v>1556</v>
      </c>
      <c r="AB26" s="1009" t="s">
        <v>147</v>
      </c>
      <c r="AC26" s="996" t="s">
        <v>149</v>
      </c>
      <c r="AD26" s="1007" t="s">
        <v>150</v>
      </c>
      <c r="AE26" s="872" t="s">
        <v>1554</v>
      </c>
      <c r="AF26" s="873" t="s">
        <v>1546</v>
      </c>
      <c r="AG26" s="968"/>
      <c r="AH26" s="873" t="str">
        <f t="shared" ref="AH26:AH131" si="3">CONCATENATE(E26,AA26,AE26)</f>
        <v>2.3.2.02.02.005.1906015.54129.</v>
      </c>
      <c r="AI26" s="1031" t="s">
        <v>1417</v>
      </c>
    </row>
    <row r="27" spans="1:35" s="4" customFormat="1" ht="94.5" hidden="1" customHeight="1" x14ac:dyDescent="0.2">
      <c r="A27" s="931">
        <v>308</v>
      </c>
      <c r="B27" s="990" t="s">
        <v>1411</v>
      </c>
      <c r="C27" s="792">
        <v>1</v>
      </c>
      <c r="D27" s="991" t="s">
        <v>1412</v>
      </c>
      <c r="E27" s="1000" t="s">
        <v>1545</v>
      </c>
      <c r="F27" s="792">
        <v>6</v>
      </c>
      <c r="G27" s="792" t="s">
        <v>1395</v>
      </c>
      <c r="H27" s="992" t="s">
        <v>1547</v>
      </c>
      <c r="I27" s="993">
        <v>2083257220</v>
      </c>
      <c r="J27" s="998"/>
      <c r="K27" s="998"/>
      <c r="L27" s="998"/>
      <c r="M27" s="994" t="s">
        <v>1558</v>
      </c>
      <c r="N27" s="961" t="s">
        <v>1557</v>
      </c>
      <c r="O27" s="1012"/>
      <c r="P27" s="1012"/>
      <c r="Q27" s="1012"/>
      <c r="R27" s="1012"/>
      <c r="S27" s="1012"/>
      <c r="T27" s="1012"/>
      <c r="U27" s="1015">
        <v>22</v>
      </c>
      <c r="V27" s="1018" t="s">
        <v>266</v>
      </c>
      <c r="W27" s="1030" t="s">
        <v>1418</v>
      </c>
      <c r="X27" s="875" t="s">
        <v>152</v>
      </c>
      <c r="Y27" s="1030">
        <v>22015</v>
      </c>
      <c r="Z27" s="1101" t="s">
        <v>1419</v>
      </c>
      <c r="AA27" s="792" t="s">
        <v>1559</v>
      </c>
      <c r="AB27" s="842" t="s">
        <v>154</v>
      </c>
      <c r="AC27" s="996" t="s">
        <v>156</v>
      </c>
      <c r="AD27" s="1007" t="s">
        <v>157</v>
      </c>
      <c r="AE27" s="872" t="s">
        <v>1554</v>
      </c>
      <c r="AF27" s="873" t="s">
        <v>1546</v>
      </c>
      <c r="AG27" s="968"/>
      <c r="AH27" s="873" t="str">
        <f t="shared" si="3"/>
        <v>2.3.2.02.02.005.2201062.54129.</v>
      </c>
      <c r="AI27" s="827"/>
    </row>
    <row r="28" spans="1:35" s="4" customFormat="1" ht="90" hidden="1" x14ac:dyDescent="0.2">
      <c r="A28" s="931">
        <v>308</v>
      </c>
      <c r="B28" s="990" t="s">
        <v>1411</v>
      </c>
      <c r="C28" s="792">
        <v>1</v>
      </c>
      <c r="D28" s="991" t="s">
        <v>1412</v>
      </c>
      <c r="E28" s="1000" t="s">
        <v>1545</v>
      </c>
      <c r="F28" s="792">
        <v>6</v>
      </c>
      <c r="G28" s="792" t="s">
        <v>1395</v>
      </c>
      <c r="H28" s="992" t="s">
        <v>1547</v>
      </c>
      <c r="I28" s="993">
        <v>30000000</v>
      </c>
      <c r="J28" s="998"/>
      <c r="K28" s="998"/>
      <c r="L28" s="998"/>
      <c r="M28" s="961">
        <v>20</v>
      </c>
      <c r="N28" s="961" t="s">
        <v>1538</v>
      </c>
      <c r="O28" s="1012"/>
      <c r="P28" s="1012"/>
      <c r="Q28" s="1012"/>
      <c r="R28" s="1012"/>
      <c r="S28" s="1012"/>
      <c r="T28" s="1012"/>
      <c r="U28" s="1015">
        <v>33</v>
      </c>
      <c r="V28" s="1018" t="s">
        <v>1305</v>
      </c>
      <c r="W28" s="1030">
        <v>3301</v>
      </c>
      <c r="X28" s="875" t="s">
        <v>159</v>
      </c>
      <c r="Y28" s="1030">
        <v>33014</v>
      </c>
      <c r="Z28" s="1108" t="s">
        <v>1420</v>
      </c>
      <c r="AA28" s="792" t="s">
        <v>1645</v>
      </c>
      <c r="AB28" s="842" t="s">
        <v>162</v>
      </c>
      <c r="AC28" s="996" t="s">
        <v>165</v>
      </c>
      <c r="AD28" s="1007" t="s">
        <v>166</v>
      </c>
      <c r="AE28" s="872" t="s">
        <v>1554</v>
      </c>
      <c r="AF28" s="873" t="s">
        <v>1546</v>
      </c>
      <c r="AG28" s="968"/>
      <c r="AH28" s="873" t="str">
        <f t="shared" si="3"/>
        <v>2.3.2.02.02.005.3301068.54129.</v>
      </c>
      <c r="AI28" s="827"/>
    </row>
    <row r="29" spans="1:35" s="4" customFormat="1" ht="180" hidden="1" x14ac:dyDescent="0.2">
      <c r="A29" s="931">
        <v>308</v>
      </c>
      <c r="B29" s="990" t="s">
        <v>1411</v>
      </c>
      <c r="C29" s="792">
        <v>1</v>
      </c>
      <c r="D29" s="991" t="s">
        <v>1412</v>
      </c>
      <c r="E29" s="1000" t="s">
        <v>1545</v>
      </c>
      <c r="F29" s="792">
        <v>6</v>
      </c>
      <c r="G29" s="792" t="s">
        <v>1395</v>
      </c>
      <c r="H29" s="992" t="s">
        <v>1547</v>
      </c>
      <c r="I29" s="993">
        <v>1836073375</v>
      </c>
      <c r="J29" s="998"/>
      <c r="K29" s="998"/>
      <c r="L29" s="998"/>
      <c r="M29" s="994" t="s">
        <v>1558</v>
      </c>
      <c r="N29" s="961" t="s">
        <v>1557</v>
      </c>
      <c r="O29" s="1012"/>
      <c r="P29" s="1012"/>
      <c r="Q29" s="1012"/>
      <c r="R29" s="1012"/>
      <c r="S29" s="1012"/>
      <c r="T29" s="1012"/>
      <c r="U29" s="1015">
        <v>43</v>
      </c>
      <c r="V29" s="1032" t="s">
        <v>1306</v>
      </c>
      <c r="W29" s="1030">
        <v>4301</v>
      </c>
      <c r="X29" s="1100" t="s">
        <v>168</v>
      </c>
      <c r="Y29" s="1030">
        <v>43012</v>
      </c>
      <c r="Z29" s="1108" t="s">
        <v>1421</v>
      </c>
      <c r="AA29" s="792" t="s">
        <v>1560</v>
      </c>
      <c r="AB29" s="1009" t="s">
        <v>170</v>
      </c>
      <c r="AC29" s="996" t="s">
        <v>172</v>
      </c>
      <c r="AD29" s="1007" t="s">
        <v>173</v>
      </c>
      <c r="AE29" s="872" t="s">
        <v>1554</v>
      </c>
      <c r="AF29" s="873" t="s">
        <v>1546</v>
      </c>
      <c r="AG29" s="968"/>
      <c r="AH29" s="873" t="str">
        <f t="shared" si="3"/>
        <v>2.3.2.02.02.005.4301004.54129.</v>
      </c>
      <c r="AI29" s="827"/>
    </row>
    <row r="30" spans="1:35" s="4" customFormat="1" ht="120" hidden="1" x14ac:dyDescent="0.2">
      <c r="A30" s="931">
        <v>308</v>
      </c>
      <c r="B30" s="990" t="s">
        <v>1411</v>
      </c>
      <c r="C30" s="792">
        <v>3</v>
      </c>
      <c r="D30" s="991" t="s">
        <v>1422</v>
      </c>
      <c r="E30" s="1000" t="s">
        <v>1545</v>
      </c>
      <c r="F30" s="792">
        <v>6</v>
      </c>
      <c r="G30" s="792" t="s">
        <v>1395</v>
      </c>
      <c r="H30" s="992" t="s">
        <v>1547</v>
      </c>
      <c r="I30" s="993">
        <v>100000000</v>
      </c>
      <c r="J30" s="998"/>
      <c r="K30" s="998"/>
      <c r="L30" s="998"/>
      <c r="M30" s="961">
        <v>20</v>
      </c>
      <c r="N30" s="961" t="s">
        <v>1538</v>
      </c>
      <c r="O30" s="1012"/>
      <c r="P30" s="1012"/>
      <c r="Q30" s="1012"/>
      <c r="R30" s="1012"/>
      <c r="S30" s="1012"/>
      <c r="T30" s="1012"/>
      <c r="U30" s="1015">
        <v>24</v>
      </c>
      <c r="V30" s="1018" t="s">
        <v>180</v>
      </c>
      <c r="W30" s="792">
        <v>2402</v>
      </c>
      <c r="X30" s="1100" t="s">
        <v>176</v>
      </c>
      <c r="Y30" s="792">
        <v>24021</v>
      </c>
      <c r="Z30" s="1108" t="s">
        <v>1423</v>
      </c>
      <c r="AA30" s="792" t="s">
        <v>1563</v>
      </c>
      <c r="AB30" s="1009" t="s">
        <v>178</v>
      </c>
      <c r="AC30" s="996" t="s">
        <v>181</v>
      </c>
      <c r="AD30" s="1019" t="s">
        <v>182</v>
      </c>
      <c r="AE30" s="965" t="s">
        <v>1562</v>
      </c>
      <c r="AF30" s="966" t="s">
        <v>1561</v>
      </c>
      <c r="AG30" s="1033"/>
      <c r="AH30" s="873" t="str">
        <f t="shared" si="3"/>
        <v>2.3.2.02.02.005.2402022.54221.</v>
      </c>
      <c r="AI30" s="827"/>
    </row>
    <row r="31" spans="1:35" s="4" customFormat="1" ht="105" hidden="1" x14ac:dyDescent="0.2">
      <c r="A31" s="931">
        <v>308</v>
      </c>
      <c r="B31" s="990" t="s">
        <v>1411</v>
      </c>
      <c r="C31" s="792">
        <v>3</v>
      </c>
      <c r="D31" s="991" t="s">
        <v>1422</v>
      </c>
      <c r="E31" s="1000" t="s">
        <v>1545</v>
      </c>
      <c r="F31" s="792">
        <v>6</v>
      </c>
      <c r="G31" s="792" t="s">
        <v>1395</v>
      </c>
      <c r="H31" s="992" t="s">
        <v>1547</v>
      </c>
      <c r="I31" s="993">
        <v>250000000</v>
      </c>
      <c r="J31" s="998"/>
      <c r="K31" s="998"/>
      <c r="L31" s="998"/>
      <c r="M31" s="961">
        <v>20</v>
      </c>
      <c r="N31" s="961" t="s">
        <v>1538</v>
      </c>
      <c r="O31" s="1012"/>
      <c r="P31" s="1012"/>
      <c r="Q31" s="1012"/>
      <c r="R31" s="1012"/>
      <c r="S31" s="1012"/>
      <c r="T31" s="1012"/>
      <c r="U31" s="1015">
        <v>24</v>
      </c>
      <c r="V31" s="1018" t="s">
        <v>180</v>
      </c>
      <c r="W31" s="792">
        <v>2402</v>
      </c>
      <c r="X31" s="1100" t="s">
        <v>176</v>
      </c>
      <c r="Y31" s="792">
        <v>24022</v>
      </c>
      <c r="Z31" s="1101" t="s">
        <v>1843</v>
      </c>
      <c r="AA31" s="995" t="s">
        <v>1566</v>
      </c>
      <c r="AB31" s="1009" t="s">
        <v>184</v>
      </c>
      <c r="AC31" s="996" t="s">
        <v>181</v>
      </c>
      <c r="AD31" s="1019" t="s">
        <v>182</v>
      </c>
      <c r="AE31" s="965" t="s">
        <v>1565</v>
      </c>
      <c r="AF31" s="966" t="s">
        <v>1564</v>
      </c>
      <c r="AG31" s="1033"/>
      <c r="AH31" s="873" t="str">
        <f t="shared" si="3"/>
        <v>2.3.2.02.02.005.2402041.54211.</v>
      </c>
      <c r="AI31" s="1031" t="s">
        <v>1424</v>
      </c>
    </row>
    <row r="32" spans="1:35" s="4" customFormat="1" ht="75" hidden="1" x14ac:dyDescent="0.2">
      <c r="A32" s="931">
        <v>308</v>
      </c>
      <c r="B32" s="990" t="s">
        <v>1411</v>
      </c>
      <c r="C32" s="792">
        <v>3</v>
      </c>
      <c r="D32" s="991" t="s">
        <v>1422</v>
      </c>
      <c r="E32" s="1000" t="s">
        <v>1394</v>
      </c>
      <c r="F32" s="792">
        <v>6</v>
      </c>
      <c r="G32" s="792" t="s">
        <v>1395</v>
      </c>
      <c r="H32" s="992" t="s">
        <v>1537</v>
      </c>
      <c r="I32" s="993">
        <v>40000000</v>
      </c>
      <c r="J32" s="998"/>
      <c r="K32" s="998"/>
      <c r="L32" s="998"/>
      <c r="M32" s="961">
        <v>20</v>
      </c>
      <c r="N32" s="961" t="s">
        <v>1538</v>
      </c>
      <c r="O32" s="1012"/>
      <c r="P32" s="1012"/>
      <c r="Q32" s="1012"/>
      <c r="R32" s="1012"/>
      <c r="S32" s="1012"/>
      <c r="T32" s="1012"/>
      <c r="U32" s="1015">
        <v>24</v>
      </c>
      <c r="V32" s="1018" t="s">
        <v>180</v>
      </c>
      <c r="W32" s="792">
        <v>2402</v>
      </c>
      <c r="X32" s="1100" t="s">
        <v>176</v>
      </c>
      <c r="Y32" s="792">
        <v>24021</v>
      </c>
      <c r="Z32" s="1101" t="s">
        <v>1844</v>
      </c>
      <c r="AA32" s="167" t="s">
        <v>1570</v>
      </c>
      <c r="AB32" s="842" t="s">
        <v>186</v>
      </c>
      <c r="AC32" s="996" t="s">
        <v>188</v>
      </c>
      <c r="AD32" s="1019" t="s">
        <v>189</v>
      </c>
      <c r="AE32" s="965">
        <v>91134</v>
      </c>
      <c r="AF32" s="966" t="s">
        <v>1567</v>
      </c>
      <c r="AG32" s="1033"/>
      <c r="AH32" s="873" t="str">
        <f>CONCATENATE(E32,AA32,AE31)</f>
        <v>2.3.2.02.02.0092402118.54211.</v>
      </c>
      <c r="AI32" s="827"/>
    </row>
    <row r="33" spans="1:114" s="936" customFormat="1" ht="210" hidden="1" x14ac:dyDescent="0.2">
      <c r="A33" s="931">
        <v>308</v>
      </c>
      <c r="B33" s="990" t="s">
        <v>1411</v>
      </c>
      <c r="C33" s="792">
        <v>3</v>
      </c>
      <c r="D33" s="991" t="s">
        <v>1422</v>
      </c>
      <c r="E33" s="1000" t="s">
        <v>1545</v>
      </c>
      <c r="F33" s="792">
        <v>6</v>
      </c>
      <c r="G33" s="792" t="s">
        <v>1395</v>
      </c>
      <c r="H33" s="992" t="s">
        <v>1547</v>
      </c>
      <c r="I33" s="993">
        <v>100000000</v>
      </c>
      <c r="J33" s="998"/>
      <c r="K33" s="998"/>
      <c r="L33" s="998"/>
      <c r="M33" s="961">
        <v>20</v>
      </c>
      <c r="N33" s="961" t="s">
        <v>1538</v>
      </c>
      <c r="O33" s="1012"/>
      <c r="P33" s="1012"/>
      <c r="Q33" s="1012"/>
      <c r="R33" s="1012"/>
      <c r="S33" s="1012"/>
      <c r="T33" s="1012"/>
      <c r="U33" s="1038">
        <v>32</v>
      </c>
      <c r="V33" s="1039" t="s">
        <v>1307</v>
      </c>
      <c r="W33" s="792">
        <v>3205</v>
      </c>
      <c r="X33" s="964" t="s">
        <v>191</v>
      </c>
      <c r="Y33" s="792">
        <v>32051</v>
      </c>
      <c r="Z33" s="1101" t="s">
        <v>1425</v>
      </c>
      <c r="AA33" s="826" t="s">
        <v>1569</v>
      </c>
      <c r="AB33" s="842" t="s">
        <v>193</v>
      </c>
      <c r="AC33" s="996" t="s">
        <v>196</v>
      </c>
      <c r="AD33" s="1007" t="s">
        <v>197</v>
      </c>
      <c r="AE33" s="965">
        <v>53211</v>
      </c>
      <c r="AF33" s="966" t="s">
        <v>1568</v>
      </c>
      <c r="AG33" s="968"/>
      <c r="AH33" s="873" t="str">
        <f t="shared" si="3"/>
        <v>2.3.2.02.02.005.3205010.53211</v>
      </c>
      <c r="AI33" s="827"/>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row>
    <row r="34" spans="1:114" s="936" customFormat="1" ht="210" hidden="1" x14ac:dyDescent="0.2">
      <c r="A34" s="931">
        <v>308</v>
      </c>
      <c r="B34" s="990" t="s">
        <v>1411</v>
      </c>
      <c r="C34" s="792">
        <v>3</v>
      </c>
      <c r="D34" s="991" t="s">
        <v>1422</v>
      </c>
      <c r="E34" s="1000" t="s">
        <v>1545</v>
      </c>
      <c r="F34" s="792">
        <v>6</v>
      </c>
      <c r="G34" s="792" t="s">
        <v>1395</v>
      </c>
      <c r="H34" s="992" t="s">
        <v>1547</v>
      </c>
      <c r="I34" s="993">
        <v>100000000</v>
      </c>
      <c r="J34" s="998"/>
      <c r="K34" s="998"/>
      <c r="L34" s="998"/>
      <c r="M34" s="961">
        <v>20</v>
      </c>
      <c r="N34" s="961" t="s">
        <v>1538</v>
      </c>
      <c r="O34" s="1001"/>
      <c r="P34" s="1002"/>
      <c r="Q34" s="1002"/>
      <c r="R34" s="1002"/>
      <c r="S34" s="1002"/>
      <c r="T34" s="1002"/>
      <c r="U34" s="792">
        <v>32</v>
      </c>
      <c r="V34" s="702" t="s">
        <v>1307</v>
      </c>
      <c r="W34" s="792">
        <v>3205</v>
      </c>
      <c r="X34" s="964" t="s">
        <v>191</v>
      </c>
      <c r="Y34" s="792">
        <v>32051</v>
      </c>
      <c r="Z34" s="1101" t="s">
        <v>1425</v>
      </c>
      <c r="AA34" s="826" t="s">
        <v>1571</v>
      </c>
      <c r="AB34" s="842" t="s">
        <v>200</v>
      </c>
      <c r="AC34" s="996" t="s">
        <v>202</v>
      </c>
      <c r="AD34" s="1007" t="s">
        <v>203</v>
      </c>
      <c r="AE34" s="965">
        <v>53211</v>
      </c>
      <c r="AF34" s="966" t="s">
        <v>1568</v>
      </c>
      <c r="AG34" s="968"/>
      <c r="AH34" s="873" t="str">
        <f t="shared" si="3"/>
        <v>2.3.2.02.02.005.3205021.53211</v>
      </c>
      <c r="AI34" s="827"/>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row>
    <row r="35" spans="1:114" s="4" customFormat="1" ht="74.25" hidden="1" customHeight="1" x14ac:dyDescent="0.2">
      <c r="A35" s="931">
        <v>308</v>
      </c>
      <c r="B35" s="990" t="s">
        <v>1411</v>
      </c>
      <c r="C35" s="792">
        <v>3</v>
      </c>
      <c r="D35" s="991" t="s">
        <v>1422</v>
      </c>
      <c r="E35" s="1000" t="s">
        <v>1545</v>
      </c>
      <c r="F35" s="792">
        <v>6</v>
      </c>
      <c r="G35" s="792" t="s">
        <v>1395</v>
      </c>
      <c r="H35" s="992" t="s">
        <v>1547</v>
      </c>
      <c r="I35" s="993">
        <v>20000000</v>
      </c>
      <c r="J35" s="998"/>
      <c r="K35" s="998"/>
      <c r="L35" s="998"/>
      <c r="M35" s="961">
        <v>20</v>
      </c>
      <c r="N35" s="961" t="s">
        <v>1572</v>
      </c>
      <c r="O35" s="1001"/>
      <c r="P35" s="1002"/>
      <c r="Q35" s="1002"/>
      <c r="R35" s="1002"/>
      <c r="S35" s="1002"/>
      <c r="T35" s="1002"/>
      <c r="U35" s="792">
        <v>40</v>
      </c>
      <c r="V35" s="702" t="s">
        <v>210</v>
      </c>
      <c r="W35" s="792">
        <v>4001</v>
      </c>
      <c r="X35" s="964" t="s">
        <v>205</v>
      </c>
      <c r="Y35" s="792">
        <v>40011</v>
      </c>
      <c r="Z35" s="1101" t="s">
        <v>1845</v>
      </c>
      <c r="AA35" s="995" t="s">
        <v>1573</v>
      </c>
      <c r="AB35" s="842" t="s">
        <v>207</v>
      </c>
      <c r="AC35" s="996" t="s">
        <v>211</v>
      </c>
      <c r="AD35" s="944" t="s">
        <v>212</v>
      </c>
      <c r="AE35" s="965">
        <v>54112</v>
      </c>
      <c r="AF35" s="966" t="s">
        <v>1574</v>
      </c>
      <c r="AG35" s="917"/>
      <c r="AH35" s="873" t="str">
        <f t="shared" si="3"/>
        <v>2.3.2.02.02.005.4001015.54112</v>
      </c>
      <c r="AI35" s="827"/>
    </row>
    <row r="36" spans="1:114" s="4" customFormat="1" ht="66.75" hidden="1" customHeight="1" x14ac:dyDescent="0.2">
      <c r="A36" s="931">
        <v>308</v>
      </c>
      <c r="B36" s="990" t="s">
        <v>1411</v>
      </c>
      <c r="C36" s="792">
        <v>3</v>
      </c>
      <c r="D36" s="991" t="s">
        <v>1422</v>
      </c>
      <c r="E36" s="1000" t="s">
        <v>1545</v>
      </c>
      <c r="F36" s="792">
        <v>6</v>
      </c>
      <c r="G36" s="792" t="s">
        <v>1395</v>
      </c>
      <c r="H36" s="992" t="s">
        <v>1547</v>
      </c>
      <c r="I36" s="993">
        <v>100000000</v>
      </c>
      <c r="J36" s="961">
        <v>20</v>
      </c>
      <c r="K36" s="961" t="s">
        <v>1572</v>
      </c>
      <c r="L36" s="792">
        <v>40</v>
      </c>
      <c r="M36" s="994" t="s">
        <v>1558</v>
      </c>
      <c r="N36" s="792" t="s">
        <v>1557</v>
      </c>
      <c r="O36" s="842" t="s">
        <v>205</v>
      </c>
      <c r="P36" s="702" t="s">
        <v>1426</v>
      </c>
      <c r="Q36" s="995" t="s">
        <v>1573</v>
      </c>
      <c r="R36" s="842" t="s">
        <v>207</v>
      </c>
      <c r="S36" s="996" t="s">
        <v>211</v>
      </c>
      <c r="T36" s="944" t="s">
        <v>212</v>
      </c>
      <c r="U36" s="792">
        <v>40</v>
      </c>
      <c r="V36" s="702" t="s">
        <v>210</v>
      </c>
      <c r="W36" s="792">
        <v>4001</v>
      </c>
      <c r="X36" s="964" t="s">
        <v>205</v>
      </c>
      <c r="Y36" s="792">
        <v>40011</v>
      </c>
      <c r="Z36" s="1101" t="s">
        <v>1845</v>
      </c>
      <c r="AA36" s="995" t="s">
        <v>1573</v>
      </c>
      <c r="AB36" s="842" t="s">
        <v>207</v>
      </c>
      <c r="AC36" s="996" t="s">
        <v>211</v>
      </c>
      <c r="AD36" s="944" t="s">
        <v>212</v>
      </c>
      <c r="AE36" s="965">
        <v>54112</v>
      </c>
      <c r="AF36" s="966" t="s">
        <v>1574</v>
      </c>
      <c r="AG36" s="917"/>
      <c r="AH36" s="873" t="str">
        <f t="shared" si="3"/>
        <v>2.3.2.02.02.005.4001015.54112</v>
      </c>
      <c r="AI36" s="827"/>
    </row>
    <row r="37" spans="1:114" s="4" customFormat="1" ht="72" hidden="1" customHeight="1" x14ac:dyDescent="0.2">
      <c r="A37" s="931">
        <v>308</v>
      </c>
      <c r="B37" s="990" t="s">
        <v>1411</v>
      </c>
      <c r="C37" s="792">
        <v>3</v>
      </c>
      <c r="D37" s="991" t="s">
        <v>1422</v>
      </c>
      <c r="E37" s="1000" t="s">
        <v>1540</v>
      </c>
      <c r="F37" s="792">
        <v>6</v>
      </c>
      <c r="G37" s="792" t="s">
        <v>1395</v>
      </c>
      <c r="H37" s="997" t="s">
        <v>1537</v>
      </c>
      <c r="I37" s="993">
        <v>100000000</v>
      </c>
      <c r="J37" s="998"/>
      <c r="K37" s="998"/>
      <c r="L37" s="998"/>
      <c r="M37" s="999">
        <v>27</v>
      </c>
      <c r="N37" s="1000" t="s">
        <v>1575</v>
      </c>
      <c r="O37" s="1001"/>
      <c r="P37" s="1002"/>
      <c r="Q37" s="1002"/>
      <c r="R37" s="1002"/>
      <c r="S37" s="1002"/>
      <c r="T37" s="1002"/>
      <c r="U37" s="792">
        <v>40</v>
      </c>
      <c r="V37" s="702" t="s">
        <v>210</v>
      </c>
      <c r="W37" s="792">
        <v>4003</v>
      </c>
      <c r="X37" s="842" t="s">
        <v>214</v>
      </c>
      <c r="Y37" s="792">
        <v>4002</v>
      </c>
      <c r="Z37" s="702" t="s">
        <v>1846</v>
      </c>
      <c r="AA37" s="167" t="s">
        <v>1646</v>
      </c>
      <c r="AB37" s="842" t="s">
        <v>217</v>
      </c>
      <c r="AC37" s="996" t="s">
        <v>219</v>
      </c>
      <c r="AD37" s="842" t="s">
        <v>220</v>
      </c>
      <c r="AE37" s="872">
        <v>91123</v>
      </c>
      <c r="AF37" s="873" t="s">
        <v>1576</v>
      </c>
      <c r="AG37" s="874"/>
      <c r="AH37" s="873" t="str">
        <f t="shared" si="3"/>
        <v>2.3.2.02.02.009.4003006.91123</v>
      </c>
      <c r="AI37" s="827"/>
    </row>
    <row r="38" spans="1:114" s="4" customFormat="1" ht="79.5" hidden="1" customHeight="1" x14ac:dyDescent="0.2">
      <c r="A38" s="931">
        <v>308</v>
      </c>
      <c r="B38" s="990" t="s">
        <v>1411</v>
      </c>
      <c r="C38" s="792">
        <v>3</v>
      </c>
      <c r="D38" s="991" t="s">
        <v>1422</v>
      </c>
      <c r="E38" s="1000" t="s">
        <v>1545</v>
      </c>
      <c r="F38" s="792">
        <v>6</v>
      </c>
      <c r="G38" s="792" t="s">
        <v>1395</v>
      </c>
      <c r="H38" s="992" t="s">
        <v>1547</v>
      </c>
      <c r="I38" s="993">
        <v>729000000</v>
      </c>
      <c r="J38" s="998"/>
      <c r="K38" s="998"/>
      <c r="L38" s="998"/>
      <c r="M38" s="999">
        <v>27</v>
      </c>
      <c r="N38" s="1000" t="s">
        <v>1575</v>
      </c>
      <c r="O38" s="1001"/>
      <c r="P38" s="1002"/>
      <c r="Q38" s="1002"/>
      <c r="R38" s="1002"/>
      <c r="S38" s="1002"/>
      <c r="T38" s="1002"/>
      <c r="U38" s="792">
        <v>40</v>
      </c>
      <c r="V38" s="702" t="s">
        <v>210</v>
      </c>
      <c r="W38" s="792">
        <v>4003</v>
      </c>
      <c r="X38" s="842" t="s">
        <v>214</v>
      </c>
      <c r="Y38" s="792">
        <v>4002</v>
      </c>
      <c r="Z38" s="702" t="s">
        <v>1428</v>
      </c>
      <c r="AA38" s="826" t="s">
        <v>1578</v>
      </c>
      <c r="AB38" s="1003" t="s">
        <v>223</v>
      </c>
      <c r="AC38" s="996" t="s">
        <v>219</v>
      </c>
      <c r="AD38" s="842" t="s">
        <v>220</v>
      </c>
      <c r="AE38" s="872">
        <v>54253</v>
      </c>
      <c r="AF38" s="873" t="s">
        <v>1577</v>
      </c>
      <c r="AG38" s="874"/>
      <c r="AH38" s="873" t="str">
        <f t="shared" si="3"/>
        <v>2.3.2.02.02.005.4003018.54253</v>
      </c>
      <c r="AI38" s="827"/>
    </row>
    <row r="39" spans="1:114" s="4" customFormat="1" ht="210" hidden="1" x14ac:dyDescent="0.2">
      <c r="A39" s="931">
        <v>308</v>
      </c>
      <c r="B39" s="990" t="s">
        <v>1411</v>
      </c>
      <c r="C39" s="792">
        <v>3</v>
      </c>
      <c r="D39" s="991" t="s">
        <v>1422</v>
      </c>
      <c r="E39" s="1000" t="s">
        <v>1545</v>
      </c>
      <c r="F39" s="792">
        <v>6</v>
      </c>
      <c r="G39" s="792" t="s">
        <v>1395</v>
      </c>
      <c r="H39" s="992" t="s">
        <v>1547</v>
      </c>
      <c r="I39" s="993">
        <v>230774762</v>
      </c>
      <c r="J39" s="998"/>
      <c r="K39" s="998"/>
      <c r="L39" s="998"/>
      <c r="M39" s="999">
        <v>27</v>
      </c>
      <c r="N39" s="1000" t="s">
        <v>1575</v>
      </c>
      <c r="O39" s="1001"/>
      <c r="P39" s="1002"/>
      <c r="Q39" s="1002"/>
      <c r="R39" s="1002"/>
      <c r="S39" s="1002"/>
      <c r="T39" s="1002"/>
      <c r="U39" s="792">
        <v>40</v>
      </c>
      <c r="V39" s="702" t="s">
        <v>210</v>
      </c>
      <c r="W39" s="792">
        <v>4003</v>
      </c>
      <c r="X39" s="842" t="s">
        <v>214</v>
      </c>
      <c r="Y39" s="792" t="s">
        <v>1847</v>
      </c>
      <c r="Z39" s="702" t="s">
        <v>1427</v>
      </c>
      <c r="AA39" s="826" t="s">
        <v>1579</v>
      </c>
      <c r="AB39" s="1003" t="s">
        <v>225</v>
      </c>
      <c r="AC39" s="996" t="s">
        <v>219</v>
      </c>
      <c r="AD39" s="842" t="s">
        <v>220</v>
      </c>
      <c r="AE39" s="872">
        <v>54253</v>
      </c>
      <c r="AF39" s="873" t="s">
        <v>1577</v>
      </c>
      <c r="AG39" s="874"/>
      <c r="AH39" s="873" t="str">
        <f t="shared" si="3"/>
        <v>2.3.2.02.02.005.4003025.54253</v>
      </c>
      <c r="AI39" s="827"/>
    </row>
    <row r="40" spans="1:114" s="4" customFormat="1" ht="60.75" hidden="1" customHeight="1" x14ac:dyDescent="0.2">
      <c r="A40" s="931">
        <v>308</v>
      </c>
      <c r="B40" s="990" t="s">
        <v>1411</v>
      </c>
      <c r="C40" s="792">
        <v>3</v>
      </c>
      <c r="D40" s="991" t="s">
        <v>1422</v>
      </c>
      <c r="E40" s="1000" t="s">
        <v>1545</v>
      </c>
      <c r="F40" s="792">
        <v>6</v>
      </c>
      <c r="G40" s="792" t="s">
        <v>1395</v>
      </c>
      <c r="H40" s="992" t="s">
        <v>1547</v>
      </c>
      <c r="I40" s="993">
        <v>450000000</v>
      </c>
      <c r="J40" s="999">
        <v>27</v>
      </c>
      <c r="K40" s="998"/>
      <c r="L40" s="998"/>
      <c r="M40" s="994" t="s">
        <v>1558</v>
      </c>
      <c r="N40" s="1000" t="s">
        <v>1575</v>
      </c>
      <c r="O40" s="792">
        <v>40</v>
      </c>
      <c r="P40" s="702" t="s">
        <v>210</v>
      </c>
      <c r="Q40" s="792">
        <v>4003</v>
      </c>
      <c r="R40" s="1002"/>
      <c r="S40" s="1002"/>
      <c r="T40" s="1002"/>
      <c r="U40" s="792">
        <v>40</v>
      </c>
      <c r="V40" s="702" t="s">
        <v>210</v>
      </c>
      <c r="W40" s="792">
        <v>4003</v>
      </c>
      <c r="X40" s="842" t="s">
        <v>214</v>
      </c>
      <c r="Y40" s="792" t="s">
        <v>1847</v>
      </c>
      <c r="Z40" s="702" t="s">
        <v>1427</v>
      </c>
      <c r="AA40" s="826" t="s">
        <v>1579</v>
      </c>
      <c r="AB40" s="1003" t="s">
        <v>225</v>
      </c>
      <c r="AC40" s="996" t="s">
        <v>219</v>
      </c>
      <c r="AD40" s="842" t="s">
        <v>220</v>
      </c>
      <c r="AE40" s="872">
        <v>54253</v>
      </c>
      <c r="AF40" s="873" t="s">
        <v>1577</v>
      </c>
      <c r="AG40" s="874"/>
      <c r="AH40" s="873" t="str">
        <f t="shared" si="3"/>
        <v>2.3.2.02.02.005.4003025.54253</v>
      </c>
      <c r="AI40" s="827"/>
    </row>
    <row r="41" spans="1:114" s="4" customFormat="1" ht="86.25" hidden="1" customHeight="1" x14ac:dyDescent="0.2">
      <c r="A41" s="931">
        <v>308</v>
      </c>
      <c r="B41" s="990" t="s">
        <v>1411</v>
      </c>
      <c r="C41" s="792">
        <v>3</v>
      </c>
      <c r="D41" s="991" t="s">
        <v>1422</v>
      </c>
      <c r="E41" s="1000" t="s">
        <v>1540</v>
      </c>
      <c r="F41" s="792">
        <v>6</v>
      </c>
      <c r="G41" s="792" t="s">
        <v>1395</v>
      </c>
      <c r="H41" s="992" t="s">
        <v>1537</v>
      </c>
      <c r="I41" s="993">
        <v>279000000</v>
      </c>
      <c r="J41" s="998"/>
      <c r="K41" s="998"/>
      <c r="L41" s="998"/>
      <c r="M41" s="999">
        <v>27</v>
      </c>
      <c r="N41" s="1000" t="s">
        <v>1575</v>
      </c>
      <c r="O41" s="1001"/>
      <c r="P41" s="1002"/>
      <c r="Q41" s="1002"/>
      <c r="R41" s="1002"/>
      <c r="S41" s="1002"/>
      <c r="T41" s="1002"/>
      <c r="U41" s="792">
        <v>40</v>
      </c>
      <c r="V41" s="702" t="s">
        <v>210</v>
      </c>
      <c r="W41" s="792">
        <v>4003</v>
      </c>
      <c r="X41" s="842" t="s">
        <v>214</v>
      </c>
      <c r="Y41" s="792" t="s">
        <v>1847</v>
      </c>
      <c r="Z41" s="702" t="s">
        <v>1427</v>
      </c>
      <c r="AA41" s="826" t="s">
        <v>1580</v>
      </c>
      <c r="AB41" s="1003" t="s">
        <v>227</v>
      </c>
      <c r="AC41" s="996" t="s">
        <v>219</v>
      </c>
      <c r="AD41" s="842" t="s">
        <v>220</v>
      </c>
      <c r="AE41" s="872">
        <v>91123</v>
      </c>
      <c r="AF41" s="873" t="s">
        <v>1576</v>
      </c>
      <c r="AG41" s="874"/>
      <c r="AH41" s="873" t="str">
        <f t="shared" si="3"/>
        <v>2.3.2.02.02.009.4003028.91123</v>
      </c>
      <c r="AI41" s="827"/>
    </row>
    <row r="42" spans="1:114" s="4" customFormat="1" ht="210" hidden="1" x14ac:dyDescent="0.2">
      <c r="A42" s="931">
        <v>308</v>
      </c>
      <c r="B42" s="990" t="s">
        <v>1411</v>
      </c>
      <c r="C42" s="792">
        <v>3</v>
      </c>
      <c r="D42" s="991" t="s">
        <v>1422</v>
      </c>
      <c r="E42" s="1000" t="s">
        <v>1540</v>
      </c>
      <c r="F42" s="792">
        <v>6</v>
      </c>
      <c r="G42" s="792" t="s">
        <v>1395</v>
      </c>
      <c r="H42" s="992" t="s">
        <v>1537</v>
      </c>
      <c r="I42" s="993">
        <v>629000000</v>
      </c>
      <c r="J42" s="998"/>
      <c r="K42" s="998"/>
      <c r="L42" s="998"/>
      <c r="M42" s="961">
        <v>27</v>
      </c>
      <c r="N42" s="1000" t="s">
        <v>1575</v>
      </c>
      <c r="O42" s="1001"/>
      <c r="P42" s="1002"/>
      <c r="Q42" s="1002"/>
      <c r="R42" s="1002"/>
      <c r="S42" s="1002"/>
      <c r="T42" s="1002"/>
      <c r="U42" s="792">
        <v>40</v>
      </c>
      <c r="V42" s="702" t="s">
        <v>210</v>
      </c>
      <c r="W42" s="792">
        <v>4003</v>
      </c>
      <c r="X42" s="842" t="s">
        <v>214</v>
      </c>
      <c r="Y42" s="792" t="s">
        <v>1847</v>
      </c>
      <c r="Z42" s="702" t="s">
        <v>1427</v>
      </c>
      <c r="AA42" s="826" t="s">
        <v>1581</v>
      </c>
      <c r="AB42" s="1003" t="s">
        <v>229</v>
      </c>
      <c r="AC42" s="996" t="s">
        <v>219</v>
      </c>
      <c r="AD42" s="842" t="s">
        <v>220</v>
      </c>
      <c r="AE42" s="872">
        <v>91123</v>
      </c>
      <c r="AF42" s="873" t="s">
        <v>1576</v>
      </c>
      <c r="AG42" s="874"/>
      <c r="AH42" s="873" t="str">
        <f t="shared" si="3"/>
        <v>2.3.2.02.02.009.4003042.91123</v>
      </c>
      <c r="AI42" s="827"/>
    </row>
    <row r="43" spans="1:114" s="4" customFormat="1" ht="95.25" hidden="1" customHeight="1" x14ac:dyDescent="0.2">
      <c r="A43" s="931">
        <v>308</v>
      </c>
      <c r="B43" s="990" t="s">
        <v>1411</v>
      </c>
      <c r="C43" s="792">
        <v>3</v>
      </c>
      <c r="D43" s="991" t="s">
        <v>1422</v>
      </c>
      <c r="E43" s="1000" t="s">
        <v>1545</v>
      </c>
      <c r="F43" s="792">
        <v>6</v>
      </c>
      <c r="G43" s="792" t="s">
        <v>1395</v>
      </c>
      <c r="H43" s="992" t="s">
        <v>1547</v>
      </c>
      <c r="I43" s="1004">
        <v>785236459</v>
      </c>
      <c r="J43" s="998"/>
      <c r="K43" s="998"/>
      <c r="L43" s="998"/>
      <c r="M43" s="961">
        <v>27</v>
      </c>
      <c r="N43" s="1000" t="s">
        <v>1575</v>
      </c>
      <c r="O43" s="1001"/>
      <c r="P43" s="1002"/>
      <c r="Q43" s="1002"/>
      <c r="R43" s="1002"/>
      <c r="S43" s="1002"/>
      <c r="T43" s="1002"/>
      <c r="U43" s="792">
        <v>40</v>
      </c>
      <c r="V43" s="702" t="s">
        <v>210</v>
      </c>
      <c r="W43" s="792">
        <v>4003</v>
      </c>
      <c r="X43" s="842" t="s">
        <v>214</v>
      </c>
      <c r="Y43" s="792" t="s">
        <v>1847</v>
      </c>
      <c r="Z43" s="702" t="s">
        <v>1427</v>
      </c>
      <c r="AA43" s="826" t="s">
        <v>1582</v>
      </c>
      <c r="AB43" s="1003" t="s">
        <v>232</v>
      </c>
      <c r="AC43" s="996" t="s">
        <v>219</v>
      </c>
      <c r="AD43" s="842" t="s">
        <v>220</v>
      </c>
      <c r="AE43" s="872">
        <v>54253</v>
      </c>
      <c r="AF43" s="873" t="s">
        <v>1577</v>
      </c>
      <c r="AG43" s="874"/>
      <c r="AH43" s="873" t="str">
        <f t="shared" si="3"/>
        <v>2.3.2.02.02.005.4003026.54253</v>
      </c>
      <c r="AI43" s="827"/>
    </row>
    <row r="44" spans="1:114" s="4" customFormat="1" ht="99.75" hidden="1" customHeight="1" x14ac:dyDescent="0.2">
      <c r="A44" s="931">
        <v>308</v>
      </c>
      <c r="B44" s="990" t="s">
        <v>1411</v>
      </c>
      <c r="C44" s="961">
        <v>4</v>
      </c>
      <c r="D44" s="961" t="s">
        <v>1386</v>
      </c>
      <c r="E44" s="1000" t="s">
        <v>1545</v>
      </c>
      <c r="F44" s="792">
        <v>6</v>
      </c>
      <c r="G44" s="792" t="s">
        <v>1395</v>
      </c>
      <c r="H44" s="992" t="s">
        <v>1547</v>
      </c>
      <c r="I44" s="993">
        <v>40000000</v>
      </c>
      <c r="J44" s="998"/>
      <c r="K44" s="998"/>
      <c r="L44" s="998"/>
      <c r="M44" s="961">
        <v>20</v>
      </c>
      <c r="N44" s="997" t="s">
        <v>1406</v>
      </c>
      <c r="O44" s="1005"/>
      <c r="P44" s="998"/>
      <c r="Q44" s="998"/>
      <c r="R44" s="998"/>
      <c r="S44" s="998"/>
      <c r="T44" s="998"/>
      <c r="U44" s="961">
        <v>45</v>
      </c>
      <c r="V44" s="1006" t="s">
        <v>1302</v>
      </c>
      <c r="W44" s="792">
        <v>4599</v>
      </c>
      <c r="X44" s="842" t="s">
        <v>40</v>
      </c>
      <c r="Y44" s="792">
        <v>45993</v>
      </c>
      <c r="Z44" s="702" t="s">
        <v>1429</v>
      </c>
      <c r="AA44" s="826" t="s">
        <v>1583</v>
      </c>
      <c r="AB44" s="1007" t="s">
        <v>235</v>
      </c>
      <c r="AC44" s="996" t="s">
        <v>237</v>
      </c>
      <c r="AD44" s="1007" t="s">
        <v>238</v>
      </c>
      <c r="AE44" s="965">
        <v>54129</v>
      </c>
      <c r="AF44" s="740" t="s">
        <v>1546</v>
      </c>
      <c r="AG44" s="968"/>
      <c r="AH44" s="873" t="str">
        <f t="shared" si="3"/>
        <v>2.3.2.02.02.005.4599016.54129</v>
      </c>
      <c r="AI44" s="827"/>
    </row>
    <row r="45" spans="1:114" s="4" customFormat="1" ht="74.25" hidden="1" customHeight="1" x14ac:dyDescent="0.2">
      <c r="A45" s="931">
        <v>308</v>
      </c>
      <c r="B45" s="990" t="s">
        <v>1411</v>
      </c>
      <c r="C45" s="961">
        <v>4</v>
      </c>
      <c r="D45" s="961" t="s">
        <v>1386</v>
      </c>
      <c r="E45" s="1000" t="s">
        <v>1545</v>
      </c>
      <c r="F45" s="792">
        <v>6</v>
      </c>
      <c r="G45" s="792" t="s">
        <v>1395</v>
      </c>
      <c r="H45" s="992" t="s">
        <v>1547</v>
      </c>
      <c r="I45" s="993">
        <v>38000000</v>
      </c>
      <c r="J45" s="998"/>
      <c r="K45" s="998"/>
      <c r="L45" s="998"/>
      <c r="M45" s="961">
        <v>20</v>
      </c>
      <c r="N45" s="997" t="s">
        <v>1406</v>
      </c>
      <c r="O45" s="1005"/>
      <c r="P45" s="998"/>
      <c r="Q45" s="998"/>
      <c r="R45" s="998"/>
      <c r="S45" s="998"/>
      <c r="T45" s="998"/>
      <c r="U45" s="961">
        <v>45</v>
      </c>
      <c r="V45" s="1008" t="s">
        <v>1302</v>
      </c>
      <c r="W45" s="792">
        <v>4502</v>
      </c>
      <c r="X45" s="842" t="s">
        <v>61</v>
      </c>
      <c r="Y45" s="792">
        <v>45021</v>
      </c>
      <c r="Z45" s="702" t="s">
        <v>1848</v>
      </c>
      <c r="AA45" s="826" t="s">
        <v>1584</v>
      </c>
      <c r="AB45" s="1009" t="s">
        <v>240</v>
      </c>
      <c r="AC45" s="996" t="s">
        <v>241</v>
      </c>
      <c r="AD45" s="1007" t="s">
        <v>242</v>
      </c>
      <c r="AE45" s="965">
        <v>54129</v>
      </c>
      <c r="AF45" s="740" t="s">
        <v>1546</v>
      </c>
      <c r="AG45" s="968"/>
      <c r="AH45" s="873" t="str">
        <f t="shared" si="3"/>
        <v>2.3.2.02.02.005.4502003.54129</v>
      </c>
      <c r="AI45" s="827"/>
    </row>
    <row r="46" spans="1:114" s="374" customFormat="1" ht="180" hidden="1" x14ac:dyDescent="0.2">
      <c r="A46" s="931">
        <v>309</v>
      </c>
      <c r="B46" s="762" t="s">
        <v>1431</v>
      </c>
      <c r="C46" s="763">
        <v>1</v>
      </c>
      <c r="D46" s="785" t="s">
        <v>1412</v>
      </c>
      <c r="E46" s="1148" t="s">
        <v>1540</v>
      </c>
      <c r="F46" s="945">
        <v>6</v>
      </c>
      <c r="G46" s="945" t="s">
        <v>1395</v>
      </c>
      <c r="H46" s="946" t="s">
        <v>1537</v>
      </c>
      <c r="I46" s="947">
        <v>109000000</v>
      </c>
      <c r="J46" s="778"/>
      <c r="K46" s="778"/>
      <c r="L46" s="778"/>
      <c r="M46" s="767">
        <v>20</v>
      </c>
      <c r="N46" s="767" t="s">
        <v>1585</v>
      </c>
      <c r="O46" s="779"/>
      <c r="P46" s="779"/>
      <c r="Q46" s="779"/>
      <c r="R46" s="779"/>
      <c r="S46" s="779"/>
      <c r="T46" s="779"/>
      <c r="U46" s="767">
        <v>12</v>
      </c>
      <c r="V46" s="796" t="s">
        <v>1303</v>
      </c>
      <c r="W46" s="763">
        <v>1202</v>
      </c>
      <c r="X46" s="770" t="s">
        <v>135</v>
      </c>
      <c r="Y46" s="763">
        <v>12022</v>
      </c>
      <c r="Z46" s="702" t="s">
        <v>1432</v>
      </c>
      <c r="AA46" s="782" t="s">
        <v>1587</v>
      </c>
      <c r="AB46" s="773" t="s">
        <v>245</v>
      </c>
      <c r="AC46" s="780" t="s">
        <v>246</v>
      </c>
      <c r="AD46" s="773" t="s">
        <v>247</v>
      </c>
      <c r="AE46" s="774" t="s">
        <v>1549</v>
      </c>
      <c r="AF46" s="775" t="s">
        <v>1586</v>
      </c>
      <c r="AG46" s="776"/>
      <c r="AH46" s="873" t="str">
        <f t="shared" si="3"/>
        <v>2.3.2.02.02.009.1202004.91119.</v>
      </c>
      <c r="AI46" s="827"/>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row>
    <row r="47" spans="1:114" s="374" customFormat="1" ht="132.75" hidden="1" customHeight="1" x14ac:dyDescent="0.2">
      <c r="A47" s="931">
        <v>309</v>
      </c>
      <c r="B47" s="762" t="s">
        <v>1431</v>
      </c>
      <c r="C47" s="763">
        <v>1</v>
      </c>
      <c r="D47" s="785" t="s">
        <v>1412</v>
      </c>
      <c r="E47" s="1149" t="s">
        <v>1591</v>
      </c>
      <c r="F47" s="948">
        <v>6</v>
      </c>
      <c r="G47" s="792" t="s">
        <v>1395</v>
      </c>
      <c r="H47" s="949" t="s">
        <v>1590</v>
      </c>
      <c r="I47" s="950">
        <v>5000000</v>
      </c>
      <c r="J47" s="778"/>
      <c r="K47" s="778"/>
      <c r="L47" s="778"/>
      <c r="M47" s="767">
        <v>20</v>
      </c>
      <c r="N47" s="767" t="s">
        <v>1585</v>
      </c>
      <c r="O47" s="779"/>
      <c r="P47" s="779"/>
      <c r="Q47" s="779"/>
      <c r="R47" s="779"/>
      <c r="S47" s="779"/>
      <c r="T47" s="779"/>
      <c r="U47" s="767">
        <v>12</v>
      </c>
      <c r="V47" s="796" t="s">
        <v>1303</v>
      </c>
      <c r="W47" s="763">
        <v>1202</v>
      </c>
      <c r="X47" s="770" t="s">
        <v>135</v>
      </c>
      <c r="Y47" s="763">
        <v>12022</v>
      </c>
      <c r="Z47" s="702" t="s">
        <v>1432</v>
      </c>
      <c r="AA47" s="782" t="s">
        <v>1587</v>
      </c>
      <c r="AB47" s="773" t="s">
        <v>252</v>
      </c>
      <c r="AC47" s="942" t="s">
        <v>246</v>
      </c>
      <c r="AD47" s="943" t="s">
        <v>247</v>
      </c>
      <c r="AE47" s="774" t="s">
        <v>1604</v>
      </c>
      <c r="AF47" s="775" t="s">
        <v>1588</v>
      </c>
      <c r="AG47" s="776"/>
      <c r="AH47" s="873" t="str">
        <f t="shared" si="3"/>
        <v>2.3.2.02.02.006.1202004.63391.</v>
      </c>
      <c r="AI47" s="827"/>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row>
    <row r="48" spans="1:114" s="374" customFormat="1" ht="139.5" hidden="1" customHeight="1" x14ac:dyDescent="0.2">
      <c r="A48" s="931">
        <v>309</v>
      </c>
      <c r="B48" s="762" t="s">
        <v>1431</v>
      </c>
      <c r="C48" s="763">
        <v>1</v>
      </c>
      <c r="D48" s="785" t="s">
        <v>1412</v>
      </c>
      <c r="E48" s="1149" t="s">
        <v>1540</v>
      </c>
      <c r="F48" s="763">
        <v>6</v>
      </c>
      <c r="G48" s="763" t="s">
        <v>1395</v>
      </c>
      <c r="H48" s="906" t="s">
        <v>1537</v>
      </c>
      <c r="I48" s="951">
        <v>36000000</v>
      </c>
      <c r="J48" s="778"/>
      <c r="K48" s="778"/>
      <c r="L48" s="778"/>
      <c r="M48" s="767">
        <v>20</v>
      </c>
      <c r="N48" s="767" t="s">
        <v>1585</v>
      </c>
      <c r="O48" s="779"/>
      <c r="P48" s="779"/>
      <c r="Q48" s="779"/>
      <c r="R48" s="779"/>
      <c r="S48" s="779"/>
      <c r="T48" s="779"/>
      <c r="U48" s="767">
        <v>12</v>
      </c>
      <c r="V48" s="796" t="s">
        <v>1303</v>
      </c>
      <c r="W48" s="763">
        <v>1203</v>
      </c>
      <c r="X48" s="770" t="s">
        <v>251</v>
      </c>
      <c r="Y48" s="763">
        <v>12031</v>
      </c>
      <c r="Z48" s="771" t="s">
        <v>1849</v>
      </c>
      <c r="AA48" s="782" t="s">
        <v>1643</v>
      </c>
      <c r="AB48" s="943" t="s">
        <v>252</v>
      </c>
      <c r="AC48" s="942" t="s">
        <v>254</v>
      </c>
      <c r="AD48" s="943" t="s">
        <v>255</v>
      </c>
      <c r="AE48" s="788" t="s">
        <v>1549</v>
      </c>
      <c r="AF48" s="954" t="s">
        <v>1586</v>
      </c>
      <c r="AG48" s="803"/>
      <c r="AH48" s="873" t="str">
        <f t="shared" si="3"/>
        <v>2.3.2.02.02.009.1203002.91119.</v>
      </c>
      <c r="AI48" s="827"/>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row>
    <row r="49" spans="1:114" s="374" customFormat="1" ht="90" hidden="1" customHeight="1" x14ac:dyDescent="0.2">
      <c r="A49" s="931">
        <v>309</v>
      </c>
      <c r="B49" s="960" t="s">
        <v>1431</v>
      </c>
      <c r="C49" s="763">
        <v>1</v>
      </c>
      <c r="D49" s="785" t="s">
        <v>1412</v>
      </c>
      <c r="E49" s="1149" t="s">
        <v>1394</v>
      </c>
      <c r="F49" s="763">
        <v>6</v>
      </c>
      <c r="G49" s="763" t="s">
        <v>1395</v>
      </c>
      <c r="H49" s="906" t="s">
        <v>1537</v>
      </c>
      <c r="I49" s="951">
        <v>30000000</v>
      </c>
      <c r="J49" s="778"/>
      <c r="K49" s="778"/>
      <c r="L49" s="778"/>
      <c r="M49" s="767">
        <v>20</v>
      </c>
      <c r="N49" s="767" t="s">
        <v>1585</v>
      </c>
      <c r="O49" s="779"/>
      <c r="P49" s="779"/>
      <c r="Q49" s="779"/>
      <c r="R49" s="779"/>
      <c r="S49" s="779"/>
      <c r="T49" s="779"/>
      <c r="U49" s="767">
        <v>12</v>
      </c>
      <c r="V49" s="796" t="s">
        <v>1303</v>
      </c>
      <c r="W49" s="792">
        <v>1206</v>
      </c>
      <c r="X49" s="770" t="s">
        <v>257</v>
      </c>
      <c r="Y49" s="792">
        <v>12063</v>
      </c>
      <c r="Z49" s="771" t="s">
        <v>1433</v>
      </c>
      <c r="AA49" s="782" t="s">
        <v>1642</v>
      </c>
      <c r="AB49" s="943" t="s">
        <v>258</v>
      </c>
      <c r="AC49" s="942" t="s">
        <v>260</v>
      </c>
      <c r="AD49" s="802" t="s">
        <v>261</v>
      </c>
      <c r="AE49" s="965">
        <v>91119</v>
      </c>
      <c r="AF49" s="794" t="s">
        <v>1586</v>
      </c>
      <c r="AG49" s="967"/>
      <c r="AH49" s="873" t="str">
        <f t="shared" si="3"/>
        <v>2.3.2.02.02.0091206005.91119</v>
      </c>
      <c r="AI49" s="827"/>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row>
    <row r="50" spans="1:114" s="956" customFormat="1" ht="90.75" hidden="1" customHeight="1" x14ac:dyDescent="0.2">
      <c r="A50" s="931">
        <v>309</v>
      </c>
      <c r="B50" s="960" t="s">
        <v>1431</v>
      </c>
      <c r="C50" s="763">
        <v>1</v>
      </c>
      <c r="D50" s="785" t="s">
        <v>1412</v>
      </c>
      <c r="E50" s="1000" t="s">
        <v>1589</v>
      </c>
      <c r="F50" s="792">
        <v>6</v>
      </c>
      <c r="G50" s="792" t="s">
        <v>1395</v>
      </c>
      <c r="H50" s="949" t="s">
        <v>1590</v>
      </c>
      <c r="I50" s="950">
        <v>3000000</v>
      </c>
      <c r="J50" s="778"/>
      <c r="K50" s="778"/>
      <c r="L50" s="778"/>
      <c r="M50" s="767">
        <v>20</v>
      </c>
      <c r="N50" s="767" t="s">
        <v>1585</v>
      </c>
      <c r="O50" s="779"/>
      <c r="P50" s="779"/>
      <c r="Q50" s="779"/>
      <c r="R50" s="779"/>
      <c r="S50" s="779"/>
      <c r="T50" s="779"/>
      <c r="U50" s="767">
        <v>12</v>
      </c>
      <c r="V50" s="796" t="s">
        <v>1303</v>
      </c>
      <c r="W50" s="792">
        <v>1206</v>
      </c>
      <c r="X50" s="770" t="s">
        <v>257</v>
      </c>
      <c r="Y50" s="792">
        <v>12063</v>
      </c>
      <c r="Z50" s="771" t="s">
        <v>1433</v>
      </c>
      <c r="AA50" s="782" t="s">
        <v>1642</v>
      </c>
      <c r="AB50" s="943" t="s">
        <v>258</v>
      </c>
      <c r="AC50" s="942" t="s">
        <v>260</v>
      </c>
      <c r="AD50" s="802" t="s">
        <v>261</v>
      </c>
      <c r="AE50" s="970">
        <v>63391</v>
      </c>
      <c r="AF50" s="775" t="s">
        <v>1588</v>
      </c>
      <c r="AG50" s="968"/>
      <c r="AH50" s="873" t="str">
        <f t="shared" si="3"/>
        <v>2.3.2.02.02.0061206005.63391</v>
      </c>
      <c r="AI50" s="827"/>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row>
    <row r="51" spans="1:114" s="956" customFormat="1" ht="110.25" hidden="1" customHeight="1" x14ac:dyDescent="0.2">
      <c r="A51" s="931">
        <v>309</v>
      </c>
      <c r="B51" s="960" t="s">
        <v>1431</v>
      </c>
      <c r="C51" s="763">
        <v>1</v>
      </c>
      <c r="D51" s="785" t="s">
        <v>1412</v>
      </c>
      <c r="E51" s="1150" t="s">
        <v>1592</v>
      </c>
      <c r="F51" s="952">
        <v>6</v>
      </c>
      <c r="G51" s="952" t="s">
        <v>1395</v>
      </c>
      <c r="H51" s="949" t="s">
        <v>1593</v>
      </c>
      <c r="I51" s="953">
        <v>3000000</v>
      </c>
      <c r="J51" s="778"/>
      <c r="K51" s="778"/>
      <c r="L51" s="778"/>
      <c r="M51" s="767">
        <v>20</v>
      </c>
      <c r="N51" s="767" t="s">
        <v>1585</v>
      </c>
      <c r="O51" s="779"/>
      <c r="P51" s="779"/>
      <c r="Q51" s="779"/>
      <c r="R51" s="779"/>
      <c r="S51" s="779"/>
      <c r="T51" s="779"/>
      <c r="U51" s="767">
        <v>12</v>
      </c>
      <c r="V51" s="796" t="s">
        <v>1303</v>
      </c>
      <c r="W51" s="792">
        <v>1206</v>
      </c>
      <c r="X51" s="770" t="s">
        <v>257</v>
      </c>
      <c r="Y51" s="792">
        <v>12063</v>
      </c>
      <c r="Z51" s="771" t="s">
        <v>1433</v>
      </c>
      <c r="AA51" s="782" t="s">
        <v>1642</v>
      </c>
      <c r="AB51" s="943" t="s">
        <v>258</v>
      </c>
      <c r="AC51" s="942" t="s">
        <v>260</v>
      </c>
      <c r="AD51" s="802" t="s">
        <v>261</v>
      </c>
      <c r="AE51" s="971">
        <v>32690</v>
      </c>
      <c r="AF51" s="969" t="s">
        <v>1594</v>
      </c>
      <c r="AG51" s="968"/>
      <c r="AH51" s="873" t="str">
        <f t="shared" si="3"/>
        <v>2.3.2.02.01.0031206005.32690</v>
      </c>
      <c r="AI51" s="827"/>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row>
    <row r="52" spans="1:114" s="374" customFormat="1" ht="65.25" hidden="1" customHeight="1" x14ac:dyDescent="0.2">
      <c r="A52" s="931">
        <v>309</v>
      </c>
      <c r="B52" s="762" t="s">
        <v>1431</v>
      </c>
      <c r="C52" s="763">
        <v>1</v>
      </c>
      <c r="D52" s="785" t="s">
        <v>1412</v>
      </c>
      <c r="E52" s="1000" t="s">
        <v>1540</v>
      </c>
      <c r="F52" s="792">
        <v>6</v>
      </c>
      <c r="G52" s="792" t="s">
        <v>1395</v>
      </c>
      <c r="H52" s="906" t="s">
        <v>1537</v>
      </c>
      <c r="I52" s="950">
        <v>30000000</v>
      </c>
      <c r="J52" s="778"/>
      <c r="K52" s="778"/>
      <c r="L52" s="778"/>
      <c r="M52" s="767">
        <v>20</v>
      </c>
      <c r="N52" s="767" t="s">
        <v>1585</v>
      </c>
      <c r="O52" s="779"/>
      <c r="P52" s="779"/>
      <c r="Q52" s="779"/>
      <c r="R52" s="779"/>
      <c r="S52" s="779"/>
      <c r="T52" s="779"/>
      <c r="U52" s="767">
        <v>22</v>
      </c>
      <c r="V52" s="796" t="s">
        <v>266</v>
      </c>
      <c r="W52" s="763">
        <v>2201</v>
      </c>
      <c r="X52" s="804" t="s">
        <v>152</v>
      </c>
      <c r="Y52" s="984">
        <v>22013</v>
      </c>
      <c r="Z52" s="805" t="s">
        <v>1850</v>
      </c>
      <c r="AA52" s="763" t="s">
        <v>1595</v>
      </c>
      <c r="AB52" s="770" t="s">
        <v>264</v>
      </c>
      <c r="AC52" s="942" t="s">
        <v>267</v>
      </c>
      <c r="AD52" s="943" t="s">
        <v>268</v>
      </c>
      <c r="AE52" s="965">
        <v>91119</v>
      </c>
      <c r="AF52" s="740" t="s">
        <v>1586</v>
      </c>
      <c r="AG52" s="776"/>
      <c r="AH52" s="873" t="str">
        <f t="shared" si="3"/>
        <v>2.3.2.02.02.009.2201068.91119</v>
      </c>
      <c r="AI52" s="827"/>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row>
    <row r="53" spans="1:114" s="374" customFormat="1" ht="88.5" hidden="1" customHeight="1" x14ac:dyDescent="0.2">
      <c r="A53" s="931">
        <v>309</v>
      </c>
      <c r="B53" s="762" t="s">
        <v>1431</v>
      </c>
      <c r="C53" s="763">
        <v>1</v>
      </c>
      <c r="D53" s="785" t="s">
        <v>1412</v>
      </c>
      <c r="E53" s="1163" t="s">
        <v>1540</v>
      </c>
      <c r="F53" s="961">
        <v>6</v>
      </c>
      <c r="G53" s="961" t="s">
        <v>1395</v>
      </c>
      <c r="H53" s="949" t="s">
        <v>1537</v>
      </c>
      <c r="I53" s="958">
        <v>60000000</v>
      </c>
      <c r="J53" s="778"/>
      <c r="K53" s="778"/>
      <c r="L53" s="778"/>
      <c r="M53" s="767">
        <v>20</v>
      </c>
      <c r="N53" s="767" t="s">
        <v>1585</v>
      </c>
      <c r="O53" s="779"/>
      <c r="P53" s="779"/>
      <c r="Q53" s="779"/>
      <c r="R53" s="779"/>
      <c r="S53" s="779"/>
      <c r="T53" s="779"/>
      <c r="U53" s="767">
        <v>41</v>
      </c>
      <c r="V53" s="796" t="s">
        <v>1308</v>
      </c>
      <c r="W53" s="763">
        <v>4101</v>
      </c>
      <c r="X53" s="764" t="s">
        <v>270</v>
      </c>
      <c r="Y53" s="767">
        <v>41012</v>
      </c>
      <c r="Z53" s="805" t="s">
        <v>1851</v>
      </c>
      <c r="AA53" s="797" t="s">
        <v>1600</v>
      </c>
      <c r="AB53" s="770" t="s">
        <v>272</v>
      </c>
      <c r="AC53" s="780" t="s">
        <v>274</v>
      </c>
      <c r="AD53" s="770" t="s">
        <v>275</v>
      </c>
      <c r="AE53" s="965">
        <v>91119</v>
      </c>
      <c r="AF53" s="966" t="s">
        <v>1586</v>
      </c>
      <c r="AG53" s="766"/>
      <c r="AH53" s="873" t="str">
        <f t="shared" si="3"/>
        <v>2.3.2.02.02.009.4101023.91119</v>
      </c>
      <c r="AI53" s="827"/>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row>
    <row r="54" spans="1:114" s="374" customFormat="1" ht="78.75" hidden="1" customHeight="1" x14ac:dyDescent="0.2">
      <c r="A54" s="931">
        <v>309</v>
      </c>
      <c r="B54" s="762" t="s">
        <v>1431</v>
      </c>
      <c r="C54" s="763">
        <v>1</v>
      </c>
      <c r="D54" s="785" t="s">
        <v>1412</v>
      </c>
      <c r="E54" s="1164" t="s">
        <v>1591</v>
      </c>
      <c r="F54" s="961">
        <v>6</v>
      </c>
      <c r="G54" s="961" t="s">
        <v>1395</v>
      </c>
      <c r="H54" s="949" t="s">
        <v>1598</v>
      </c>
      <c r="I54" s="958">
        <v>7000000</v>
      </c>
      <c r="J54" s="778"/>
      <c r="K54" s="778"/>
      <c r="L54" s="778"/>
      <c r="M54" s="767">
        <v>20</v>
      </c>
      <c r="N54" s="767" t="s">
        <v>1585</v>
      </c>
      <c r="O54" s="779"/>
      <c r="P54" s="779"/>
      <c r="Q54" s="779"/>
      <c r="R54" s="779"/>
      <c r="S54" s="779"/>
      <c r="T54" s="779"/>
      <c r="U54" s="767">
        <v>41</v>
      </c>
      <c r="V54" s="796" t="s">
        <v>1308</v>
      </c>
      <c r="W54" s="763">
        <v>4101</v>
      </c>
      <c r="X54" s="764" t="s">
        <v>270</v>
      </c>
      <c r="Y54" s="767">
        <v>41012</v>
      </c>
      <c r="Z54" s="805" t="s">
        <v>1852</v>
      </c>
      <c r="AA54" s="797" t="s">
        <v>1600</v>
      </c>
      <c r="AB54" s="770" t="s">
        <v>272</v>
      </c>
      <c r="AC54" s="942" t="s">
        <v>274</v>
      </c>
      <c r="AD54" s="770" t="s">
        <v>275</v>
      </c>
      <c r="AE54" s="970">
        <v>63391</v>
      </c>
      <c r="AF54" s="740" t="s">
        <v>1588</v>
      </c>
      <c r="AG54" s="766"/>
      <c r="AH54" s="873" t="str">
        <f t="shared" si="3"/>
        <v>2.3.2.02.02.006.4101023.63391</v>
      </c>
      <c r="AI54" s="827"/>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row>
    <row r="55" spans="1:114" s="374" customFormat="1" ht="67.5" hidden="1" customHeight="1" x14ac:dyDescent="0.2">
      <c r="A55" s="931">
        <v>309</v>
      </c>
      <c r="B55" s="762" t="s">
        <v>1431</v>
      </c>
      <c r="C55" s="763">
        <v>1</v>
      </c>
      <c r="D55" s="785" t="s">
        <v>1412</v>
      </c>
      <c r="E55" s="1165" t="s">
        <v>1596</v>
      </c>
      <c r="F55" s="962">
        <v>6</v>
      </c>
      <c r="G55" s="962" t="s">
        <v>1395</v>
      </c>
      <c r="H55" s="949" t="s">
        <v>1599</v>
      </c>
      <c r="I55" s="963">
        <v>3000000</v>
      </c>
      <c r="J55" s="778"/>
      <c r="K55" s="778"/>
      <c r="L55" s="778"/>
      <c r="M55" s="767">
        <v>20</v>
      </c>
      <c r="N55" s="767" t="s">
        <v>1585</v>
      </c>
      <c r="O55" s="779"/>
      <c r="P55" s="779"/>
      <c r="Q55" s="779"/>
      <c r="R55" s="779"/>
      <c r="S55" s="779"/>
      <c r="T55" s="779"/>
      <c r="U55" s="767">
        <v>41</v>
      </c>
      <c r="V55" s="796" t="s">
        <v>1308</v>
      </c>
      <c r="W55" s="984">
        <v>4101</v>
      </c>
      <c r="X55" s="1109" t="s">
        <v>270</v>
      </c>
      <c r="Y55" s="1081">
        <v>41012</v>
      </c>
      <c r="Z55" s="805" t="s">
        <v>1852</v>
      </c>
      <c r="AA55" s="797" t="s">
        <v>1600</v>
      </c>
      <c r="AB55" s="770" t="s">
        <v>272</v>
      </c>
      <c r="AC55" s="942" t="s">
        <v>274</v>
      </c>
      <c r="AD55" s="770" t="s">
        <v>275</v>
      </c>
      <c r="AE55" s="971">
        <v>32690</v>
      </c>
      <c r="AF55" s="972" t="s">
        <v>1594</v>
      </c>
      <c r="AG55" s="766"/>
      <c r="AH55" s="873" t="str">
        <f t="shared" si="3"/>
        <v>2.3.2.02.01.003.4101023.32690</v>
      </c>
      <c r="AI55" s="827"/>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row>
    <row r="56" spans="1:114" s="374" customFormat="1" ht="89.25" hidden="1" customHeight="1" x14ac:dyDescent="0.2">
      <c r="A56" s="931">
        <v>309</v>
      </c>
      <c r="B56" s="762" t="s">
        <v>1431</v>
      </c>
      <c r="C56" s="763">
        <v>1</v>
      </c>
      <c r="D56" s="785" t="s">
        <v>1412</v>
      </c>
      <c r="E56" s="1163" t="s">
        <v>1540</v>
      </c>
      <c r="F56" s="961">
        <v>6</v>
      </c>
      <c r="G56" s="961" t="s">
        <v>1395</v>
      </c>
      <c r="H56" s="949" t="s">
        <v>1537</v>
      </c>
      <c r="I56" s="958">
        <v>40000000</v>
      </c>
      <c r="J56" s="778"/>
      <c r="K56" s="778"/>
      <c r="L56" s="778"/>
      <c r="M56" s="767">
        <v>20</v>
      </c>
      <c r="N56" s="767" t="s">
        <v>1585</v>
      </c>
      <c r="O56" s="779"/>
      <c r="P56" s="779"/>
      <c r="Q56" s="779"/>
      <c r="R56" s="779"/>
      <c r="S56" s="779"/>
      <c r="T56" s="779"/>
      <c r="U56" s="767">
        <v>41</v>
      </c>
      <c r="V56" s="796" t="s">
        <v>1308</v>
      </c>
      <c r="W56" s="1111">
        <v>4101</v>
      </c>
      <c r="X56" s="765" t="s">
        <v>270</v>
      </c>
      <c r="Y56" s="767">
        <v>41011</v>
      </c>
      <c r="Z56" s="805" t="s">
        <v>1853</v>
      </c>
      <c r="AA56" s="806" t="s">
        <v>1601</v>
      </c>
      <c r="AB56" s="770" t="s">
        <v>277</v>
      </c>
      <c r="AC56" s="780" t="s">
        <v>274</v>
      </c>
      <c r="AD56" s="770" t="s">
        <v>275</v>
      </c>
      <c r="AE56" s="872" t="s">
        <v>1549</v>
      </c>
      <c r="AF56" s="876" t="s">
        <v>1586</v>
      </c>
      <c r="AG56" s="766"/>
      <c r="AH56" s="873" t="str">
        <f t="shared" si="3"/>
        <v>2.3.2.02.02.009.4101025.91119.</v>
      </c>
      <c r="AI56" s="827"/>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row>
    <row r="57" spans="1:114" s="374" customFormat="1" ht="92.25" hidden="1" customHeight="1" x14ac:dyDescent="0.2">
      <c r="A57" s="931">
        <v>309</v>
      </c>
      <c r="B57" s="762" t="s">
        <v>1431</v>
      </c>
      <c r="C57" s="763">
        <v>1</v>
      </c>
      <c r="D57" s="991" t="s">
        <v>1412</v>
      </c>
      <c r="E57" s="1165" t="s">
        <v>1596</v>
      </c>
      <c r="F57" s="962">
        <v>6</v>
      </c>
      <c r="G57" s="962" t="s">
        <v>1395</v>
      </c>
      <c r="H57" s="949" t="s">
        <v>1599</v>
      </c>
      <c r="I57" s="958">
        <v>5000000</v>
      </c>
      <c r="J57" s="778"/>
      <c r="K57" s="778"/>
      <c r="L57" s="778"/>
      <c r="M57" s="767">
        <v>20</v>
      </c>
      <c r="N57" s="767" t="s">
        <v>1585</v>
      </c>
      <c r="O57" s="779"/>
      <c r="P57" s="779"/>
      <c r="Q57" s="779"/>
      <c r="R57" s="779"/>
      <c r="S57" s="779"/>
      <c r="T57" s="779"/>
      <c r="U57" s="767">
        <v>41</v>
      </c>
      <c r="V57" s="796" t="s">
        <v>1308</v>
      </c>
      <c r="W57" s="983">
        <v>4101</v>
      </c>
      <c r="X57" s="1112" t="s">
        <v>270</v>
      </c>
      <c r="Y57" s="948">
        <v>41012</v>
      </c>
      <c r="Z57" s="805" t="s">
        <v>1854</v>
      </c>
      <c r="AA57" s="806" t="s">
        <v>1602</v>
      </c>
      <c r="AB57" s="770" t="s">
        <v>279</v>
      </c>
      <c r="AC57" s="780" t="s">
        <v>274</v>
      </c>
      <c r="AD57" s="770" t="s">
        <v>275</v>
      </c>
      <c r="AE57" s="971">
        <v>32690</v>
      </c>
      <c r="AF57" s="972" t="s">
        <v>1594</v>
      </c>
      <c r="AG57" s="766"/>
      <c r="AH57" s="873" t="str">
        <f t="shared" si="3"/>
        <v>2.3.2.02.01.003.4101038.32690</v>
      </c>
      <c r="AI57" s="827"/>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row>
    <row r="58" spans="1:114" s="374" customFormat="1" ht="81" hidden="1" customHeight="1" x14ac:dyDescent="0.2">
      <c r="A58" s="931">
        <v>309</v>
      </c>
      <c r="B58" s="762" t="s">
        <v>1431</v>
      </c>
      <c r="C58" s="763">
        <v>1</v>
      </c>
      <c r="D58" s="785" t="s">
        <v>1412</v>
      </c>
      <c r="E58" s="1164" t="s">
        <v>1591</v>
      </c>
      <c r="F58" s="961">
        <v>6</v>
      </c>
      <c r="G58" s="961" t="s">
        <v>1395</v>
      </c>
      <c r="H58" s="949" t="s">
        <v>1598</v>
      </c>
      <c r="I58" s="957">
        <v>5000000</v>
      </c>
      <c r="J58" s="778"/>
      <c r="K58" s="778"/>
      <c r="L58" s="778"/>
      <c r="M58" s="767">
        <v>20</v>
      </c>
      <c r="N58" s="767" t="s">
        <v>1585</v>
      </c>
      <c r="O58" s="779"/>
      <c r="P58" s="779"/>
      <c r="Q58" s="779"/>
      <c r="R58" s="779"/>
      <c r="S58" s="779"/>
      <c r="T58" s="779"/>
      <c r="U58" s="767">
        <v>41</v>
      </c>
      <c r="V58" s="796" t="s">
        <v>1308</v>
      </c>
      <c r="W58" s="983">
        <v>4101</v>
      </c>
      <c r="X58" s="873" t="s">
        <v>270</v>
      </c>
      <c r="Y58" s="948">
        <v>41012</v>
      </c>
      <c r="Z58" s="805" t="s">
        <v>1854</v>
      </c>
      <c r="AA58" s="1187" t="s">
        <v>1602</v>
      </c>
      <c r="AB58" s="770" t="s">
        <v>279</v>
      </c>
      <c r="AC58" s="942" t="s">
        <v>274</v>
      </c>
      <c r="AD58" s="770" t="s">
        <v>275</v>
      </c>
      <c r="AE58" s="970">
        <v>63391</v>
      </c>
      <c r="AF58" s="740" t="s">
        <v>1588</v>
      </c>
      <c r="AG58" s="766"/>
      <c r="AH58" s="873" t="str">
        <f t="shared" si="3"/>
        <v>2.3.2.02.02.006.4101038.63391</v>
      </c>
      <c r="AI58" s="827"/>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row>
    <row r="59" spans="1:114" s="374" customFormat="1" ht="85.5" hidden="1" customHeight="1" x14ac:dyDescent="0.2">
      <c r="A59" s="931">
        <v>309</v>
      </c>
      <c r="B59" s="762" t="s">
        <v>1431</v>
      </c>
      <c r="C59" s="763">
        <v>1</v>
      </c>
      <c r="D59" s="991" t="s">
        <v>1412</v>
      </c>
      <c r="E59" s="1163" t="s">
        <v>1540</v>
      </c>
      <c r="F59" s="961">
        <v>6</v>
      </c>
      <c r="G59" s="961" t="s">
        <v>1395</v>
      </c>
      <c r="H59" s="949" t="s">
        <v>1537</v>
      </c>
      <c r="I59" s="958">
        <v>31000000</v>
      </c>
      <c r="J59" s="778"/>
      <c r="K59" s="778"/>
      <c r="L59" s="778"/>
      <c r="M59" s="767">
        <v>20</v>
      </c>
      <c r="N59" s="767" t="s">
        <v>1585</v>
      </c>
      <c r="O59" s="779"/>
      <c r="P59" s="779"/>
      <c r="Q59" s="779"/>
      <c r="R59" s="779"/>
      <c r="S59" s="779"/>
      <c r="T59" s="779"/>
      <c r="U59" s="767">
        <v>41</v>
      </c>
      <c r="V59" s="796" t="s">
        <v>1308</v>
      </c>
      <c r="W59" s="983">
        <v>4101</v>
      </c>
      <c r="X59" s="873" t="s">
        <v>270</v>
      </c>
      <c r="Y59" s="948">
        <v>41012</v>
      </c>
      <c r="Z59" s="805" t="s">
        <v>1854</v>
      </c>
      <c r="AA59" s="1187" t="s">
        <v>1602</v>
      </c>
      <c r="AB59" s="770" t="s">
        <v>279</v>
      </c>
      <c r="AC59" s="942" t="s">
        <v>274</v>
      </c>
      <c r="AD59" s="770" t="s">
        <v>275</v>
      </c>
      <c r="AE59" s="788" t="s">
        <v>1549</v>
      </c>
      <c r="AF59" s="954" t="s">
        <v>1586</v>
      </c>
      <c r="AG59" s="766"/>
      <c r="AH59" s="873" t="str">
        <f t="shared" si="3"/>
        <v>2.3.2.02.02.009.4101038.91119.</v>
      </c>
      <c r="AI59" s="827"/>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row>
    <row r="60" spans="1:114" s="374" customFormat="1" ht="124.5" hidden="1" customHeight="1" x14ac:dyDescent="0.2">
      <c r="A60" s="931">
        <v>309</v>
      </c>
      <c r="B60" s="762" t="s">
        <v>1431</v>
      </c>
      <c r="C60" s="763">
        <v>1</v>
      </c>
      <c r="D60" s="991" t="s">
        <v>1412</v>
      </c>
      <c r="E60" s="1189" t="s">
        <v>1613</v>
      </c>
      <c r="F60" s="962">
        <v>5</v>
      </c>
      <c r="G60" s="962" t="s">
        <v>1395</v>
      </c>
      <c r="H60" s="964" t="s">
        <v>1603</v>
      </c>
      <c r="I60" s="1190">
        <v>40000000</v>
      </c>
      <c r="J60" s="778"/>
      <c r="K60" s="778"/>
      <c r="L60" s="778"/>
      <c r="M60" s="767">
        <v>20</v>
      </c>
      <c r="N60" s="767" t="s">
        <v>1585</v>
      </c>
      <c r="O60" s="779"/>
      <c r="P60" s="779"/>
      <c r="Q60" s="779"/>
      <c r="R60" s="779"/>
      <c r="S60" s="779"/>
      <c r="T60" s="779"/>
      <c r="U60" s="767">
        <v>41</v>
      </c>
      <c r="V60" s="796" t="s">
        <v>1308</v>
      </c>
      <c r="W60" s="983">
        <v>4101</v>
      </c>
      <c r="X60" s="1113" t="s">
        <v>270</v>
      </c>
      <c r="Y60" s="948">
        <v>41011</v>
      </c>
      <c r="Z60" s="805" t="s">
        <v>1853</v>
      </c>
      <c r="AA60" s="1187" t="s">
        <v>1609</v>
      </c>
      <c r="AB60" s="770" t="s">
        <v>282</v>
      </c>
      <c r="AC60" s="780" t="s">
        <v>274</v>
      </c>
      <c r="AD60" s="770" t="s">
        <v>275</v>
      </c>
      <c r="AE60" s="872">
        <v>44516</v>
      </c>
      <c r="AF60" s="873" t="s">
        <v>1856</v>
      </c>
      <c r="AG60" s="766"/>
      <c r="AH60" s="873" t="str">
        <f t="shared" si="3"/>
        <v>2.3.5.01.04.4101073.44516</v>
      </c>
      <c r="AI60" s="827"/>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row>
    <row r="61" spans="1:114" s="374" customFormat="1" ht="82.5" hidden="1" customHeight="1" x14ac:dyDescent="0.2">
      <c r="A61" s="931">
        <v>309</v>
      </c>
      <c r="B61" s="762" t="s">
        <v>1431</v>
      </c>
      <c r="C61" s="763">
        <v>1</v>
      </c>
      <c r="D61" s="785" t="s">
        <v>1412</v>
      </c>
      <c r="E61" s="1149" t="s">
        <v>1540</v>
      </c>
      <c r="F61" s="763">
        <v>6</v>
      </c>
      <c r="G61" s="763" t="s">
        <v>1395</v>
      </c>
      <c r="H61" s="807" t="s">
        <v>1537</v>
      </c>
      <c r="I61" s="947">
        <v>9000000</v>
      </c>
      <c r="J61" s="778"/>
      <c r="K61" s="778"/>
      <c r="L61" s="778"/>
      <c r="M61" s="767">
        <v>20</v>
      </c>
      <c r="N61" s="767" t="s">
        <v>1585</v>
      </c>
      <c r="O61" s="779"/>
      <c r="P61" s="779"/>
      <c r="Q61" s="779"/>
      <c r="R61" s="779"/>
      <c r="S61" s="779"/>
      <c r="T61" s="779"/>
      <c r="U61" s="767">
        <v>41</v>
      </c>
      <c r="V61" s="796" t="s">
        <v>1308</v>
      </c>
      <c r="W61" s="983">
        <v>4101</v>
      </c>
      <c r="X61" s="765" t="s">
        <v>270</v>
      </c>
      <c r="Y61" s="983">
        <v>41018</v>
      </c>
      <c r="Z61" s="805" t="s">
        <v>1435</v>
      </c>
      <c r="AA61" s="1187" t="s">
        <v>1610</v>
      </c>
      <c r="AB61" s="770" t="s">
        <v>285</v>
      </c>
      <c r="AC61" s="780" t="s">
        <v>274</v>
      </c>
      <c r="AD61" s="770" t="s">
        <v>275</v>
      </c>
      <c r="AE61" s="788" t="s">
        <v>1549</v>
      </c>
      <c r="AF61" s="954" t="s">
        <v>1586</v>
      </c>
      <c r="AG61" s="766"/>
      <c r="AH61" s="873" t="str">
        <f t="shared" si="3"/>
        <v>2.3.2.02.02.009.4101011.91119.</v>
      </c>
      <c r="AI61" s="827"/>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row>
    <row r="62" spans="1:114" s="374" customFormat="1" ht="115.5" hidden="1" customHeight="1" x14ac:dyDescent="0.2">
      <c r="A62" s="931">
        <v>309</v>
      </c>
      <c r="B62" s="762" t="s">
        <v>1431</v>
      </c>
      <c r="C62" s="763">
        <v>1</v>
      </c>
      <c r="D62" s="785" t="s">
        <v>1412</v>
      </c>
      <c r="E62" s="1149" t="s">
        <v>1591</v>
      </c>
      <c r="F62" s="763">
        <v>6</v>
      </c>
      <c r="G62" s="763" t="s">
        <v>1395</v>
      </c>
      <c r="H62" s="807" t="s">
        <v>1598</v>
      </c>
      <c r="I62" s="947">
        <v>3000000</v>
      </c>
      <c r="J62" s="778"/>
      <c r="K62" s="778"/>
      <c r="L62" s="778"/>
      <c r="M62" s="767">
        <v>20</v>
      </c>
      <c r="N62" s="767" t="s">
        <v>1585</v>
      </c>
      <c r="O62" s="779"/>
      <c r="P62" s="779"/>
      <c r="Q62" s="779"/>
      <c r="R62" s="779"/>
      <c r="S62" s="779"/>
      <c r="T62" s="779"/>
      <c r="U62" s="767">
        <v>41</v>
      </c>
      <c r="V62" s="796" t="s">
        <v>1308</v>
      </c>
      <c r="W62" s="983">
        <v>4101</v>
      </c>
      <c r="X62" s="765" t="s">
        <v>270</v>
      </c>
      <c r="Y62" s="983">
        <v>41018</v>
      </c>
      <c r="Z62" s="805" t="s">
        <v>1435</v>
      </c>
      <c r="AA62" s="1187" t="s">
        <v>1610</v>
      </c>
      <c r="AB62" s="770" t="s">
        <v>285</v>
      </c>
      <c r="AC62" s="942" t="s">
        <v>274</v>
      </c>
      <c r="AD62" s="770" t="s">
        <v>275</v>
      </c>
      <c r="AE62" s="970" t="s">
        <v>1604</v>
      </c>
      <c r="AF62" s="740" t="s">
        <v>1588</v>
      </c>
      <c r="AG62" s="766"/>
      <c r="AH62" s="873" t="str">
        <f t="shared" si="3"/>
        <v>2.3.2.02.02.006.4101011.63391.</v>
      </c>
      <c r="AI62" s="827"/>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row>
    <row r="63" spans="1:114" s="374" customFormat="1" ht="103.5" hidden="1" customHeight="1" x14ac:dyDescent="0.2">
      <c r="A63" s="931">
        <v>309</v>
      </c>
      <c r="B63" s="762" t="s">
        <v>1431</v>
      </c>
      <c r="C63" s="763">
        <v>1</v>
      </c>
      <c r="D63" s="785" t="s">
        <v>1412</v>
      </c>
      <c r="E63" s="1149" t="s">
        <v>1596</v>
      </c>
      <c r="F63" s="763">
        <v>6</v>
      </c>
      <c r="G63" s="763" t="s">
        <v>1395</v>
      </c>
      <c r="H63" s="807" t="s">
        <v>1599</v>
      </c>
      <c r="I63" s="947">
        <v>3000000</v>
      </c>
      <c r="J63" s="778"/>
      <c r="K63" s="778"/>
      <c r="L63" s="778"/>
      <c r="M63" s="767">
        <v>20</v>
      </c>
      <c r="N63" s="767" t="s">
        <v>1585</v>
      </c>
      <c r="O63" s="779"/>
      <c r="P63" s="779"/>
      <c r="Q63" s="779"/>
      <c r="R63" s="779"/>
      <c r="S63" s="779"/>
      <c r="T63" s="779"/>
      <c r="U63" s="767">
        <v>41</v>
      </c>
      <c r="V63" s="796" t="s">
        <v>1308</v>
      </c>
      <c r="W63" s="763">
        <v>4101</v>
      </c>
      <c r="X63" s="1110" t="s">
        <v>270</v>
      </c>
      <c r="Y63" s="983">
        <v>41018</v>
      </c>
      <c r="Z63" s="805" t="s">
        <v>1435</v>
      </c>
      <c r="AA63" s="1187" t="s">
        <v>1610</v>
      </c>
      <c r="AB63" s="770" t="s">
        <v>285</v>
      </c>
      <c r="AC63" s="942" t="s">
        <v>274</v>
      </c>
      <c r="AD63" s="770" t="s">
        <v>275</v>
      </c>
      <c r="AE63" s="971" t="s">
        <v>1634</v>
      </c>
      <c r="AF63" s="972" t="s">
        <v>1594</v>
      </c>
      <c r="AG63" s="766"/>
      <c r="AH63" s="873" t="str">
        <f t="shared" si="3"/>
        <v>2.3.2.02.01.003.4101011.32690.</v>
      </c>
      <c r="AI63" s="827"/>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row>
    <row r="64" spans="1:114" s="374" customFormat="1" ht="100.5" hidden="1" customHeight="1" x14ac:dyDescent="0.2">
      <c r="A64" s="931">
        <v>309</v>
      </c>
      <c r="B64" s="762" t="s">
        <v>1431</v>
      </c>
      <c r="C64" s="763">
        <v>1</v>
      </c>
      <c r="D64" s="785" t="s">
        <v>1412</v>
      </c>
      <c r="E64" s="1149" t="s">
        <v>1540</v>
      </c>
      <c r="F64" s="763">
        <v>6</v>
      </c>
      <c r="G64" s="763" t="s">
        <v>1395</v>
      </c>
      <c r="H64" s="807" t="s">
        <v>1537</v>
      </c>
      <c r="I64" s="947">
        <v>4000000</v>
      </c>
      <c r="J64" s="778"/>
      <c r="K64" s="778"/>
      <c r="L64" s="778"/>
      <c r="M64" s="767">
        <v>20</v>
      </c>
      <c r="N64" s="767" t="s">
        <v>1585</v>
      </c>
      <c r="O64" s="779"/>
      <c r="P64" s="779"/>
      <c r="Q64" s="779"/>
      <c r="R64" s="779"/>
      <c r="S64" s="779"/>
      <c r="T64" s="779"/>
      <c r="U64" s="767">
        <v>41</v>
      </c>
      <c r="V64" s="796" t="s">
        <v>1308</v>
      </c>
      <c r="W64" s="763">
        <v>4103</v>
      </c>
      <c r="X64" s="770" t="s">
        <v>287</v>
      </c>
      <c r="Y64" s="763">
        <v>41032</v>
      </c>
      <c r="Z64" s="791" t="s">
        <v>1436</v>
      </c>
      <c r="AA64" s="1191" t="s">
        <v>1611</v>
      </c>
      <c r="AB64" s="770" t="s">
        <v>290</v>
      </c>
      <c r="AC64" s="780" t="s">
        <v>293</v>
      </c>
      <c r="AD64" s="783" t="s">
        <v>294</v>
      </c>
      <c r="AE64" s="788" t="s">
        <v>1549</v>
      </c>
      <c r="AF64" s="954" t="s">
        <v>1586</v>
      </c>
      <c r="AG64" s="795"/>
      <c r="AH64" s="873" t="str">
        <f t="shared" si="3"/>
        <v>2.3.2.02.02.009.4103052.91119.</v>
      </c>
      <c r="AI64" s="827"/>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row>
    <row r="65" spans="1:114" s="374" customFormat="1" ht="100.5" hidden="1" customHeight="1" x14ac:dyDescent="0.2">
      <c r="A65" s="931">
        <v>309</v>
      </c>
      <c r="B65" s="762" t="s">
        <v>1431</v>
      </c>
      <c r="C65" s="763">
        <v>1</v>
      </c>
      <c r="D65" s="785" t="s">
        <v>1412</v>
      </c>
      <c r="E65" s="1149" t="s">
        <v>1596</v>
      </c>
      <c r="F65" s="763">
        <v>6</v>
      </c>
      <c r="G65" s="763" t="s">
        <v>1395</v>
      </c>
      <c r="H65" s="807" t="s">
        <v>1599</v>
      </c>
      <c r="I65" s="947">
        <v>14000000</v>
      </c>
      <c r="J65" s="778"/>
      <c r="K65" s="778"/>
      <c r="L65" s="778"/>
      <c r="M65" s="767">
        <v>20</v>
      </c>
      <c r="N65" s="767" t="s">
        <v>1585</v>
      </c>
      <c r="O65" s="779"/>
      <c r="P65" s="779"/>
      <c r="Q65" s="779"/>
      <c r="R65" s="779"/>
      <c r="S65" s="779"/>
      <c r="T65" s="779"/>
      <c r="U65" s="767">
        <v>41</v>
      </c>
      <c r="V65" s="796" t="s">
        <v>1308</v>
      </c>
      <c r="W65" s="763">
        <v>4103</v>
      </c>
      <c r="X65" s="770" t="s">
        <v>287</v>
      </c>
      <c r="Y65" s="763">
        <v>41032</v>
      </c>
      <c r="Z65" s="791" t="s">
        <v>1436</v>
      </c>
      <c r="AA65" s="1191" t="s">
        <v>1611</v>
      </c>
      <c r="AB65" s="770" t="s">
        <v>290</v>
      </c>
      <c r="AC65" s="942" t="s">
        <v>293</v>
      </c>
      <c r="AD65" s="783" t="s">
        <v>294</v>
      </c>
      <c r="AE65" s="971" t="s">
        <v>1634</v>
      </c>
      <c r="AF65" s="972" t="s">
        <v>1594</v>
      </c>
      <c r="AG65" s="795"/>
      <c r="AH65" s="873" t="str">
        <f t="shared" si="3"/>
        <v>2.3.2.02.01.003.4103052.32690.</v>
      </c>
      <c r="AI65" s="827"/>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row>
    <row r="66" spans="1:114" s="374" customFormat="1" ht="157.5" hidden="1" customHeight="1" x14ac:dyDescent="0.2">
      <c r="A66" s="931">
        <v>309</v>
      </c>
      <c r="B66" s="990" t="s">
        <v>1431</v>
      </c>
      <c r="C66" s="792">
        <v>1</v>
      </c>
      <c r="D66" s="991" t="s">
        <v>1412</v>
      </c>
      <c r="E66" s="1000" t="s">
        <v>1540</v>
      </c>
      <c r="F66" s="792">
        <v>6</v>
      </c>
      <c r="G66" s="792" t="s">
        <v>1395</v>
      </c>
      <c r="H66" s="992" t="s">
        <v>1537</v>
      </c>
      <c r="I66" s="1190">
        <v>157000000</v>
      </c>
      <c r="J66" s="778"/>
      <c r="K66" s="778"/>
      <c r="L66" s="778"/>
      <c r="M66" s="767">
        <v>42</v>
      </c>
      <c r="N66" s="784" t="s">
        <v>1278</v>
      </c>
      <c r="O66" s="789"/>
      <c r="P66" s="790"/>
      <c r="Q66" s="790"/>
      <c r="R66" s="790"/>
      <c r="S66" s="790"/>
      <c r="T66" s="790"/>
      <c r="U66" s="763">
        <v>45</v>
      </c>
      <c r="V66" s="785" t="s">
        <v>1302</v>
      </c>
      <c r="W66" s="763">
        <v>4501</v>
      </c>
      <c r="X66" s="770" t="s">
        <v>296</v>
      </c>
      <c r="Y66" s="763">
        <v>45012</v>
      </c>
      <c r="Z66" s="771" t="s">
        <v>1437</v>
      </c>
      <c r="AA66" s="1191" t="s">
        <v>1612</v>
      </c>
      <c r="AB66" s="770" t="s">
        <v>297</v>
      </c>
      <c r="AC66" s="780" t="s">
        <v>299</v>
      </c>
      <c r="AD66" s="783" t="s">
        <v>300</v>
      </c>
      <c r="AE66" s="774" t="s">
        <v>1549</v>
      </c>
      <c r="AF66" s="794" t="s">
        <v>1586</v>
      </c>
      <c r="AG66" s="795"/>
      <c r="AH66" s="873" t="str">
        <f t="shared" si="3"/>
        <v>2.3.2.02.02.009.4501029.91119.</v>
      </c>
      <c r="AI66" s="827"/>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row>
    <row r="67" spans="1:114" s="374" customFormat="1" ht="102.75" hidden="1" customHeight="1" x14ac:dyDescent="0.2">
      <c r="A67" s="931">
        <v>309</v>
      </c>
      <c r="B67" s="990" t="s">
        <v>1431</v>
      </c>
      <c r="C67" s="792">
        <v>1</v>
      </c>
      <c r="D67" s="991" t="s">
        <v>1412</v>
      </c>
      <c r="E67" s="1000" t="s">
        <v>1596</v>
      </c>
      <c r="F67" s="792">
        <v>6</v>
      </c>
      <c r="G67" s="792" t="s">
        <v>1395</v>
      </c>
      <c r="H67" s="992" t="s">
        <v>1593</v>
      </c>
      <c r="I67" s="1190">
        <v>150000000</v>
      </c>
      <c r="J67" s="778"/>
      <c r="K67" s="778"/>
      <c r="L67" s="778"/>
      <c r="M67" s="767">
        <v>42</v>
      </c>
      <c r="N67" s="784" t="s">
        <v>1278</v>
      </c>
      <c r="O67" s="789"/>
      <c r="P67" s="790"/>
      <c r="Q67" s="790"/>
      <c r="R67" s="790"/>
      <c r="S67" s="790"/>
      <c r="T67" s="790"/>
      <c r="U67" s="763">
        <v>45</v>
      </c>
      <c r="V67" s="785" t="s">
        <v>1302</v>
      </c>
      <c r="W67" s="763">
        <v>4501</v>
      </c>
      <c r="X67" s="770" t="s">
        <v>296</v>
      </c>
      <c r="Y67" s="763">
        <v>45012</v>
      </c>
      <c r="Z67" s="771" t="s">
        <v>1437</v>
      </c>
      <c r="AA67" s="1191" t="s">
        <v>1612</v>
      </c>
      <c r="AB67" s="770" t="s">
        <v>297</v>
      </c>
      <c r="AC67" s="942" t="s">
        <v>299</v>
      </c>
      <c r="AD67" s="783" t="s">
        <v>300</v>
      </c>
      <c r="AE67" s="965" t="s">
        <v>1635</v>
      </c>
      <c r="AF67" s="794" t="s">
        <v>1608</v>
      </c>
      <c r="AG67" s="795"/>
      <c r="AH67" s="873" t="str">
        <f t="shared" si="3"/>
        <v>2.3.2.02.01.003.4501029.33311.</v>
      </c>
      <c r="AI67" s="827"/>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row>
    <row r="68" spans="1:114" s="374" customFormat="1" ht="110.25" hidden="1" customHeight="1" x14ac:dyDescent="0.2">
      <c r="A68" s="931">
        <v>309</v>
      </c>
      <c r="B68" s="990" t="s">
        <v>1431</v>
      </c>
      <c r="C68" s="792">
        <v>1</v>
      </c>
      <c r="D68" s="991" t="s">
        <v>1412</v>
      </c>
      <c r="E68" s="1000" t="s">
        <v>1614</v>
      </c>
      <c r="F68" s="792">
        <v>8</v>
      </c>
      <c r="G68" s="792" t="s">
        <v>1395</v>
      </c>
      <c r="H68" s="992" t="s">
        <v>1605</v>
      </c>
      <c r="I68" s="1190">
        <v>1077182726</v>
      </c>
      <c r="J68" s="778"/>
      <c r="K68" s="778"/>
      <c r="L68" s="778"/>
      <c r="M68" s="767">
        <v>42</v>
      </c>
      <c r="N68" s="784" t="s">
        <v>1278</v>
      </c>
      <c r="O68" s="789"/>
      <c r="P68" s="790"/>
      <c r="Q68" s="790"/>
      <c r="R68" s="790"/>
      <c r="S68" s="790"/>
      <c r="T68" s="790"/>
      <c r="U68" s="763">
        <v>45</v>
      </c>
      <c r="V68" s="785" t="s">
        <v>1302</v>
      </c>
      <c r="W68" s="763">
        <v>4501</v>
      </c>
      <c r="X68" s="770" t="s">
        <v>296</v>
      </c>
      <c r="Y68" s="763">
        <v>45012</v>
      </c>
      <c r="Z68" s="771" t="s">
        <v>1437</v>
      </c>
      <c r="AA68" s="1191" t="s">
        <v>1612</v>
      </c>
      <c r="AB68" s="770" t="s">
        <v>297</v>
      </c>
      <c r="AC68" s="942" t="s">
        <v>299</v>
      </c>
      <c r="AD68" s="783" t="s">
        <v>300</v>
      </c>
      <c r="AE68" s="1218" t="s">
        <v>1636</v>
      </c>
      <c r="AF68" s="966" t="s">
        <v>1606</v>
      </c>
      <c r="AG68" s="795"/>
      <c r="AH68" s="873" t="str">
        <f t="shared" si="3"/>
        <v>2.3.2.01.01.003.07.01.4501029.49119.</v>
      </c>
      <c r="AI68" s="827"/>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row>
    <row r="69" spans="1:114" s="374" customFormat="1" ht="133.5" hidden="1" customHeight="1" x14ac:dyDescent="0.2">
      <c r="A69" s="931">
        <v>309</v>
      </c>
      <c r="B69" s="990" t="s">
        <v>1431</v>
      </c>
      <c r="C69" s="792">
        <v>1</v>
      </c>
      <c r="D69" s="991" t="s">
        <v>1412</v>
      </c>
      <c r="E69" s="1000" t="s">
        <v>1540</v>
      </c>
      <c r="F69" s="792">
        <v>6</v>
      </c>
      <c r="G69" s="792" t="s">
        <v>1395</v>
      </c>
      <c r="H69" s="992" t="s">
        <v>1537</v>
      </c>
      <c r="I69" s="1190">
        <v>290000000</v>
      </c>
      <c r="J69" s="778"/>
      <c r="K69" s="778"/>
      <c r="L69" s="778"/>
      <c r="M69" s="767">
        <v>42</v>
      </c>
      <c r="N69" s="784" t="s">
        <v>1278</v>
      </c>
      <c r="O69" s="789"/>
      <c r="P69" s="790"/>
      <c r="Q69" s="790"/>
      <c r="R69" s="790"/>
      <c r="S69" s="790"/>
      <c r="T69" s="790"/>
      <c r="U69" s="763">
        <v>45</v>
      </c>
      <c r="V69" s="785" t="s">
        <v>1302</v>
      </c>
      <c r="W69" s="763">
        <v>4501</v>
      </c>
      <c r="X69" s="770" t="s">
        <v>296</v>
      </c>
      <c r="Y69" s="763">
        <v>45012</v>
      </c>
      <c r="Z69" s="771" t="s">
        <v>1437</v>
      </c>
      <c r="AA69" s="1191" t="s">
        <v>1612</v>
      </c>
      <c r="AB69" s="770" t="s">
        <v>297</v>
      </c>
      <c r="AC69" s="942" t="s">
        <v>299</v>
      </c>
      <c r="AD69" s="783" t="s">
        <v>300</v>
      </c>
      <c r="AE69" s="774" t="s">
        <v>1637</v>
      </c>
      <c r="AF69" s="794" t="s">
        <v>1607</v>
      </c>
      <c r="AG69" s="795"/>
      <c r="AH69" s="873" t="str">
        <f t="shared" si="3"/>
        <v>2.3.2.02.02.009.4501029.91134.</v>
      </c>
      <c r="AI69" s="827"/>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row>
    <row r="70" spans="1:114" s="374" customFormat="1" ht="145.5" hidden="1" customHeight="1" x14ac:dyDescent="0.2">
      <c r="A70" s="931">
        <v>309</v>
      </c>
      <c r="B70" s="990" t="s">
        <v>1431</v>
      </c>
      <c r="C70" s="792">
        <v>1</v>
      </c>
      <c r="D70" s="991" t="s">
        <v>1412</v>
      </c>
      <c r="E70" s="1000" t="s">
        <v>1596</v>
      </c>
      <c r="F70" s="792">
        <v>6</v>
      </c>
      <c r="G70" s="792" t="s">
        <v>1395</v>
      </c>
      <c r="H70" s="992" t="s">
        <v>1593</v>
      </c>
      <c r="I70" s="1190">
        <v>50000000</v>
      </c>
      <c r="J70" s="778"/>
      <c r="K70" s="778"/>
      <c r="L70" s="778"/>
      <c r="M70" s="767">
        <v>42</v>
      </c>
      <c r="N70" s="784" t="s">
        <v>1278</v>
      </c>
      <c r="O70" s="789"/>
      <c r="P70" s="790"/>
      <c r="Q70" s="790"/>
      <c r="R70" s="790"/>
      <c r="S70" s="790"/>
      <c r="T70" s="790"/>
      <c r="U70" s="763">
        <v>45</v>
      </c>
      <c r="V70" s="785" t="s">
        <v>1302</v>
      </c>
      <c r="W70" s="763">
        <v>4501</v>
      </c>
      <c r="X70" s="770" t="s">
        <v>296</v>
      </c>
      <c r="Y70" s="763">
        <v>45012</v>
      </c>
      <c r="Z70" s="771" t="s">
        <v>1437</v>
      </c>
      <c r="AA70" s="1191" t="s">
        <v>1612</v>
      </c>
      <c r="AB70" s="770" t="s">
        <v>297</v>
      </c>
      <c r="AC70" s="942" t="s">
        <v>299</v>
      </c>
      <c r="AD70" s="783" t="s">
        <v>300</v>
      </c>
      <c r="AE70" s="971" t="s">
        <v>1634</v>
      </c>
      <c r="AF70" s="972" t="s">
        <v>1594</v>
      </c>
      <c r="AG70" s="795"/>
      <c r="AH70" s="873" t="str">
        <f t="shared" si="3"/>
        <v>2.3.2.02.01.003.4501029.32690.</v>
      </c>
      <c r="AI70" s="827"/>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row>
    <row r="71" spans="1:114" s="374" customFormat="1" ht="72" hidden="1" customHeight="1" x14ac:dyDescent="0.2">
      <c r="A71" s="931">
        <v>309</v>
      </c>
      <c r="B71" s="990" t="s">
        <v>1431</v>
      </c>
      <c r="C71" s="792">
        <v>1</v>
      </c>
      <c r="D71" s="991" t="s">
        <v>1412</v>
      </c>
      <c r="E71" s="1157" t="s">
        <v>1540</v>
      </c>
      <c r="F71" s="1078">
        <v>6</v>
      </c>
      <c r="G71" s="1192" t="s">
        <v>1395</v>
      </c>
      <c r="H71" s="973" t="s">
        <v>1537</v>
      </c>
      <c r="I71" s="974">
        <v>31000000</v>
      </c>
      <c r="J71" s="784"/>
      <c r="K71" s="784"/>
      <c r="L71" s="784"/>
      <c r="M71" s="767">
        <v>20</v>
      </c>
      <c r="N71" s="784" t="s">
        <v>1406</v>
      </c>
      <c r="O71" s="808"/>
      <c r="P71" s="785"/>
      <c r="Q71" s="785"/>
      <c r="R71" s="785"/>
      <c r="S71" s="785"/>
      <c r="T71" s="785"/>
      <c r="U71" s="763">
        <v>45</v>
      </c>
      <c r="V71" s="785" t="s">
        <v>1302</v>
      </c>
      <c r="W71" s="763">
        <v>4501</v>
      </c>
      <c r="X71" s="770" t="s">
        <v>296</v>
      </c>
      <c r="Y71" s="763">
        <v>45011</v>
      </c>
      <c r="Z71" s="771" t="s">
        <v>1857</v>
      </c>
      <c r="AA71" s="763" t="s">
        <v>1616</v>
      </c>
      <c r="AB71" s="804" t="s">
        <v>102</v>
      </c>
      <c r="AC71" s="780" t="s">
        <v>308</v>
      </c>
      <c r="AD71" s="781" t="s">
        <v>309</v>
      </c>
      <c r="AE71" s="774">
        <v>91119</v>
      </c>
      <c r="AF71" s="794" t="s">
        <v>1586</v>
      </c>
      <c r="AG71" s="809"/>
      <c r="AH71" s="873" t="str">
        <f t="shared" si="3"/>
        <v>2.3.2.02.02.009.4501001.91119</v>
      </c>
      <c r="AI71" s="827"/>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row>
    <row r="72" spans="1:114" s="374" customFormat="1" ht="78.75" hidden="1" customHeight="1" x14ac:dyDescent="0.2">
      <c r="A72" s="931">
        <v>309</v>
      </c>
      <c r="B72" s="990" t="s">
        <v>1431</v>
      </c>
      <c r="C72" s="792">
        <v>1</v>
      </c>
      <c r="D72" s="991" t="s">
        <v>1412</v>
      </c>
      <c r="E72" s="1000" t="s">
        <v>1591</v>
      </c>
      <c r="F72" s="792">
        <v>6</v>
      </c>
      <c r="G72" s="975" t="s">
        <v>1395</v>
      </c>
      <c r="H72" s="876" t="s">
        <v>1590</v>
      </c>
      <c r="I72" s="950">
        <v>5000000</v>
      </c>
      <c r="J72" s="784"/>
      <c r="K72" s="784"/>
      <c r="L72" s="784"/>
      <c r="M72" s="767">
        <v>20</v>
      </c>
      <c r="N72" s="784" t="s">
        <v>1406</v>
      </c>
      <c r="O72" s="808"/>
      <c r="P72" s="785"/>
      <c r="Q72" s="785"/>
      <c r="R72" s="785"/>
      <c r="S72" s="785"/>
      <c r="T72" s="785"/>
      <c r="U72" s="763">
        <v>45</v>
      </c>
      <c r="V72" s="785" t="s">
        <v>1302</v>
      </c>
      <c r="W72" s="763">
        <v>4501</v>
      </c>
      <c r="X72" s="770" t="s">
        <v>296</v>
      </c>
      <c r="Y72" s="763">
        <v>45011</v>
      </c>
      <c r="Z72" s="771" t="s">
        <v>1857</v>
      </c>
      <c r="AA72" s="763" t="s">
        <v>1616</v>
      </c>
      <c r="AB72" s="804" t="s">
        <v>102</v>
      </c>
      <c r="AC72" s="942" t="s">
        <v>308</v>
      </c>
      <c r="AD72" s="781" t="s">
        <v>309</v>
      </c>
      <c r="AE72" s="774">
        <v>63391</v>
      </c>
      <c r="AF72" s="775" t="s">
        <v>1615</v>
      </c>
      <c r="AG72" s="809"/>
      <c r="AH72" s="873" t="str">
        <f t="shared" si="3"/>
        <v>2.3.2.02.02.006.4501001.63391</v>
      </c>
      <c r="AI72" s="827"/>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row>
    <row r="73" spans="1:114" s="374" customFormat="1" ht="137.25" hidden="1" customHeight="1" x14ac:dyDescent="0.2">
      <c r="A73" s="931">
        <v>309</v>
      </c>
      <c r="B73" s="990" t="s">
        <v>1431</v>
      </c>
      <c r="C73" s="792">
        <v>3</v>
      </c>
      <c r="D73" s="991" t="s">
        <v>1422</v>
      </c>
      <c r="E73" s="1000" t="s">
        <v>1540</v>
      </c>
      <c r="F73" s="792">
        <v>6</v>
      </c>
      <c r="G73" s="792" t="s">
        <v>1395</v>
      </c>
      <c r="H73" s="702" t="s">
        <v>1537</v>
      </c>
      <c r="I73" s="976">
        <v>16800000</v>
      </c>
      <c r="J73" s="778"/>
      <c r="K73" s="778"/>
      <c r="L73" s="778"/>
      <c r="M73" s="767">
        <v>20</v>
      </c>
      <c r="N73" s="784" t="s">
        <v>1406</v>
      </c>
      <c r="O73" s="789"/>
      <c r="P73" s="790"/>
      <c r="Q73" s="790"/>
      <c r="R73" s="790"/>
      <c r="S73" s="790"/>
      <c r="T73" s="790"/>
      <c r="U73" s="763">
        <v>32</v>
      </c>
      <c r="V73" s="771" t="s">
        <v>1307</v>
      </c>
      <c r="W73" s="763">
        <v>3205</v>
      </c>
      <c r="X73" s="770" t="s">
        <v>191</v>
      </c>
      <c r="Y73" s="763">
        <v>32052</v>
      </c>
      <c r="Z73" s="771" t="s">
        <v>1438</v>
      </c>
      <c r="AA73" s="763" t="s">
        <v>1619</v>
      </c>
      <c r="AB73" s="770" t="s">
        <v>312</v>
      </c>
      <c r="AC73" s="780" t="s">
        <v>314</v>
      </c>
      <c r="AD73" s="770" t="s">
        <v>315</v>
      </c>
      <c r="AE73" s="872" t="s">
        <v>1549</v>
      </c>
      <c r="AF73" s="873" t="s">
        <v>1586</v>
      </c>
      <c r="AG73" s="766"/>
      <c r="AH73" s="873" t="str">
        <f t="shared" si="3"/>
        <v>2.3.2.02.02.009.3205002.91119.</v>
      </c>
      <c r="AI73" s="827"/>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row>
    <row r="74" spans="1:114" s="374" customFormat="1" ht="137.25" hidden="1" customHeight="1" x14ac:dyDescent="0.2">
      <c r="A74" s="931">
        <v>309</v>
      </c>
      <c r="B74" s="990" t="s">
        <v>1431</v>
      </c>
      <c r="C74" s="792">
        <v>3</v>
      </c>
      <c r="D74" s="991" t="s">
        <v>1422</v>
      </c>
      <c r="E74" s="1000" t="s">
        <v>1638</v>
      </c>
      <c r="F74" s="792">
        <v>8</v>
      </c>
      <c r="G74" s="792" t="s">
        <v>1395</v>
      </c>
      <c r="H74" s="702" t="s">
        <v>1617</v>
      </c>
      <c r="I74" s="976">
        <v>28200000</v>
      </c>
      <c r="J74" s="778"/>
      <c r="K74" s="778"/>
      <c r="L74" s="778"/>
      <c r="M74" s="767">
        <v>20</v>
      </c>
      <c r="N74" s="784" t="s">
        <v>1406</v>
      </c>
      <c r="O74" s="789"/>
      <c r="P74" s="790"/>
      <c r="Q74" s="790"/>
      <c r="R74" s="790"/>
      <c r="S74" s="790"/>
      <c r="T74" s="790"/>
      <c r="U74" s="763">
        <v>32</v>
      </c>
      <c r="V74" s="771" t="s">
        <v>1307</v>
      </c>
      <c r="W74" s="763">
        <v>3205</v>
      </c>
      <c r="X74" s="770" t="s">
        <v>191</v>
      </c>
      <c r="Y74" s="763">
        <v>32052</v>
      </c>
      <c r="Z74" s="771" t="s">
        <v>1438</v>
      </c>
      <c r="AA74" s="763" t="s">
        <v>1619</v>
      </c>
      <c r="AB74" s="770" t="s">
        <v>312</v>
      </c>
      <c r="AC74" s="942" t="s">
        <v>314</v>
      </c>
      <c r="AD74" s="770" t="s">
        <v>315</v>
      </c>
      <c r="AE74" s="1464" t="s">
        <v>1620</v>
      </c>
      <c r="AF74" s="1429" t="s">
        <v>1618</v>
      </c>
      <c r="AG74" s="766"/>
      <c r="AH74" s="873" t="str">
        <f t="shared" si="3"/>
        <v>2.3.2.01.01.001.03.19.3205002.53290.</v>
      </c>
      <c r="AI74" s="827"/>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row>
    <row r="75" spans="1:114" s="374" customFormat="1" ht="113.25" hidden="1" customHeight="1" x14ac:dyDescent="0.2">
      <c r="A75" s="931">
        <v>309</v>
      </c>
      <c r="B75" s="990" t="s">
        <v>1431</v>
      </c>
      <c r="C75" s="792">
        <v>3</v>
      </c>
      <c r="D75" s="991" t="s">
        <v>1422</v>
      </c>
      <c r="E75" s="1150" t="s">
        <v>1540</v>
      </c>
      <c r="F75" s="952">
        <v>6</v>
      </c>
      <c r="G75" s="952" t="s">
        <v>1395</v>
      </c>
      <c r="H75" s="978" t="s">
        <v>1537</v>
      </c>
      <c r="I75" s="979">
        <v>18000000</v>
      </c>
      <c r="J75" s="778"/>
      <c r="K75" s="778"/>
      <c r="L75" s="778"/>
      <c r="M75" s="767">
        <v>20</v>
      </c>
      <c r="N75" s="784" t="s">
        <v>1406</v>
      </c>
      <c r="O75" s="789"/>
      <c r="P75" s="790"/>
      <c r="Q75" s="790"/>
      <c r="R75" s="790"/>
      <c r="S75" s="790"/>
      <c r="T75" s="790"/>
      <c r="U75" s="763">
        <v>45</v>
      </c>
      <c r="V75" s="785" t="s">
        <v>1302</v>
      </c>
      <c r="W75" s="763">
        <v>4503</v>
      </c>
      <c r="X75" s="804" t="s">
        <v>317</v>
      </c>
      <c r="Y75" s="763">
        <v>45032</v>
      </c>
      <c r="Z75" s="771" t="s">
        <v>1439</v>
      </c>
      <c r="AA75" s="763" t="s">
        <v>1621</v>
      </c>
      <c r="AB75" s="770" t="s">
        <v>319</v>
      </c>
      <c r="AC75" s="780" t="s">
        <v>321</v>
      </c>
      <c r="AD75" s="810" t="s">
        <v>322</v>
      </c>
      <c r="AE75" s="970">
        <v>91119</v>
      </c>
      <c r="AF75" s="980" t="s">
        <v>1586</v>
      </c>
      <c r="AG75" s="812"/>
      <c r="AH75" s="873" t="str">
        <f t="shared" si="3"/>
        <v>2.3.2.02.02.009.4503002.91119</v>
      </c>
      <c r="AI75" s="827"/>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row>
    <row r="76" spans="1:114" s="374" customFormat="1" ht="104.25" hidden="1" customHeight="1" x14ac:dyDescent="0.2">
      <c r="A76" s="931">
        <v>309</v>
      </c>
      <c r="B76" s="990" t="s">
        <v>1431</v>
      </c>
      <c r="C76" s="792">
        <v>3</v>
      </c>
      <c r="D76" s="991" t="s">
        <v>1422</v>
      </c>
      <c r="E76" s="1147" t="s">
        <v>1540</v>
      </c>
      <c r="F76" s="961">
        <v>6</v>
      </c>
      <c r="G76" s="961" t="s">
        <v>1395</v>
      </c>
      <c r="H76" s="876" t="s">
        <v>1537</v>
      </c>
      <c r="I76" s="981">
        <v>42800000</v>
      </c>
      <c r="J76" s="778"/>
      <c r="K76" s="778"/>
      <c r="L76" s="778"/>
      <c r="M76" s="767">
        <v>20</v>
      </c>
      <c r="N76" s="767" t="s">
        <v>1406</v>
      </c>
      <c r="O76" s="789"/>
      <c r="P76" s="790"/>
      <c r="Q76" s="790"/>
      <c r="R76" s="790"/>
      <c r="S76" s="790"/>
      <c r="T76" s="790"/>
      <c r="U76" s="763">
        <v>45</v>
      </c>
      <c r="V76" s="785" t="s">
        <v>1302</v>
      </c>
      <c r="W76" s="763" t="s">
        <v>1622</v>
      </c>
      <c r="X76" s="804" t="s">
        <v>317</v>
      </c>
      <c r="Y76" s="763">
        <v>45032</v>
      </c>
      <c r="Z76" s="771" t="s">
        <v>1440</v>
      </c>
      <c r="AA76" s="763" t="s">
        <v>1623</v>
      </c>
      <c r="AB76" s="770" t="s">
        <v>102</v>
      </c>
      <c r="AC76" s="780" t="s">
        <v>321</v>
      </c>
      <c r="AD76" s="810" t="s">
        <v>322</v>
      </c>
      <c r="AE76" s="788">
        <v>91119</v>
      </c>
      <c r="AF76" s="811" t="s">
        <v>1586</v>
      </c>
      <c r="AG76" s="812"/>
      <c r="AH76" s="873" t="str">
        <f t="shared" si="3"/>
        <v>2.3.2.02.02.009.4503003.91119</v>
      </c>
      <c r="AI76" s="827"/>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row>
    <row r="77" spans="1:114" s="374" customFormat="1" ht="144.75" hidden="1" customHeight="1" x14ac:dyDescent="0.2">
      <c r="A77" s="931">
        <v>309</v>
      </c>
      <c r="B77" s="990" t="s">
        <v>1431</v>
      </c>
      <c r="C77" s="792">
        <v>3</v>
      </c>
      <c r="D77" s="991" t="s">
        <v>1422</v>
      </c>
      <c r="E77" s="1147" t="s">
        <v>1639</v>
      </c>
      <c r="F77" s="961">
        <v>8</v>
      </c>
      <c r="G77" s="961" t="s">
        <v>1395</v>
      </c>
      <c r="H77" s="876" t="s">
        <v>1627</v>
      </c>
      <c r="I77" s="981">
        <v>20000000</v>
      </c>
      <c r="J77" s="778"/>
      <c r="K77" s="778"/>
      <c r="L77" s="778"/>
      <c r="M77" s="767">
        <v>20</v>
      </c>
      <c r="N77" s="767" t="s">
        <v>1406</v>
      </c>
      <c r="O77" s="789"/>
      <c r="P77" s="790"/>
      <c r="Q77" s="790"/>
      <c r="R77" s="790"/>
      <c r="S77" s="790"/>
      <c r="T77" s="790"/>
      <c r="U77" s="763">
        <v>45</v>
      </c>
      <c r="V77" s="785" t="s">
        <v>1302</v>
      </c>
      <c r="W77" s="763" t="s">
        <v>1622</v>
      </c>
      <c r="X77" s="804" t="s">
        <v>317</v>
      </c>
      <c r="Y77" s="763">
        <v>45032</v>
      </c>
      <c r="Z77" s="771" t="s">
        <v>1440</v>
      </c>
      <c r="AA77" s="792" t="s">
        <v>1623</v>
      </c>
      <c r="AB77" s="770" t="s">
        <v>102</v>
      </c>
      <c r="AC77" s="942" t="s">
        <v>321</v>
      </c>
      <c r="AD77" s="810" t="s">
        <v>322</v>
      </c>
      <c r="AE77" s="788">
        <v>47223</v>
      </c>
      <c r="AF77" s="811" t="s">
        <v>1624</v>
      </c>
      <c r="AG77" s="812"/>
      <c r="AH77" s="873" t="str">
        <f t="shared" si="3"/>
        <v>2.3.2.01.01.003.05.02.4503003.47223</v>
      </c>
      <c r="AI77" s="827"/>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row>
    <row r="78" spans="1:114" s="374" customFormat="1" ht="104.25" hidden="1" customHeight="1" x14ac:dyDescent="0.2">
      <c r="A78" s="931">
        <v>309</v>
      </c>
      <c r="B78" s="990" t="s">
        <v>1431</v>
      </c>
      <c r="C78" s="792">
        <v>3</v>
      </c>
      <c r="D78" s="991" t="s">
        <v>1422</v>
      </c>
      <c r="E78" s="1147" t="s">
        <v>1640</v>
      </c>
      <c r="F78" s="961">
        <v>6</v>
      </c>
      <c r="G78" s="961" t="s">
        <v>1395</v>
      </c>
      <c r="H78" s="876" t="s">
        <v>1628</v>
      </c>
      <c r="I78" s="981">
        <v>10000000</v>
      </c>
      <c r="J78" s="778"/>
      <c r="K78" s="778"/>
      <c r="L78" s="778"/>
      <c r="M78" s="767">
        <v>20</v>
      </c>
      <c r="N78" s="767" t="s">
        <v>1406</v>
      </c>
      <c r="O78" s="789"/>
      <c r="P78" s="790"/>
      <c r="Q78" s="790"/>
      <c r="R78" s="790"/>
      <c r="S78" s="790"/>
      <c r="T78" s="790"/>
      <c r="U78" s="763">
        <v>45</v>
      </c>
      <c r="V78" s="785" t="s">
        <v>1302</v>
      </c>
      <c r="W78" s="763" t="s">
        <v>1622</v>
      </c>
      <c r="X78" s="804" t="s">
        <v>317</v>
      </c>
      <c r="Y78" s="763">
        <v>45032</v>
      </c>
      <c r="Z78" s="771" t="s">
        <v>1440</v>
      </c>
      <c r="AA78" s="792" t="s">
        <v>1623</v>
      </c>
      <c r="AB78" s="770" t="s">
        <v>102</v>
      </c>
      <c r="AC78" s="942" t="s">
        <v>321</v>
      </c>
      <c r="AD78" s="810" t="s">
        <v>322</v>
      </c>
      <c r="AE78" s="788">
        <v>72252</v>
      </c>
      <c r="AF78" s="811" t="s">
        <v>1625</v>
      </c>
      <c r="AG78" s="812"/>
      <c r="AH78" s="873" t="str">
        <f t="shared" si="3"/>
        <v>2.3.2.02.02.007.4503003.72252</v>
      </c>
      <c r="AI78" s="827"/>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row>
    <row r="79" spans="1:114" s="374" customFormat="1" ht="104.25" hidden="1" customHeight="1" x14ac:dyDescent="0.2">
      <c r="A79" s="931">
        <v>309</v>
      </c>
      <c r="B79" s="990" t="s">
        <v>1431</v>
      </c>
      <c r="C79" s="792"/>
      <c r="D79" s="991" t="s">
        <v>1422</v>
      </c>
      <c r="E79" s="1147" t="s">
        <v>1591</v>
      </c>
      <c r="F79" s="961">
        <v>5</v>
      </c>
      <c r="G79" s="961" t="s">
        <v>1395</v>
      </c>
      <c r="H79" s="876" t="s">
        <v>1590</v>
      </c>
      <c r="I79" s="981">
        <v>27200000</v>
      </c>
      <c r="J79" s="778"/>
      <c r="K79" s="778"/>
      <c r="L79" s="778"/>
      <c r="M79" s="767">
        <v>20</v>
      </c>
      <c r="N79" s="767" t="s">
        <v>1406</v>
      </c>
      <c r="O79" s="789"/>
      <c r="P79" s="790"/>
      <c r="Q79" s="790"/>
      <c r="R79" s="790"/>
      <c r="S79" s="790"/>
      <c r="T79" s="790"/>
      <c r="U79" s="763">
        <v>45</v>
      </c>
      <c r="V79" s="785" t="s">
        <v>1302</v>
      </c>
      <c r="W79" s="763" t="s">
        <v>1622</v>
      </c>
      <c r="X79" s="804" t="s">
        <v>317</v>
      </c>
      <c r="Y79" s="763">
        <v>45032</v>
      </c>
      <c r="Z79" s="771" t="s">
        <v>1440</v>
      </c>
      <c r="AA79" s="792" t="s">
        <v>1623</v>
      </c>
      <c r="AB79" s="770" t="s">
        <v>102</v>
      </c>
      <c r="AC79" s="942" t="s">
        <v>321</v>
      </c>
      <c r="AD79" s="810" t="s">
        <v>322</v>
      </c>
      <c r="AE79" s="965">
        <v>64112</v>
      </c>
      <c r="AF79" s="987" t="s">
        <v>1626</v>
      </c>
      <c r="AG79" s="812"/>
      <c r="AH79" s="873" t="str">
        <f t="shared" si="3"/>
        <v>2.3.2.02.02.006.4503003.64112</v>
      </c>
      <c r="AI79" s="827"/>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row>
    <row r="80" spans="1:114" s="374" customFormat="1" ht="137.25" hidden="1" customHeight="1" x14ac:dyDescent="0.2">
      <c r="A80" s="931">
        <v>309</v>
      </c>
      <c r="B80" s="990" t="s">
        <v>1431</v>
      </c>
      <c r="C80" s="792">
        <v>3</v>
      </c>
      <c r="D80" s="991" t="s">
        <v>1422</v>
      </c>
      <c r="E80" s="1147" t="s">
        <v>1540</v>
      </c>
      <c r="F80" s="961">
        <v>6</v>
      </c>
      <c r="G80" s="961" t="s">
        <v>1395</v>
      </c>
      <c r="H80" s="876" t="s">
        <v>1537</v>
      </c>
      <c r="I80" s="981">
        <v>9600000</v>
      </c>
      <c r="J80" s="778"/>
      <c r="K80" s="778"/>
      <c r="L80" s="778"/>
      <c r="M80" s="767">
        <v>20</v>
      </c>
      <c r="N80" s="767" t="s">
        <v>1406</v>
      </c>
      <c r="O80" s="789"/>
      <c r="P80" s="790"/>
      <c r="Q80" s="790"/>
      <c r="R80" s="790"/>
      <c r="S80" s="790"/>
      <c r="T80" s="790"/>
      <c r="U80" s="763">
        <v>45</v>
      </c>
      <c r="V80" s="785" t="s">
        <v>1302</v>
      </c>
      <c r="W80" s="763">
        <v>4503</v>
      </c>
      <c r="X80" s="804" t="s">
        <v>317</v>
      </c>
      <c r="Y80" s="763">
        <v>45031</v>
      </c>
      <c r="Z80" s="771" t="s">
        <v>1441</v>
      </c>
      <c r="AA80" s="792" t="s">
        <v>1641</v>
      </c>
      <c r="AB80" s="770" t="s">
        <v>325</v>
      </c>
      <c r="AC80" s="780" t="s">
        <v>321</v>
      </c>
      <c r="AD80" s="810" t="s">
        <v>322</v>
      </c>
      <c r="AE80" s="788">
        <v>91119</v>
      </c>
      <c r="AF80" s="811" t="s">
        <v>1586</v>
      </c>
      <c r="AG80" s="812"/>
      <c r="AH80" s="873" t="str">
        <f t="shared" si="3"/>
        <v>2.3.2.02.02.009.4503016.91119</v>
      </c>
      <c r="AI80" s="827"/>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row>
    <row r="81" spans="1:114" s="374" customFormat="1" ht="137.25" hidden="1" customHeight="1" x14ac:dyDescent="0.2">
      <c r="A81" s="1025">
        <v>309</v>
      </c>
      <c r="B81" s="1291" t="s">
        <v>1431</v>
      </c>
      <c r="C81" s="952">
        <v>3</v>
      </c>
      <c r="D81" s="1292" t="s">
        <v>1422</v>
      </c>
      <c r="E81" s="1293" t="s">
        <v>1596</v>
      </c>
      <c r="F81" s="962">
        <v>6</v>
      </c>
      <c r="G81" s="962" t="s">
        <v>1395</v>
      </c>
      <c r="H81" s="1294" t="s">
        <v>1629</v>
      </c>
      <c r="I81" s="1295">
        <v>20400000</v>
      </c>
      <c r="J81" s="778"/>
      <c r="K81" s="778"/>
      <c r="L81" s="778"/>
      <c r="M81" s="1081">
        <v>20</v>
      </c>
      <c r="N81" s="1081" t="s">
        <v>1406</v>
      </c>
      <c r="O81" s="789"/>
      <c r="P81" s="790"/>
      <c r="Q81" s="790"/>
      <c r="R81" s="790"/>
      <c r="S81" s="790"/>
      <c r="T81" s="790"/>
      <c r="U81" s="984">
        <v>45</v>
      </c>
      <c r="V81" s="1296" t="s">
        <v>1302</v>
      </c>
      <c r="W81" s="984">
        <v>4503</v>
      </c>
      <c r="X81" s="1297" t="s">
        <v>317</v>
      </c>
      <c r="Y81" s="984">
        <v>45031</v>
      </c>
      <c r="Z81" s="1125" t="s">
        <v>1441</v>
      </c>
      <c r="AA81" s="952" t="s">
        <v>1641</v>
      </c>
      <c r="AB81" s="1124" t="s">
        <v>325</v>
      </c>
      <c r="AC81" s="1126" t="s">
        <v>321</v>
      </c>
      <c r="AD81" s="1298" t="s">
        <v>322</v>
      </c>
      <c r="AE81" s="1299">
        <v>32690</v>
      </c>
      <c r="AF81" s="1300" t="s">
        <v>1594</v>
      </c>
      <c r="AG81" s="812"/>
      <c r="AH81" s="873" t="str">
        <f t="shared" si="3"/>
        <v>2.3.2.02.01.003.4503016.32690</v>
      </c>
      <c r="AI81" s="827"/>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row>
    <row r="82" spans="1:114" s="4" customFormat="1" ht="122.25" hidden="1" customHeight="1" x14ac:dyDescent="0.2">
      <c r="A82" s="931">
        <v>309</v>
      </c>
      <c r="B82" s="990" t="s">
        <v>1431</v>
      </c>
      <c r="C82" s="792">
        <v>1</v>
      </c>
      <c r="D82" s="991" t="s">
        <v>1412</v>
      </c>
      <c r="E82" s="1478" t="s">
        <v>1540</v>
      </c>
      <c r="F82" s="961">
        <v>6</v>
      </c>
      <c r="G82" s="961" t="s">
        <v>1395</v>
      </c>
      <c r="H82" s="1479" t="s">
        <v>1537</v>
      </c>
      <c r="I82" s="958">
        <v>45000000</v>
      </c>
      <c r="J82" s="778"/>
      <c r="K82" s="778"/>
      <c r="L82" s="1289"/>
      <c r="M82" s="961">
        <v>20</v>
      </c>
      <c r="N82" s="997" t="s">
        <v>1406</v>
      </c>
      <c r="O82" s="789"/>
      <c r="P82" s="790"/>
      <c r="Q82" s="790"/>
      <c r="R82" s="790"/>
      <c r="S82" s="790"/>
      <c r="T82" s="1290"/>
      <c r="U82" s="792">
        <v>45</v>
      </c>
      <c r="V82" s="991" t="s">
        <v>1302</v>
      </c>
      <c r="W82" s="792">
        <v>4502</v>
      </c>
      <c r="X82" s="842" t="s">
        <v>61</v>
      </c>
      <c r="Y82" s="792">
        <v>45021</v>
      </c>
      <c r="Z82" s="978" t="s">
        <v>1969</v>
      </c>
      <c r="AA82" s="930" t="s">
        <v>1968</v>
      </c>
      <c r="AB82" s="1007" t="s">
        <v>303</v>
      </c>
      <c r="AC82" s="996" t="s">
        <v>305</v>
      </c>
      <c r="AD82" s="1019" t="s">
        <v>306</v>
      </c>
      <c r="AE82" s="965" t="s">
        <v>1549</v>
      </c>
      <c r="AF82" s="966" t="s">
        <v>1389</v>
      </c>
      <c r="AG82" s="1482"/>
      <c r="AH82" s="873" t="str">
        <f t="shared" si="3"/>
        <v>2.3.2.02.02.009.4502024.91119.</v>
      </c>
      <c r="AI82" s="827"/>
    </row>
    <row r="83" spans="1:114" s="4" customFormat="1" ht="125.25" hidden="1" customHeight="1" x14ac:dyDescent="0.2">
      <c r="A83" s="931">
        <v>309</v>
      </c>
      <c r="B83" s="990" t="s">
        <v>1431</v>
      </c>
      <c r="C83" s="792">
        <v>1</v>
      </c>
      <c r="D83" s="991" t="s">
        <v>1412</v>
      </c>
      <c r="E83" s="1480" t="s">
        <v>1596</v>
      </c>
      <c r="F83" s="961">
        <v>6</v>
      </c>
      <c r="G83" s="961" t="s">
        <v>1395</v>
      </c>
      <c r="H83" s="1481" t="s">
        <v>1599</v>
      </c>
      <c r="I83" s="958">
        <v>3000000</v>
      </c>
      <c r="J83" s="778"/>
      <c r="K83" s="778"/>
      <c r="L83" s="1289"/>
      <c r="M83" s="961">
        <v>20</v>
      </c>
      <c r="N83" s="997" t="s">
        <v>1406</v>
      </c>
      <c r="O83" s="789"/>
      <c r="P83" s="790"/>
      <c r="Q83" s="790"/>
      <c r="R83" s="790"/>
      <c r="S83" s="790"/>
      <c r="T83" s="1290"/>
      <c r="U83" s="792">
        <v>45</v>
      </c>
      <c r="V83" s="991" t="s">
        <v>1302</v>
      </c>
      <c r="W83" s="792">
        <v>4502</v>
      </c>
      <c r="X83" s="842" t="s">
        <v>61</v>
      </c>
      <c r="Y83" s="792">
        <v>45021</v>
      </c>
      <c r="Z83" s="978" t="s">
        <v>1969</v>
      </c>
      <c r="AA83" s="930" t="s">
        <v>1968</v>
      </c>
      <c r="AB83" s="1007" t="s">
        <v>303</v>
      </c>
      <c r="AC83" s="996" t="s">
        <v>305</v>
      </c>
      <c r="AD83" s="1019" t="s">
        <v>306</v>
      </c>
      <c r="AE83" s="971">
        <v>32690</v>
      </c>
      <c r="AF83" s="972" t="s">
        <v>1594</v>
      </c>
      <c r="AG83" s="1482"/>
      <c r="AH83" s="873" t="str">
        <f t="shared" si="3"/>
        <v>2.3.2.02.01.003.4502024.32690</v>
      </c>
      <c r="AI83" s="827"/>
    </row>
    <row r="84" spans="1:114" s="4" customFormat="1" ht="116.25" hidden="1" customHeight="1" x14ac:dyDescent="0.2">
      <c r="A84" s="931">
        <v>309</v>
      </c>
      <c r="B84" s="990" t="s">
        <v>1431</v>
      </c>
      <c r="C84" s="792">
        <v>1</v>
      </c>
      <c r="D84" s="991" t="s">
        <v>1412</v>
      </c>
      <c r="E84" s="1480" t="s">
        <v>1591</v>
      </c>
      <c r="F84" s="961">
        <v>6</v>
      </c>
      <c r="G84" s="961" t="s">
        <v>1395</v>
      </c>
      <c r="H84" s="1481" t="s">
        <v>1598</v>
      </c>
      <c r="I84" s="958">
        <v>2000000</v>
      </c>
      <c r="J84" s="778"/>
      <c r="K84" s="778"/>
      <c r="L84" s="1289"/>
      <c r="M84" s="961">
        <v>20</v>
      </c>
      <c r="N84" s="997" t="s">
        <v>1406</v>
      </c>
      <c r="O84" s="789"/>
      <c r="P84" s="790"/>
      <c r="Q84" s="790"/>
      <c r="R84" s="790"/>
      <c r="S84" s="790"/>
      <c r="T84" s="1290"/>
      <c r="U84" s="792">
        <v>45</v>
      </c>
      <c r="V84" s="991" t="s">
        <v>1302</v>
      </c>
      <c r="W84" s="792">
        <v>4502</v>
      </c>
      <c r="X84" s="842" t="s">
        <v>61</v>
      </c>
      <c r="Y84" s="975">
        <v>45021</v>
      </c>
      <c r="Z84" s="876" t="s">
        <v>1969</v>
      </c>
      <c r="AA84" s="1484" t="s">
        <v>1968</v>
      </c>
      <c r="AB84" s="1007" t="s">
        <v>303</v>
      </c>
      <c r="AC84" s="996" t="s">
        <v>305</v>
      </c>
      <c r="AD84" s="1019" t="s">
        <v>306</v>
      </c>
      <c r="AE84" s="970">
        <v>63391</v>
      </c>
      <c r="AF84" s="740" t="s">
        <v>1588</v>
      </c>
      <c r="AG84" s="1482"/>
      <c r="AH84" s="873" t="str">
        <f t="shared" si="3"/>
        <v>2.3.2.02.02.006.4502024.63391</v>
      </c>
      <c r="AI84" s="827"/>
    </row>
    <row r="85" spans="1:114" s="374" customFormat="1" ht="192" hidden="1" customHeight="1" x14ac:dyDescent="0.2">
      <c r="A85" s="1301">
        <v>309</v>
      </c>
      <c r="B85" s="1302" t="s">
        <v>1431</v>
      </c>
      <c r="C85" s="1184">
        <v>4</v>
      </c>
      <c r="D85" s="1184" t="s">
        <v>1386</v>
      </c>
      <c r="E85" s="1157" t="s">
        <v>1540</v>
      </c>
      <c r="F85" s="1078">
        <v>6</v>
      </c>
      <c r="G85" s="1078" t="s">
        <v>1395</v>
      </c>
      <c r="H85" s="946" t="s">
        <v>1537</v>
      </c>
      <c r="I85" s="974">
        <v>100000000</v>
      </c>
      <c r="J85" s="784" t="s">
        <v>1597</v>
      </c>
      <c r="K85" s="784"/>
      <c r="L85" s="784"/>
      <c r="M85" s="1303">
        <v>20</v>
      </c>
      <c r="N85" s="1303" t="s">
        <v>1406</v>
      </c>
      <c r="O85" s="808"/>
      <c r="P85" s="785"/>
      <c r="Q85" s="785"/>
      <c r="R85" s="785"/>
      <c r="S85" s="785"/>
      <c r="T85" s="785"/>
      <c r="U85" s="945">
        <v>45</v>
      </c>
      <c r="V85" s="1304" t="s">
        <v>1302</v>
      </c>
      <c r="W85" s="945">
        <v>4502</v>
      </c>
      <c r="X85" s="1305" t="s">
        <v>61</v>
      </c>
      <c r="Y85" s="1483" t="s">
        <v>1858</v>
      </c>
      <c r="Z85" s="954" t="s">
        <v>1442</v>
      </c>
      <c r="AA85" s="1485" t="s">
        <v>1548</v>
      </c>
      <c r="AB85" s="1308" t="s">
        <v>71</v>
      </c>
      <c r="AC85" s="1306" t="s">
        <v>328</v>
      </c>
      <c r="AD85" s="1305" t="s">
        <v>329</v>
      </c>
      <c r="AE85" s="1309">
        <v>91119</v>
      </c>
      <c r="AF85" s="1310" t="s">
        <v>1586</v>
      </c>
      <c r="AG85" s="766"/>
      <c r="AH85" s="873" t="str">
        <f t="shared" si="3"/>
        <v>2.3.2.02.02.009.4502001.91119</v>
      </c>
      <c r="AI85" s="827"/>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row>
    <row r="86" spans="1:114" s="374" customFormat="1" ht="131.25" hidden="1" customHeight="1" x14ac:dyDescent="0.2">
      <c r="A86" s="931">
        <v>309</v>
      </c>
      <c r="B86" s="990" t="s">
        <v>1431</v>
      </c>
      <c r="C86" s="961">
        <v>4</v>
      </c>
      <c r="D86" s="961" t="s">
        <v>1386</v>
      </c>
      <c r="E86" s="1157" t="s">
        <v>1540</v>
      </c>
      <c r="F86" s="1078">
        <v>6</v>
      </c>
      <c r="G86" s="1078" t="s">
        <v>1395</v>
      </c>
      <c r="H86" s="982" t="s">
        <v>1537</v>
      </c>
      <c r="I86" s="953">
        <v>8000000</v>
      </c>
      <c r="J86" s="784" t="s">
        <v>1597</v>
      </c>
      <c r="K86" s="784"/>
      <c r="L86" s="784"/>
      <c r="M86" s="767">
        <v>20</v>
      </c>
      <c r="N86" s="767" t="s">
        <v>1406</v>
      </c>
      <c r="O86" s="808"/>
      <c r="P86" s="785"/>
      <c r="Q86" s="785"/>
      <c r="R86" s="785"/>
      <c r="S86" s="785"/>
      <c r="T86" s="785"/>
      <c r="U86" s="763">
        <v>45</v>
      </c>
      <c r="V86" s="991" t="s">
        <v>1302</v>
      </c>
      <c r="W86" s="763">
        <v>4502</v>
      </c>
      <c r="X86" s="770" t="s">
        <v>61</v>
      </c>
      <c r="Y86" s="1064" t="s">
        <v>1858</v>
      </c>
      <c r="Z86" s="1307" t="s">
        <v>1442</v>
      </c>
      <c r="AA86" s="813" t="s">
        <v>1548</v>
      </c>
      <c r="AB86" s="943" t="s">
        <v>71</v>
      </c>
      <c r="AC86" s="942" t="s">
        <v>328</v>
      </c>
      <c r="AD86" s="770" t="s">
        <v>329</v>
      </c>
      <c r="AE86" s="872">
        <v>96290</v>
      </c>
      <c r="AF86" s="873" t="s">
        <v>1632</v>
      </c>
      <c r="AG86" s="766"/>
      <c r="AH86" s="873" t="str">
        <f t="shared" si="3"/>
        <v>2.3.2.02.02.009.4502001.96290</v>
      </c>
      <c r="AI86" s="827"/>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row>
    <row r="87" spans="1:114" s="374" customFormat="1" ht="171.75" hidden="1" customHeight="1" x14ac:dyDescent="0.2">
      <c r="A87" s="931">
        <v>309</v>
      </c>
      <c r="B87" s="990" t="s">
        <v>1431</v>
      </c>
      <c r="C87" s="961">
        <v>4</v>
      </c>
      <c r="D87" s="961" t="s">
        <v>1386</v>
      </c>
      <c r="E87" s="1000" t="s">
        <v>1591</v>
      </c>
      <c r="F87" s="792">
        <v>6</v>
      </c>
      <c r="G87" s="975" t="s">
        <v>1395</v>
      </c>
      <c r="H87" s="876" t="s">
        <v>1630</v>
      </c>
      <c r="I87" s="950">
        <v>5000000</v>
      </c>
      <c r="J87" s="784" t="s">
        <v>1597</v>
      </c>
      <c r="K87" s="784"/>
      <c r="L87" s="784"/>
      <c r="M87" s="767">
        <v>20</v>
      </c>
      <c r="N87" s="767" t="s">
        <v>1406</v>
      </c>
      <c r="O87" s="808"/>
      <c r="P87" s="785"/>
      <c r="Q87" s="785"/>
      <c r="R87" s="785"/>
      <c r="S87" s="785"/>
      <c r="T87" s="785"/>
      <c r="U87" s="763">
        <v>45</v>
      </c>
      <c r="V87" s="991" t="s">
        <v>1302</v>
      </c>
      <c r="W87" s="763">
        <v>4502</v>
      </c>
      <c r="X87" s="770" t="s">
        <v>61</v>
      </c>
      <c r="Y87" s="1064" t="s">
        <v>1858</v>
      </c>
      <c r="Z87" s="771" t="s">
        <v>1442</v>
      </c>
      <c r="AA87" s="813" t="s">
        <v>1548</v>
      </c>
      <c r="AB87" s="943" t="s">
        <v>71</v>
      </c>
      <c r="AC87" s="942" t="s">
        <v>328</v>
      </c>
      <c r="AD87" s="770" t="s">
        <v>329</v>
      </c>
      <c r="AE87" s="788">
        <v>63391</v>
      </c>
      <c r="AF87" s="765" t="s">
        <v>1588</v>
      </c>
      <c r="AG87" s="766"/>
      <c r="AH87" s="873" t="str">
        <f t="shared" si="3"/>
        <v>2.3.2.02.02.006.4502001.63391</v>
      </c>
      <c r="AI87" s="827"/>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row>
    <row r="88" spans="1:114" s="374" customFormat="1" ht="102.75" hidden="1" customHeight="1" x14ac:dyDescent="0.2">
      <c r="A88" s="931">
        <v>309</v>
      </c>
      <c r="B88" s="990" t="s">
        <v>1431</v>
      </c>
      <c r="C88" s="961">
        <v>4</v>
      </c>
      <c r="D88" s="961" t="s">
        <v>1386</v>
      </c>
      <c r="E88" s="1146" t="s">
        <v>1596</v>
      </c>
      <c r="F88" s="1015">
        <v>6</v>
      </c>
      <c r="G88" s="1015" t="s">
        <v>1395</v>
      </c>
      <c r="H88" s="966" t="s">
        <v>1593</v>
      </c>
      <c r="I88" s="950">
        <v>5000000</v>
      </c>
      <c r="J88" s="784" t="s">
        <v>1597</v>
      </c>
      <c r="K88" s="784"/>
      <c r="L88" s="784"/>
      <c r="M88" s="767">
        <v>20</v>
      </c>
      <c r="N88" s="767" t="s">
        <v>1406</v>
      </c>
      <c r="O88" s="808"/>
      <c r="P88" s="785"/>
      <c r="Q88" s="785"/>
      <c r="R88" s="785"/>
      <c r="S88" s="785"/>
      <c r="T88" s="785"/>
      <c r="U88" s="763">
        <v>45</v>
      </c>
      <c r="V88" s="991" t="s">
        <v>1302</v>
      </c>
      <c r="W88" s="763">
        <v>4502</v>
      </c>
      <c r="X88" s="770" t="s">
        <v>61</v>
      </c>
      <c r="Y88" s="1064" t="s">
        <v>1858</v>
      </c>
      <c r="Z88" s="771" t="s">
        <v>1442</v>
      </c>
      <c r="AA88" s="813" t="s">
        <v>1548</v>
      </c>
      <c r="AB88" s="943" t="s">
        <v>71</v>
      </c>
      <c r="AC88" s="942" t="s">
        <v>328</v>
      </c>
      <c r="AD88" s="770" t="s">
        <v>329</v>
      </c>
      <c r="AE88" s="872">
        <v>32690</v>
      </c>
      <c r="AF88" s="765" t="s">
        <v>1594</v>
      </c>
      <c r="AG88" s="766"/>
      <c r="AH88" s="873" t="str">
        <f t="shared" si="3"/>
        <v>2.3.2.02.01.003.4502001.32690</v>
      </c>
      <c r="AI88" s="827"/>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row>
    <row r="89" spans="1:114" s="374" customFormat="1" ht="155.25" hidden="1" customHeight="1" x14ac:dyDescent="0.2">
      <c r="A89" s="931">
        <v>309</v>
      </c>
      <c r="B89" s="990" t="s">
        <v>1431</v>
      </c>
      <c r="C89" s="961">
        <v>4</v>
      </c>
      <c r="D89" s="961" t="s">
        <v>1386</v>
      </c>
      <c r="E89" s="1150" t="s">
        <v>1542</v>
      </c>
      <c r="F89" s="792">
        <v>6</v>
      </c>
      <c r="G89" s="1193" t="s">
        <v>1395</v>
      </c>
      <c r="H89" s="985" t="s">
        <v>1631</v>
      </c>
      <c r="I89" s="986">
        <v>12000000</v>
      </c>
      <c r="J89" s="784" t="s">
        <v>1597</v>
      </c>
      <c r="K89" s="784"/>
      <c r="L89" s="784"/>
      <c r="M89" s="767">
        <v>20</v>
      </c>
      <c r="N89" s="767" t="s">
        <v>1406</v>
      </c>
      <c r="O89" s="808"/>
      <c r="P89" s="785"/>
      <c r="Q89" s="785"/>
      <c r="R89" s="785"/>
      <c r="S89" s="785"/>
      <c r="T89" s="785"/>
      <c r="U89" s="763">
        <v>45</v>
      </c>
      <c r="V89" s="991" t="s">
        <v>1302</v>
      </c>
      <c r="W89" s="763">
        <v>4502</v>
      </c>
      <c r="X89" s="770" t="s">
        <v>61</v>
      </c>
      <c r="Y89" s="1064" t="s">
        <v>1858</v>
      </c>
      <c r="Z89" s="771" t="s">
        <v>1442</v>
      </c>
      <c r="AA89" s="813" t="s">
        <v>1548</v>
      </c>
      <c r="AB89" s="943" t="s">
        <v>71</v>
      </c>
      <c r="AC89" s="942" t="s">
        <v>328</v>
      </c>
      <c r="AD89" s="770" t="s">
        <v>329</v>
      </c>
      <c r="AE89" s="1217">
        <v>45221</v>
      </c>
      <c r="AF89" s="765" t="s">
        <v>1633</v>
      </c>
      <c r="AG89" s="766"/>
      <c r="AH89" s="873" t="str">
        <f t="shared" si="3"/>
        <v>2.3.2.01.01.003.03.02.4502001.45221</v>
      </c>
      <c r="AI89" s="827"/>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row>
    <row r="90" spans="1:114" s="374" customFormat="1" ht="132" hidden="1" customHeight="1" x14ac:dyDescent="0.2">
      <c r="A90" s="931">
        <v>309</v>
      </c>
      <c r="B90" s="990" t="s">
        <v>1431</v>
      </c>
      <c r="C90" s="961">
        <v>4</v>
      </c>
      <c r="D90" s="961" t="s">
        <v>1386</v>
      </c>
      <c r="E90" s="1000" t="s">
        <v>1540</v>
      </c>
      <c r="F90" s="792">
        <v>6</v>
      </c>
      <c r="G90" s="792" t="s">
        <v>1395</v>
      </c>
      <c r="H90" s="906" t="s">
        <v>1537</v>
      </c>
      <c r="I90" s="950">
        <v>65000000</v>
      </c>
      <c r="J90" s="784"/>
      <c r="K90" s="784"/>
      <c r="L90" s="784"/>
      <c r="M90" s="767">
        <v>20</v>
      </c>
      <c r="N90" s="767" t="s">
        <v>1406</v>
      </c>
      <c r="O90" s="808"/>
      <c r="P90" s="785"/>
      <c r="Q90" s="785"/>
      <c r="R90" s="785"/>
      <c r="S90" s="785"/>
      <c r="T90" s="785"/>
      <c r="U90" s="763">
        <v>45</v>
      </c>
      <c r="V90" s="785" t="s">
        <v>1302</v>
      </c>
      <c r="W90" s="763">
        <v>4502</v>
      </c>
      <c r="X90" s="770" t="s">
        <v>61</v>
      </c>
      <c r="Y90" s="1064" t="s">
        <v>1859</v>
      </c>
      <c r="Z90" s="771" t="s">
        <v>1443</v>
      </c>
      <c r="AA90" s="931" t="s">
        <v>1544</v>
      </c>
      <c r="AB90" s="718" t="s">
        <v>331</v>
      </c>
      <c r="AC90" s="780" t="s">
        <v>328</v>
      </c>
      <c r="AD90" s="770" t="s">
        <v>329</v>
      </c>
      <c r="AE90" s="774">
        <v>91119</v>
      </c>
      <c r="AF90" s="966" t="s">
        <v>1586</v>
      </c>
      <c r="AG90" s="766"/>
      <c r="AH90" s="873" t="str">
        <f t="shared" si="3"/>
        <v>2.3.2.02.02.009.4502035.91119</v>
      </c>
      <c r="AI90" s="827"/>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row>
    <row r="91" spans="1:114" s="374" customFormat="1" ht="94.5" hidden="1" customHeight="1" x14ac:dyDescent="0.2">
      <c r="A91" s="931">
        <v>309</v>
      </c>
      <c r="B91" s="990" t="s">
        <v>1431</v>
      </c>
      <c r="C91" s="961">
        <v>4</v>
      </c>
      <c r="D91" s="961" t="s">
        <v>1386</v>
      </c>
      <c r="E91" s="1000" t="s">
        <v>1591</v>
      </c>
      <c r="F91" s="792">
        <v>6</v>
      </c>
      <c r="G91" s="792" t="s">
        <v>1395</v>
      </c>
      <c r="H91" s="949" t="s">
        <v>1630</v>
      </c>
      <c r="I91" s="950">
        <v>3000000</v>
      </c>
      <c r="J91" s="784"/>
      <c r="K91" s="784"/>
      <c r="L91" s="784"/>
      <c r="M91" s="767">
        <v>20</v>
      </c>
      <c r="N91" s="767" t="s">
        <v>1406</v>
      </c>
      <c r="O91" s="808"/>
      <c r="P91" s="785"/>
      <c r="Q91" s="785"/>
      <c r="R91" s="785"/>
      <c r="S91" s="785"/>
      <c r="T91" s="785"/>
      <c r="U91" s="763">
        <v>45</v>
      </c>
      <c r="V91" s="785" t="s">
        <v>1302</v>
      </c>
      <c r="W91" s="763">
        <v>4502</v>
      </c>
      <c r="X91" s="770" t="s">
        <v>61</v>
      </c>
      <c r="Y91" s="1064" t="s">
        <v>1859</v>
      </c>
      <c r="Z91" s="771" t="s">
        <v>1443</v>
      </c>
      <c r="AA91" s="931" t="s">
        <v>1544</v>
      </c>
      <c r="AB91" s="941" t="s">
        <v>331</v>
      </c>
      <c r="AC91" s="942" t="s">
        <v>328</v>
      </c>
      <c r="AD91" s="770" t="s">
        <v>329</v>
      </c>
      <c r="AE91" s="774">
        <v>63391</v>
      </c>
      <c r="AF91" s="775" t="s">
        <v>1588</v>
      </c>
      <c r="AG91" s="766"/>
      <c r="AH91" s="873" t="str">
        <f t="shared" si="3"/>
        <v>2.3.2.02.02.006.4502035.63391</v>
      </c>
      <c r="AI91" s="827"/>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row>
    <row r="92" spans="1:114" s="374" customFormat="1" ht="75" hidden="1" customHeight="1" x14ac:dyDescent="0.2">
      <c r="A92" s="931">
        <v>309</v>
      </c>
      <c r="B92" s="990" t="s">
        <v>1431</v>
      </c>
      <c r="C92" s="961">
        <v>4</v>
      </c>
      <c r="D92" s="961" t="s">
        <v>1386</v>
      </c>
      <c r="E92" s="1000" t="s">
        <v>1596</v>
      </c>
      <c r="F92" s="792">
        <v>6</v>
      </c>
      <c r="G92" s="792" t="s">
        <v>1395</v>
      </c>
      <c r="H92" s="906" t="s">
        <v>1593</v>
      </c>
      <c r="I92" s="950">
        <v>5000000</v>
      </c>
      <c r="J92" s="784"/>
      <c r="K92" s="784"/>
      <c r="L92" s="784"/>
      <c r="M92" s="767">
        <v>20</v>
      </c>
      <c r="N92" s="767" t="s">
        <v>1406</v>
      </c>
      <c r="O92" s="808"/>
      <c r="P92" s="785"/>
      <c r="Q92" s="785"/>
      <c r="R92" s="785"/>
      <c r="S92" s="785"/>
      <c r="T92" s="785"/>
      <c r="U92" s="763">
        <v>45</v>
      </c>
      <c r="V92" s="785" t="s">
        <v>1302</v>
      </c>
      <c r="W92" s="763">
        <v>4502</v>
      </c>
      <c r="X92" s="770" t="s">
        <v>61</v>
      </c>
      <c r="Y92" s="1064" t="s">
        <v>1859</v>
      </c>
      <c r="Z92" s="771" t="s">
        <v>1443</v>
      </c>
      <c r="AA92" s="931" t="s">
        <v>1544</v>
      </c>
      <c r="AB92" s="941" t="s">
        <v>331</v>
      </c>
      <c r="AC92" s="942" t="s">
        <v>328</v>
      </c>
      <c r="AD92" s="770" t="s">
        <v>329</v>
      </c>
      <c r="AE92" s="971">
        <v>32690</v>
      </c>
      <c r="AF92" s="969" t="s">
        <v>1594</v>
      </c>
      <c r="AG92" s="766"/>
      <c r="AH92" s="873" t="str">
        <f t="shared" si="3"/>
        <v>2.3.2.02.01.003.4502035.32690</v>
      </c>
      <c r="AI92" s="827"/>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row>
    <row r="93" spans="1:114" s="374" customFormat="1" ht="108" hidden="1" customHeight="1" x14ac:dyDescent="0.2">
      <c r="A93" s="931">
        <v>309</v>
      </c>
      <c r="B93" s="990" t="s">
        <v>1431</v>
      </c>
      <c r="C93" s="961">
        <v>4</v>
      </c>
      <c r="D93" s="961" t="s">
        <v>1386</v>
      </c>
      <c r="E93" s="1000" t="s">
        <v>1540</v>
      </c>
      <c r="F93" s="792">
        <v>6</v>
      </c>
      <c r="G93" s="792" t="s">
        <v>1395</v>
      </c>
      <c r="H93" s="906" t="s">
        <v>1537</v>
      </c>
      <c r="I93" s="950">
        <v>34000000</v>
      </c>
      <c r="J93" s="784"/>
      <c r="K93" s="784"/>
      <c r="L93" s="784"/>
      <c r="M93" s="767">
        <v>20</v>
      </c>
      <c r="N93" s="767" t="s">
        <v>1406</v>
      </c>
      <c r="O93" s="808"/>
      <c r="P93" s="785"/>
      <c r="Q93" s="785"/>
      <c r="R93" s="785"/>
      <c r="S93" s="785"/>
      <c r="T93" s="785"/>
      <c r="U93" s="763">
        <v>45</v>
      </c>
      <c r="V93" s="785" t="s">
        <v>1302</v>
      </c>
      <c r="W93" s="763">
        <v>4502</v>
      </c>
      <c r="X93" s="770" t="s">
        <v>61</v>
      </c>
      <c r="Y93" s="1064" t="s">
        <v>1860</v>
      </c>
      <c r="Z93" s="771" t="s">
        <v>1444</v>
      </c>
      <c r="AA93" s="792" t="s">
        <v>1548</v>
      </c>
      <c r="AB93" s="773" t="s">
        <v>333</v>
      </c>
      <c r="AC93" s="780" t="s">
        <v>328</v>
      </c>
      <c r="AD93" s="770" t="s">
        <v>329</v>
      </c>
      <c r="AE93" s="774">
        <v>91119</v>
      </c>
      <c r="AF93" s="794" t="s">
        <v>1586</v>
      </c>
      <c r="AG93" s="766"/>
      <c r="AH93" s="873" t="str">
        <f t="shared" si="3"/>
        <v>2.3.2.02.02.009.4502001.91119</v>
      </c>
      <c r="AI93" s="827"/>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row>
    <row r="94" spans="1:114" s="374" customFormat="1" ht="82.5" hidden="1" customHeight="1" x14ac:dyDescent="0.2">
      <c r="A94" s="931">
        <v>309</v>
      </c>
      <c r="B94" s="990" t="s">
        <v>1431</v>
      </c>
      <c r="C94" s="961">
        <v>4</v>
      </c>
      <c r="D94" s="961" t="s">
        <v>1386</v>
      </c>
      <c r="E94" s="1000" t="s">
        <v>1591</v>
      </c>
      <c r="F94" s="792">
        <v>6</v>
      </c>
      <c r="G94" s="792" t="s">
        <v>1395</v>
      </c>
      <c r="H94" s="949" t="s">
        <v>1630</v>
      </c>
      <c r="I94" s="950">
        <v>1000000</v>
      </c>
      <c r="J94" s="784"/>
      <c r="K94" s="784"/>
      <c r="L94" s="784"/>
      <c r="M94" s="767">
        <v>20</v>
      </c>
      <c r="N94" s="767" t="s">
        <v>1406</v>
      </c>
      <c r="O94" s="808"/>
      <c r="P94" s="785"/>
      <c r="Q94" s="785"/>
      <c r="R94" s="785"/>
      <c r="S94" s="785"/>
      <c r="T94" s="785"/>
      <c r="U94" s="763">
        <v>45</v>
      </c>
      <c r="V94" s="785" t="s">
        <v>1302</v>
      </c>
      <c r="W94" s="763">
        <v>4502</v>
      </c>
      <c r="X94" s="770" t="s">
        <v>61</v>
      </c>
      <c r="Y94" s="1064" t="s">
        <v>1860</v>
      </c>
      <c r="Z94" s="771" t="s">
        <v>1444</v>
      </c>
      <c r="AA94" s="792" t="s">
        <v>1548</v>
      </c>
      <c r="AB94" s="943" t="s">
        <v>333</v>
      </c>
      <c r="AC94" s="942" t="s">
        <v>328</v>
      </c>
      <c r="AD94" s="770" t="s">
        <v>329</v>
      </c>
      <c r="AE94" s="774">
        <v>63391</v>
      </c>
      <c r="AF94" s="775" t="s">
        <v>1615</v>
      </c>
      <c r="AG94" s="766"/>
      <c r="AH94" s="873" t="str">
        <f t="shared" si="3"/>
        <v>2.3.2.02.02.006.4502001.63391</v>
      </c>
      <c r="AI94" s="827"/>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row>
    <row r="95" spans="1:114" s="374" customFormat="1" ht="114.75" hidden="1" customHeight="1" x14ac:dyDescent="0.2">
      <c r="A95" s="931">
        <v>309</v>
      </c>
      <c r="B95" s="990" t="s">
        <v>1431</v>
      </c>
      <c r="C95" s="961">
        <v>4</v>
      </c>
      <c r="D95" s="961" t="s">
        <v>1386</v>
      </c>
      <c r="E95" s="1150" t="s">
        <v>1540</v>
      </c>
      <c r="F95" s="952">
        <v>6</v>
      </c>
      <c r="G95" s="952" t="s">
        <v>1395</v>
      </c>
      <c r="H95" s="949" t="s">
        <v>1537</v>
      </c>
      <c r="I95" s="950">
        <v>23000000</v>
      </c>
      <c r="J95" s="784"/>
      <c r="K95" s="784"/>
      <c r="L95" s="784"/>
      <c r="M95" s="767">
        <v>20</v>
      </c>
      <c r="N95" s="767" t="s">
        <v>1406</v>
      </c>
      <c r="O95" s="808"/>
      <c r="P95" s="785"/>
      <c r="Q95" s="785"/>
      <c r="R95" s="785"/>
      <c r="S95" s="785"/>
      <c r="T95" s="785"/>
      <c r="U95" s="763">
        <v>45</v>
      </c>
      <c r="V95" s="785" t="s">
        <v>1302</v>
      </c>
      <c r="W95" s="763">
        <v>4502</v>
      </c>
      <c r="X95" s="770" t="s">
        <v>61</v>
      </c>
      <c r="Y95" s="1064" t="s">
        <v>1861</v>
      </c>
      <c r="Z95" s="771" t="s">
        <v>1445</v>
      </c>
      <c r="AA95" s="931" t="s">
        <v>1544</v>
      </c>
      <c r="AB95" s="718" t="s">
        <v>335</v>
      </c>
      <c r="AC95" s="780" t="s">
        <v>328</v>
      </c>
      <c r="AD95" s="770" t="s">
        <v>329</v>
      </c>
      <c r="AE95" s="788">
        <v>91119</v>
      </c>
      <c r="AF95" s="765" t="s">
        <v>1586</v>
      </c>
      <c r="AG95" s="766"/>
      <c r="AH95" s="873" t="str">
        <f t="shared" si="3"/>
        <v>2.3.2.02.02.009.4502035.91119</v>
      </c>
      <c r="AI95" s="827"/>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row>
    <row r="96" spans="1:114" s="399" customFormat="1" ht="131.25" hidden="1" customHeight="1" x14ac:dyDescent="0.2">
      <c r="A96" s="931">
        <v>309</v>
      </c>
      <c r="B96" s="1014" t="s">
        <v>1431</v>
      </c>
      <c r="C96" s="1015">
        <v>4</v>
      </c>
      <c r="D96" s="1015" t="s">
        <v>1386</v>
      </c>
      <c r="E96" s="1146" t="s">
        <v>1596</v>
      </c>
      <c r="F96" s="1015">
        <v>6</v>
      </c>
      <c r="G96" s="1015" t="s">
        <v>1395</v>
      </c>
      <c r="H96" s="966" t="s">
        <v>1593</v>
      </c>
      <c r="I96" s="1194">
        <v>2000000</v>
      </c>
      <c r="J96" s="1115"/>
      <c r="K96" s="1115"/>
      <c r="L96" s="1115"/>
      <c r="M96" s="1114">
        <v>20</v>
      </c>
      <c r="N96" s="1114" t="s">
        <v>1406</v>
      </c>
      <c r="O96" s="1116"/>
      <c r="P96" s="1117"/>
      <c r="Q96" s="1117"/>
      <c r="R96" s="1117"/>
      <c r="S96" s="1117"/>
      <c r="T96" s="1117"/>
      <c r="U96" s="782">
        <v>45</v>
      </c>
      <c r="V96" s="1117" t="s">
        <v>1302</v>
      </c>
      <c r="W96" s="782">
        <v>4502</v>
      </c>
      <c r="X96" s="1065" t="s">
        <v>61</v>
      </c>
      <c r="Y96" s="1118" t="s">
        <v>1861</v>
      </c>
      <c r="Z96" s="783" t="s">
        <v>1445</v>
      </c>
      <c r="AA96" s="931" t="s">
        <v>1544</v>
      </c>
      <c r="AB96" s="1065" t="s">
        <v>335</v>
      </c>
      <c r="AC96" s="1118" t="s">
        <v>328</v>
      </c>
      <c r="AD96" s="1065" t="s">
        <v>329</v>
      </c>
      <c r="AE96" s="774">
        <v>32690</v>
      </c>
      <c r="AF96" s="775" t="s">
        <v>1594</v>
      </c>
      <c r="AG96" s="776"/>
      <c r="AH96" s="873" t="str">
        <f t="shared" si="3"/>
        <v>2.3.2.02.01.003.4502035.32690</v>
      </c>
      <c r="AI96" s="1021"/>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row>
    <row r="97" spans="1:114" s="374" customFormat="1" ht="162.75" hidden="1" customHeight="1" x14ac:dyDescent="0.2">
      <c r="A97" s="931">
        <v>310</v>
      </c>
      <c r="B97" s="762" t="s">
        <v>1446</v>
      </c>
      <c r="C97" s="763">
        <v>1</v>
      </c>
      <c r="D97" s="763" t="s">
        <v>1412</v>
      </c>
      <c r="E97" s="1149" t="s">
        <v>1540</v>
      </c>
      <c r="F97" s="763">
        <v>6</v>
      </c>
      <c r="G97" s="763" t="s">
        <v>1395</v>
      </c>
      <c r="H97" s="807" t="s">
        <v>1537</v>
      </c>
      <c r="I97" s="1043">
        <v>370000000</v>
      </c>
      <c r="J97" s="778"/>
      <c r="K97" s="778"/>
      <c r="L97" s="778"/>
      <c r="M97" s="767">
        <v>20</v>
      </c>
      <c r="N97" s="767" t="s">
        <v>1406</v>
      </c>
      <c r="O97" s="789"/>
      <c r="P97" s="790"/>
      <c r="Q97" s="790"/>
      <c r="R97" s="790"/>
      <c r="S97" s="790"/>
      <c r="T97" s="790"/>
      <c r="U97" s="763">
        <v>33</v>
      </c>
      <c r="V97" s="763" t="s">
        <v>1305</v>
      </c>
      <c r="W97" s="763">
        <v>3301</v>
      </c>
      <c r="X97" s="804" t="s">
        <v>159</v>
      </c>
      <c r="Y97" s="763" t="s">
        <v>1864</v>
      </c>
      <c r="Z97" s="771" t="s">
        <v>1863</v>
      </c>
      <c r="AA97" s="793" t="s">
        <v>1647</v>
      </c>
      <c r="AB97" s="770" t="s">
        <v>339</v>
      </c>
      <c r="AC97" s="407" t="s">
        <v>340</v>
      </c>
      <c r="AD97" s="773" t="s">
        <v>341</v>
      </c>
      <c r="AE97" s="774" t="s">
        <v>1549</v>
      </c>
      <c r="AF97" s="775" t="s">
        <v>1389</v>
      </c>
      <c r="AG97" s="776"/>
      <c r="AH97" s="873" t="str">
        <f t="shared" si="3"/>
        <v>2.3.2.02.02.009.3301087.91119.</v>
      </c>
      <c r="AI97" s="777"/>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row>
    <row r="98" spans="1:114" s="374" customFormat="1" ht="280.5" hidden="1" customHeight="1" x14ac:dyDescent="0.2">
      <c r="A98" s="931">
        <v>310</v>
      </c>
      <c r="B98" s="762" t="s">
        <v>1446</v>
      </c>
      <c r="C98" s="763">
        <v>1</v>
      </c>
      <c r="D98" s="785" t="s">
        <v>1412</v>
      </c>
      <c r="E98" s="1149" t="s">
        <v>1540</v>
      </c>
      <c r="F98" s="763">
        <v>6</v>
      </c>
      <c r="G98" s="763" t="s">
        <v>1395</v>
      </c>
      <c r="H98" s="807" t="s">
        <v>1537</v>
      </c>
      <c r="I98" s="1043">
        <v>1103894969.74</v>
      </c>
      <c r="J98" s="778"/>
      <c r="K98" s="778"/>
      <c r="L98" s="778"/>
      <c r="M98" s="767">
        <v>39</v>
      </c>
      <c r="N98" s="767" t="s">
        <v>1862</v>
      </c>
      <c r="O98" s="789"/>
      <c r="P98" s="790"/>
      <c r="Q98" s="790"/>
      <c r="R98" s="790"/>
      <c r="S98" s="790"/>
      <c r="T98" s="790"/>
      <c r="U98" s="763">
        <v>33</v>
      </c>
      <c r="V98" s="763" t="s">
        <v>1305</v>
      </c>
      <c r="W98" s="763">
        <v>3301</v>
      </c>
      <c r="X98" s="804" t="s">
        <v>159</v>
      </c>
      <c r="Y98" s="763" t="s">
        <v>1864</v>
      </c>
      <c r="Z98" s="771" t="s">
        <v>1863</v>
      </c>
      <c r="AA98" s="793" t="s">
        <v>1648</v>
      </c>
      <c r="AB98" s="770" t="s">
        <v>345</v>
      </c>
      <c r="AC98" s="407" t="s">
        <v>340</v>
      </c>
      <c r="AD98" s="773" t="s">
        <v>341</v>
      </c>
      <c r="AE98" s="1044" t="s">
        <v>1549</v>
      </c>
      <c r="AF98" s="1045" t="s">
        <v>1389</v>
      </c>
      <c r="AG98" s="776"/>
      <c r="AH98" s="873" t="str">
        <f t="shared" si="3"/>
        <v>2.3.2.02.02.009.3301073.91119.</v>
      </c>
      <c r="AI98" s="777"/>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row>
    <row r="99" spans="1:114" s="374" customFormat="1" ht="105" hidden="1" customHeight="1" x14ac:dyDescent="0.2">
      <c r="A99" s="931">
        <v>310</v>
      </c>
      <c r="B99" s="762" t="s">
        <v>1446</v>
      </c>
      <c r="C99" s="763">
        <v>1</v>
      </c>
      <c r="D99" s="785" t="s">
        <v>1412</v>
      </c>
      <c r="E99" s="1149" t="s">
        <v>1540</v>
      </c>
      <c r="F99" s="763">
        <v>6</v>
      </c>
      <c r="G99" s="763" t="s">
        <v>1395</v>
      </c>
      <c r="H99" s="807" t="s">
        <v>1537</v>
      </c>
      <c r="I99" s="1043">
        <v>180000000</v>
      </c>
      <c r="J99" s="778"/>
      <c r="K99" s="778"/>
      <c r="L99" s="778"/>
      <c r="M99" s="767">
        <v>20</v>
      </c>
      <c r="N99" s="767" t="s">
        <v>1406</v>
      </c>
      <c r="O99" s="789"/>
      <c r="P99" s="790"/>
      <c r="Q99" s="790"/>
      <c r="R99" s="790"/>
      <c r="S99" s="790"/>
      <c r="T99" s="790"/>
      <c r="U99" s="763">
        <v>33</v>
      </c>
      <c r="V99" s="763" t="s">
        <v>1305</v>
      </c>
      <c r="W99" s="763">
        <v>3301</v>
      </c>
      <c r="X99" s="804" t="s">
        <v>159</v>
      </c>
      <c r="Y99" s="763" t="s">
        <v>1864</v>
      </c>
      <c r="Z99" s="771" t="s">
        <v>1447</v>
      </c>
      <c r="AA99" s="793" t="s">
        <v>1648</v>
      </c>
      <c r="AB99" s="770" t="s">
        <v>345</v>
      </c>
      <c r="AC99" s="407" t="s">
        <v>340</v>
      </c>
      <c r="AD99" s="989" t="s">
        <v>341</v>
      </c>
      <c r="AE99" s="1044" t="s">
        <v>1549</v>
      </c>
      <c r="AF99" s="1045" t="s">
        <v>1389</v>
      </c>
      <c r="AG99" s="776"/>
      <c r="AH99" s="873" t="str">
        <f t="shared" si="3"/>
        <v>2.3.2.02.02.009.3301073.91119.</v>
      </c>
      <c r="AI99" s="777"/>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row>
    <row r="100" spans="1:114" s="374" customFormat="1" ht="114.75" hidden="1" customHeight="1" x14ac:dyDescent="0.2">
      <c r="A100" s="931">
        <v>310</v>
      </c>
      <c r="B100" s="762" t="s">
        <v>1446</v>
      </c>
      <c r="C100" s="763">
        <v>1</v>
      </c>
      <c r="D100" s="785" t="s">
        <v>1412</v>
      </c>
      <c r="E100" s="1149" t="s">
        <v>1540</v>
      </c>
      <c r="F100" s="763">
        <v>6</v>
      </c>
      <c r="G100" s="763" t="s">
        <v>1395</v>
      </c>
      <c r="H100" s="807" t="s">
        <v>1537</v>
      </c>
      <c r="I100" s="1043">
        <v>36000000</v>
      </c>
      <c r="J100" s="778"/>
      <c r="K100" s="778"/>
      <c r="L100" s="778"/>
      <c r="M100" s="767">
        <v>20</v>
      </c>
      <c r="N100" s="767" t="s">
        <v>1406</v>
      </c>
      <c r="O100" s="789"/>
      <c r="P100" s="790"/>
      <c r="Q100" s="790"/>
      <c r="R100" s="790"/>
      <c r="S100" s="790"/>
      <c r="T100" s="790"/>
      <c r="U100" s="763">
        <v>33</v>
      </c>
      <c r="V100" s="763" t="s">
        <v>1305</v>
      </c>
      <c r="W100" s="763">
        <v>3301</v>
      </c>
      <c r="X100" s="804" t="s">
        <v>159</v>
      </c>
      <c r="Y100" s="763">
        <v>33016</v>
      </c>
      <c r="Z100" s="771" t="s">
        <v>1865</v>
      </c>
      <c r="AA100" s="792" t="s">
        <v>1649</v>
      </c>
      <c r="AB100" s="770" t="s">
        <v>348</v>
      </c>
      <c r="AC100" s="407" t="s">
        <v>340</v>
      </c>
      <c r="AD100" s="773" t="s">
        <v>341</v>
      </c>
      <c r="AE100" s="1044" t="s">
        <v>1549</v>
      </c>
      <c r="AF100" s="1045" t="s">
        <v>1389</v>
      </c>
      <c r="AG100" s="776"/>
      <c r="AH100" s="873" t="str">
        <f t="shared" si="3"/>
        <v>2.3.2.02.02.009.3301070.91119.</v>
      </c>
      <c r="AI100" s="777"/>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row>
    <row r="101" spans="1:114" s="374" customFormat="1" ht="100.5" hidden="1" customHeight="1" x14ac:dyDescent="0.2">
      <c r="A101" s="931">
        <v>310</v>
      </c>
      <c r="B101" s="762" t="s">
        <v>1446</v>
      </c>
      <c r="C101" s="763">
        <v>1</v>
      </c>
      <c r="D101" s="785" t="s">
        <v>1412</v>
      </c>
      <c r="E101" s="1000" t="s">
        <v>1592</v>
      </c>
      <c r="F101" s="792">
        <v>6</v>
      </c>
      <c r="G101" s="792" t="s">
        <v>1395</v>
      </c>
      <c r="H101" s="992" t="s">
        <v>1650</v>
      </c>
      <c r="I101" s="993">
        <v>18000000</v>
      </c>
      <c r="J101" s="998"/>
      <c r="K101" s="998"/>
      <c r="L101" s="998"/>
      <c r="M101" s="961">
        <v>20</v>
      </c>
      <c r="N101" s="961" t="s">
        <v>1406</v>
      </c>
      <c r="O101" s="789"/>
      <c r="P101" s="790"/>
      <c r="Q101" s="790"/>
      <c r="R101" s="790"/>
      <c r="S101" s="790"/>
      <c r="T101" s="790"/>
      <c r="U101" s="763">
        <v>33</v>
      </c>
      <c r="V101" s="763" t="s">
        <v>1305</v>
      </c>
      <c r="W101" s="763">
        <v>3301</v>
      </c>
      <c r="X101" s="804" t="s">
        <v>159</v>
      </c>
      <c r="Y101" s="763">
        <v>33011</v>
      </c>
      <c r="Z101" s="771" t="s">
        <v>1866</v>
      </c>
      <c r="AA101" s="793" t="s">
        <v>1655</v>
      </c>
      <c r="AB101" s="770" t="s">
        <v>350</v>
      </c>
      <c r="AC101" s="407" t="s">
        <v>340</v>
      </c>
      <c r="AD101" s="773" t="s">
        <v>341</v>
      </c>
      <c r="AE101" s="965">
        <v>32690</v>
      </c>
      <c r="AF101" s="740" t="s">
        <v>1594</v>
      </c>
      <c r="AG101" s="776"/>
      <c r="AH101" s="873" t="str">
        <f t="shared" si="3"/>
        <v>2.3.2.02.01.0033301052.32690</v>
      </c>
      <c r="AI101" s="777"/>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row>
    <row r="102" spans="1:114" s="374" customFormat="1" ht="110.25" hidden="1" customHeight="1" x14ac:dyDescent="0.2">
      <c r="A102" s="931">
        <v>310</v>
      </c>
      <c r="B102" s="762" t="s">
        <v>1446</v>
      </c>
      <c r="C102" s="763">
        <v>1</v>
      </c>
      <c r="D102" s="785" t="s">
        <v>1412</v>
      </c>
      <c r="E102" s="1149" t="s">
        <v>1540</v>
      </c>
      <c r="F102" s="763">
        <v>6</v>
      </c>
      <c r="G102" s="763" t="s">
        <v>1395</v>
      </c>
      <c r="H102" s="807" t="s">
        <v>1537</v>
      </c>
      <c r="I102" s="1043">
        <v>80000000</v>
      </c>
      <c r="J102" s="778"/>
      <c r="K102" s="778"/>
      <c r="L102" s="778"/>
      <c r="M102" s="767">
        <v>34</v>
      </c>
      <c r="N102" s="767" t="s">
        <v>1651</v>
      </c>
      <c r="O102" s="789"/>
      <c r="P102" s="790"/>
      <c r="Q102" s="790"/>
      <c r="R102" s="790"/>
      <c r="S102" s="790"/>
      <c r="T102" s="790"/>
      <c r="U102" s="763">
        <v>33</v>
      </c>
      <c r="V102" s="763" t="s">
        <v>1305</v>
      </c>
      <c r="W102" s="763">
        <v>3301</v>
      </c>
      <c r="X102" s="804" t="s">
        <v>159</v>
      </c>
      <c r="Y102" s="763">
        <v>33013</v>
      </c>
      <c r="Z102" s="771" t="s">
        <v>1448</v>
      </c>
      <c r="AA102" s="793" t="s">
        <v>1654</v>
      </c>
      <c r="AB102" s="770" t="s">
        <v>353</v>
      </c>
      <c r="AC102" s="780" t="s">
        <v>356</v>
      </c>
      <c r="AD102" s="770" t="s">
        <v>357</v>
      </c>
      <c r="AE102" s="788" t="s">
        <v>1549</v>
      </c>
      <c r="AF102" s="765" t="s">
        <v>1389</v>
      </c>
      <c r="AG102" s="766"/>
      <c r="AH102" s="873" t="str">
        <f t="shared" si="3"/>
        <v>2.3.2.02.02.009.3301085.91119.</v>
      </c>
      <c r="AI102" s="777"/>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row>
    <row r="103" spans="1:114" s="374" customFormat="1" ht="110.25" hidden="1" customHeight="1" x14ac:dyDescent="0.2">
      <c r="A103" s="931">
        <v>310</v>
      </c>
      <c r="B103" s="762" t="s">
        <v>1446</v>
      </c>
      <c r="C103" s="763">
        <v>1</v>
      </c>
      <c r="D103" s="785" t="s">
        <v>1412</v>
      </c>
      <c r="E103" s="1149" t="s">
        <v>1592</v>
      </c>
      <c r="F103" s="763">
        <v>6</v>
      </c>
      <c r="G103" s="763" t="s">
        <v>1395</v>
      </c>
      <c r="H103" s="807" t="s">
        <v>1650</v>
      </c>
      <c r="I103" s="1043">
        <v>20000000</v>
      </c>
      <c r="J103" s="778"/>
      <c r="K103" s="778"/>
      <c r="L103" s="778"/>
      <c r="M103" s="767">
        <v>20</v>
      </c>
      <c r="N103" s="767" t="s">
        <v>1406</v>
      </c>
      <c r="O103" s="789"/>
      <c r="P103" s="790"/>
      <c r="Q103" s="790"/>
      <c r="R103" s="790"/>
      <c r="S103" s="790"/>
      <c r="T103" s="790"/>
      <c r="U103" s="763">
        <v>33</v>
      </c>
      <c r="V103" s="763" t="s">
        <v>1305</v>
      </c>
      <c r="W103" s="763">
        <v>3301</v>
      </c>
      <c r="X103" s="804" t="s">
        <v>159</v>
      </c>
      <c r="Y103" s="763">
        <v>33013</v>
      </c>
      <c r="Z103" s="771" t="s">
        <v>1448</v>
      </c>
      <c r="AA103" s="793" t="s">
        <v>1654</v>
      </c>
      <c r="AB103" s="770" t="s">
        <v>353</v>
      </c>
      <c r="AC103" s="988" t="s">
        <v>356</v>
      </c>
      <c r="AD103" s="770" t="s">
        <v>357</v>
      </c>
      <c r="AE103" s="788" t="s">
        <v>1653</v>
      </c>
      <c r="AF103" s="765" t="s">
        <v>1652</v>
      </c>
      <c r="AG103" s="766"/>
      <c r="AH103" s="873" t="str">
        <f t="shared" si="3"/>
        <v>2.3.2.02.01.0033301085.32210.</v>
      </c>
      <c r="AI103" s="777"/>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row>
    <row r="104" spans="1:114" s="374" customFormat="1" ht="109.5" hidden="1" customHeight="1" x14ac:dyDescent="0.2">
      <c r="A104" s="931">
        <v>310</v>
      </c>
      <c r="B104" s="762" t="s">
        <v>1446</v>
      </c>
      <c r="C104" s="763">
        <v>1</v>
      </c>
      <c r="D104" s="785" t="s">
        <v>1412</v>
      </c>
      <c r="E104" s="1149" t="s">
        <v>1592</v>
      </c>
      <c r="F104" s="763">
        <v>6</v>
      </c>
      <c r="G104" s="763" t="s">
        <v>1395</v>
      </c>
      <c r="H104" s="807" t="s">
        <v>1650</v>
      </c>
      <c r="I104" s="1043">
        <v>103982494.63</v>
      </c>
      <c r="J104" s="778"/>
      <c r="K104" s="778"/>
      <c r="L104" s="778"/>
      <c r="M104" s="767">
        <v>34</v>
      </c>
      <c r="N104" s="767" t="s">
        <v>1651</v>
      </c>
      <c r="O104" s="789"/>
      <c r="P104" s="790"/>
      <c r="Q104" s="790"/>
      <c r="R104" s="790"/>
      <c r="S104" s="790"/>
      <c r="T104" s="790"/>
      <c r="U104" s="763">
        <v>33</v>
      </c>
      <c r="V104" s="763" t="s">
        <v>1305</v>
      </c>
      <c r="W104" s="763">
        <v>3301</v>
      </c>
      <c r="X104" s="804" t="s">
        <v>159</v>
      </c>
      <c r="Y104" s="763">
        <v>33013</v>
      </c>
      <c r="Z104" s="771" t="s">
        <v>1449</v>
      </c>
      <c r="AA104" s="793" t="s">
        <v>1658</v>
      </c>
      <c r="AB104" s="770" t="s">
        <v>359</v>
      </c>
      <c r="AC104" s="780" t="s">
        <v>356</v>
      </c>
      <c r="AD104" s="770" t="s">
        <v>357</v>
      </c>
      <c r="AE104" s="1044" t="s">
        <v>1653</v>
      </c>
      <c r="AF104" s="1045" t="s">
        <v>1652</v>
      </c>
      <c r="AG104" s="766"/>
      <c r="AH104" s="873" t="str">
        <f t="shared" si="3"/>
        <v>2.3.2.02.01.0033301100.32210.</v>
      </c>
      <c r="AI104" s="777"/>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row>
    <row r="105" spans="1:114" s="374" customFormat="1" ht="109.5" hidden="1" customHeight="1" x14ac:dyDescent="0.2">
      <c r="A105" s="931">
        <v>310</v>
      </c>
      <c r="B105" s="762" t="s">
        <v>1446</v>
      </c>
      <c r="C105" s="763">
        <v>1</v>
      </c>
      <c r="D105" s="785" t="s">
        <v>1412</v>
      </c>
      <c r="E105" s="1149" t="s">
        <v>1540</v>
      </c>
      <c r="F105" s="763">
        <v>6</v>
      </c>
      <c r="G105" s="763" t="s">
        <v>1395</v>
      </c>
      <c r="H105" s="807" t="s">
        <v>1537</v>
      </c>
      <c r="I105" s="1043">
        <v>18000000</v>
      </c>
      <c r="J105" s="778"/>
      <c r="K105" s="778"/>
      <c r="L105" s="778"/>
      <c r="M105" s="767">
        <v>20</v>
      </c>
      <c r="N105" s="767" t="s">
        <v>1406</v>
      </c>
      <c r="O105" s="789"/>
      <c r="P105" s="790"/>
      <c r="Q105" s="790"/>
      <c r="R105" s="790"/>
      <c r="S105" s="790"/>
      <c r="T105" s="790"/>
      <c r="U105" s="763">
        <v>33</v>
      </c>
      <c r="V105" s="763" t="s">
        <v>1305</v>
      </c>
      <c r="W105" s="763">
        <v>3301</v>
      </c>
      <c r="X105" s="804" t="s">
        <v>159</v>
      </c>
      <c r="Y105" s="763">
        <v>33013</v>
      </c>
      <c r="Z105" s="771" t="s">
        <v>1449</v>
      </c>
      <c r="AA105" s="793" t="s">
        <v>1658</v>
      </c>
      <c r="AB105" s="770" t="s">
        <v>359</v>
      </c>
      <c r="AC105" s="988" t="s">
        <v>356</v>
      </c>
      <c r="AD105" s="770" t="s">
        <v>357</v>
      </c>
      <c r="AE105" s="1044" t="s">
        <v>1549</v>
      </c>
      <c r="AF105" s="1045" t="s">
        <v>1389</v>
      </c>
      <c r="AG105" s="766"/>
      <c r="AH105" s="873" t="str">
        <f t="shared" si="3"/>
        <v>2.3.2.02.02.009.3301100.91119.</v>
      </c>
      <c r="AI105" s="777"/>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row>
    <row r="106" spans="1:114" s="374" customFormat="1" ht="109.5" hidden="1" customHeight="1" x14ac:dyDescent="0.2">
      <c r="A106" s="931">
        <v>310</v>
      </c>
      <c r="B106" s="762" t="s">
        <v>1446</v>
      </c>
      <c r="C106" s="763">
        <v>1</v>
      </c>
      <c r="D106" s="785" t="s">
        <v>1412</v>
      </c>
      <c r="E106" s="1149" t="s">
        <v>1540</v>
      </c>
      <c r="F106" s="763">
        <v>6</v>
      </c>
      <c r="G106" s="763" t="s">
        <v>1395</v>
      </c>
      <c r="H106" s="807" t="s">
        <v>1537</v>
      </c>
      <c r="I106" s="1043">
        <v>183982494.63</v>
      </c>
      <c r="J106" s="778"/>
      <c r="K106" s="778"/>
      <c r="L106" s="778"/>
      <c r="M106" s="767">
        <v>33</v>
      </c>
      <c r="N106" s="767" t="s">
        <v>1656</v>
      </c>
      <c r="O106" s="789"/>
      <c r="P106" s="790"/>
      <c r="Q106" s="790"/>
      <c r="R106" s="790"/>
      <c r="S106" s="790"/>
      <c r="T106" s="790"/>
      <c r="U106" s="763">
        <v>33</v>
      </c>
      <c r="V106" s="763" t="s">
        <v>1305</v>
      </c>
      <c r="W106" s="763">
        <v>3301</v>
      </c>
      <c r="X106" s="804" t="s">
        <v>159</v>
      </c>
      <c r="Y106" s="763">
        <v>33012</v>
      </c>
      <c r="Z106" s="771" t="s">
        <v>1867</v>
      </c>
      <c r="AA106" s="793" t="s">
        <v>1659</v>
      </c>
      <c r="AB106" s="770" t="s">
        <v>362</v>
      </c>
      <c r="AC106" s="780" t="s">
        <v>365</v>
      </c>
      <c r="AD106" s="770" t="s">
        <v>366</v>
      </c>
      <c r="AE106" s="788" t="s">
        <v>1549</v>
      </c>
      <c r="AF106" s="765" t="s">
        <v>1389</v>
      </c>
      <c r="AG106" s="766"/>
      <c r="AH106" s="873" t="str">
        <f t="shared" si="3"/>
        <v>2.3.2.02.02.009.3301095.91119.</v>
      </c>
      <c r="AI106" s="777"/>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row>
    <row r="107" spans="1:114" s="374" customFormat="1" ht="93.75" hidden="1" customHeight="1" x14ac:dyDescent="0.2">
      <c r="A107" s="931">
        <v>310</v>
      </c>
      <c r="B107" s="762" t="s">
        <v>1446</v>
      </c>
      <c r="C107" s="763">
        <v>1</v>
      </c>
      <c r="D107" s="785" t="s">
        <v>1412</v>
      </c>
      <c r="E107" s="1149" t="s">
        <v>1540</v>
      </c>
      <c r="F107" s="763">
        <v>6</v>
      </c>
      <c r="G107" s="763" t="s">
        <v>1395</v>
      </c>
      <c r="H107" s="807" t="s">
        <v>1537</v>
      </c>
      <c r="I107" s="1043">
        <v>20000000</v>
      </c>
      <c r="J107" s="778"/>
      <c r="K107" s="778"/>
      <c r="L107" s="778"/>
      <c r="M107" s="767">
        <v>20</v>
      </c>
      <c r="N107" s="767" t="s">
        <v>1656</v>
      </c>
      <c r="O107" s="789"/>
      <c r="P107" s="790"/>
      <c r="Q107" s="790"/>
      <c r="R107" s="790"/>
      <c r="S107" s="790"/>
      <c r="T107" s="790"/>
      <c r="U107" s="763">
        <v>33</v>
      </c>
      <c r="V107" s="763" t="s">
        <v>1305</v>
      </c>
      <c r="W107" s="763">
        <v>3301</v>
      </c>
      <c r="X107" s="804" t="s">
        <v>159</v>
      </c>
      <c r="Y107" s="763">
        <v>33012</v>
      </c>
      <c r="Z107" s="771" t="s">
        <v>1867</v>
      </c>
      <c r="AA107" s="793" t="s">
        <v>1659</v>
      </c>
      <c r="AB107" s="770" t="s">
        <v>362</v>
      </c>
      <c r="AC107" s="988" t="s">
        <v>365</v>
      </c>
      <c r="AD107" s="770" t="s">
        <v>366</v>
      </c>
      <c r="AE107" s="788" t="s">
        <v>1549</v>
      </c>
      <c r="AF107" s="765" t="s">
        <v>1389</v>
      </c>
      <c r="AG107" s="766"/>
      <c r="AH107" s="873" t="str">
        <f t="shared" si="3"/>
        <v>2.3.2.02.02.009.3301095.91119.</v>
      </c>
      <c r="AI107" s="777"/>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row>
    <row r="108" spans="1:114" s="374" customFormat="1" ht="146.25" hidden="1" customHeight="1" x14ac:dyDescent="0.2">
      <c r="A108" s="931">
        <v>310</v>
      </c>
      <c r="B108" s="762" t="s">
        <v>1446</v>
      </c>
      <c r="C108" s="763">
        <v>1</v>
      </c>
      <c r="D108" s="785" t="s">
        <v>1412</v>
      </c>
      <c r="E108" s="1149" t="s">
        <v>1540</v>
      </c>
      <c r="F108" s="763">
        <v>6</v>
      </c>
      <c r="G108" s="763" t="s">
        <v>1395</v>
      </c>
      <c r="H108" s="807" t="s">
        <v>1537</v>
      </c>
      <c r="I108" s="1043">
        <v>66500000</v>
      </c>
      <c r="J108" s="778"/>
      <c r="K108" s="778"/>
      <c r="L108" s="778"/>
      <c r="M108" s="767">
        <v>20</v>
      </c>
      <c r="N108" s="767" t="s">
        <v>1406</v>
      </c>
      <c r="O108" s="789"/>
      <c r="P108" s="790"/>
      <c r="Q108" s="790"/>
      <c r="R108" s="790"/>
      <c r="S108" s="790"/>
      <c r="T108" s="790"/>
      <c r="U108" s="763">
        <v>33</v>
      </c>
      <c r="V108" s="763" t="s">
        <v>1305</v>
      </c>
      <c r="W108" s="763">
        <v>3302</v>
      </c>
      <c r="X108" s="804" t="s">
        <v>368</v>
      </c>
      <c r="Y108" s="763">
        <v>33026</v>
      </c>
      <c r="Z108" s="771" t="s">
        <v>1868</v>
      </c>
      <c r="AA108" s="798" t="s">
        <v>1660</v>
      </c>
      <c r="AB108" s="770" t="s">
        <v>370</v>
      </c>
      <c r="AC108" s="780" t="s">
        <v>373</v>
      </c>
      <c r="AD108" s="770" t="s">
        <v>374</v>
      </c>
      <c r="AE108" s="1044" t="s">
        <v>1549</v>
      </c>
      <c r="AF108" s="1045" t="s">
        <v>1389</v>
      </c>
      <c r="AG108" s="766"/>
      <c r="AH108" s="873" t="str">
        <f t="shared" si="3"/>
        <v>2.3.2.02.02.009.3302042.91119.</v>
      </c>
      <c r="AI108" s="777"/>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row>
    <row r="109" spans="1:114" s="374" customFormat="1" ht="187.5" hidden="1" customHeight="1" x14ac:dyDescent="0.2">
      <c r="A109" s="931">
        <v>310</v>
      </c>
      <c r="B109" s="762" t="s">
        <v>1446</v>
      </c>
      <c r="C109" s="763">
        <v>1</v>
      </c>
      <c r="D109" s="785" t="s">
        <v>1412</v>
      </c>
      <c r="E109" s="1000" t="s">
        <v>1592</v>
      </c>
      <c r="F109" s="1026">
        <v>6</v>
      </c>
      <c r="G109" s="1026" t="s">
        <v>1395</v>
      </c>
      <c r="H109" s="1026" t="s">
        <v>1650</v>
      </c>
      <c r="I109" s="1043">
        <v>263038142</v>
      </c>
      <c r="J109" s="778"/>
      <c r="K109" s="778"/>
      <c r="L109" s="778"/>
      <c r="M109" s="767">
        <v>47</v>
      </c>
      <c r="N109" s="784" t="s">
        <v>1657</v>
      </c>
      <c r="O109" s="789"/>
      <c r="P109" s="790"/>
      <c r="Q109" s="790"/>
      <c r="R109" s="790"/>
      <c r="S109" s="790"/>
      <c r="T109" s="790"/>
      <c r="U109" s="984">
        <v>33</v>
      </c>
      <c r="V109" s="984" t="s">
        <v>1305</v>
      </c>
      <c r="W109" s="984">
        <v>3302</v>
      </c>
      <c r="X109" s="804" t="s">
        <v>368</v>
      </c>
      <c r="Y109" s="763">
        <v>33026</v>
      </c>
      <c r="Z109" s="771" t="s">
        <v>1868</v>
      </c>
      <c r="AA109" s="798" t="s">
        <v>1661</v>
      </c>
      <c r="AB109" s="770" t="s">
        <v>376</v>
      </c>
      <c r="AC109" s="780" t="s">
        <v>373</v>
      </c>
      <c r="AD109" s="1124" t="s">
        <v>374</v>
      </c>
      <c r="AE109" s="1221" t="s">
        <v>1653</v>
      </c>
      <c r="AF109" s="1113" t="s">
        <v>1652</v>
      </c>
      <c r="AG109" s="766"/>
      <c r="AH109" s="873" t="str">
        <f t="shared" si="3"/>
        <v>2.3.2.02.01.0033302070.32210.</v>
      </c>
      <c r="AI109" s="777"/>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row>
    <row r="110" spans="1:114" s="1041" customFormat="1" ht="129" hidden="1" customHeight="1" x14ac:dyDescent="0.2">
      <c r="A110" s="931">
        <v>311</v>
      </c>
      <c r="B110" s="781" t="s">
        <v>1446</v>
      </c>
      <c r="C110" s="782">
        <v>2</v>
      </c>
      <c r="D110" s="1117" t="s">
        <v>1412</v>
      </c>
      <c r="E110" s="1210" t="s">
        <v>1540</v>
      </c>
      <c r="F110" s="782">
        <v>6</v>
      </c>
      <c r="G110" s="782" t="s">
        <v>1395</v>
      </c>
      <c r="H110" s="1211" t="s">
        <v>1537</v>
      </c>
      <c r="I110" s="1212">
        <v>66500000</v>
      </c>
      <c r="J110" s="1047"/>
      <c r="K110" s="1047"/>
      <c r="L110" s="1047"/>
      <c r="M110" s="1114">
        <v>20</v>
      </c>
      <c r="N110" s="1115" t="s">
        <v>1406</v>
      </c>
      <c r="O110" s="1048"/>
      <c r="P110" s="1048"/>
      <c r="Q110" s="1048"/>
      <c r="R110" s="1048"/>
      <c r="S110" s="1048"/>
      <c r="T110" s="1048"/>
      <c r="U110" s="1114">
        <v>34</v>
      </c>
      <c r="V110" s="1114" t="s">
        <v>1305</v>
      </c>
      <c r="W110" s="1114">
        <v>3303</v>
      </c>
      <c r="X110" s="1213" t="s">
        <v>368</v>
      </c>
      <c r="Y110" s="782">
        <v>33026</v>
      </c>
      <c r="Z110" s="1214" t="s">
        <v>1868</v>
      </c>
      <c r="AA110" s="1215" t="s">
        <v>1662</v>
      </c>
      <c r="AB110" s="1065" t="s">
        <v>376</v>
      </c>
      <c r="AC110" s="1220" t="s">
        <v>385</v>
      </c>
      <c r="AD110" s="775" t="s">
        <v>374</v>
      </c>
      <c r="AE110" s="1222" t="s">
        <v>1549</v>
      </c>
      <c r="AF110" s="775" t="s">
        <v>1389</v>
      </c>
      <c r="AG110" s="776"/>
      <c r="AH110" s="740" t="str">
        <f t="shared" si="3"/>
        <v>2.3.2.02.02.009.3302071.91119.</v>
      </c>
      <c r="AI110" s="1049"/>
      <c r="AJ110" s="1040"/>
      <c r="AK110" s="1040"/>
      <c r="AL110" s="1040"/>
      <c r="AM110" s="1040"/>
      <c r="AN110" s="1040"/>
      <c r="AO110" s="1040"/>
      <c r="AP110" s="1040"/>
      <c r="AQ110" s="1040"/>
      <c r="AR110" s="1040"/>
      <c r="AS110" s="1040"/>
      <c r="AT110" s="1040"/>
      <c r="AU110" s="1040"/>
      <c r="AV110" s="1040"/>
      <c r="AW110" s="1040"/>
      <c r="AX110" s="1040"/>
      <c r="AY110" s="1040"/>
      <c r="AZ110" s="1040"/>
      <c r="BA110" s="1040"/>
      <c r="BB110" s="1040"/>
      <c r="BC110" s="1040"/>
      <c r="BD110" s="1040"/>
      <c r="BE110" s="1040"/>
      <c r="BF110" s="1040"/>
      <c r="BG110" s="1040"/>
      <c r="BH110" s="1040"/>
      <c r="BI110" s="1040"/>
      <c r="BJ110" s="1040"/>
      <c r="BK110" s="1040"/>
      <c r="BL110" s="1040"/>
      <c r="BM110" s="1040"/>
      <c r="BN110" s="1040"/>
      <c r="BO110" s="1040"/>
      <c r="BP110" s="1040"/>
      <c r="BQ110" s="1040"/>
      <c r="BR110" s="1040"/>
      <c r="BS110" s="1040"/>
      <c r="BT110" s="1040"/>
      <c r="BU110" s="1040"/>
      <c r="BV110" s="1040"/>
      <c r="BW110" s="1040"/>
      <c r="BX110" s="1040"/>
      <c r="BY110" s="1040"/>
      <c r="BZ110" s="1040"/>
      <c r="CA110" s="1040"/>
      <c r="CB110" s="1040"/>
      <c r="CC110" s="1040"/>
      <c r="CD110" s="1040"/>
      <c r="CE110" s="1040"/>
      <c r="CF110" s="1040"/>
      <c r="CG110" s="1040"/>
      <c r="CH110" s="1040"/>
      <c r="CI110" s="1040"/>
      <c r="CJ110" s="1040"/>
      <c r="CK110" s="1040"/>
      <c r="CL110" s="1040"/>
      <c r="CM110" s="1040"/>
      <c r="CN110" s="1040"/>
      <c r="CO110" s="1040"/>
      <c r="CP110" s="1040"/>
      <c r="CQ110" s="1040"/>
      <c r="CR110" s="1040"/>
      <c r="CS110" s="1040"/>
      <c r="CT110" s="1040"/>
      <c r="CU110" s="1040"/>
      <c r="CV110" s="1040"/>
      <c r="CW110" s="1040"/>
      <c r="CX110" s="1040"/>
      <c r="CY110" s="1040"/>
      <c r="CZ110" s="1040"/>
      <c r="DA110" s="1040"/>
      <c r="DB110" s="1040"/>
      <c r="DC110" s="1040"/>
      <c r="DD110" s="1040"/>
      <c r="DE110" s="1040"/>
      <c r="DF110" s="1040"/>
      <c r="DG110" s="1040"/>
      <c r="DH110" s="1040"/>
      <c r="DI110" s="1040"/>
      <c r="DJ110" s="1040"/>
    </row>
    <row r="111" spans="1:114" s="680" customFormat="1" ht="172.5" hidden="1" customHeight="1" x14ac:dyDescent="0.25">
      <c r="A111" s="1137">
        <v>311</v>
      </c>
      <c r="B111" s="990" t="s">
        <v>1450</v>
      </c>
      <c r="C111" s="702">
        <v>2</v>
      </c>
      <c r="D111" s="702" t="s">
        <v>1451</v>
      </c>
      <c r="E111" s="1000" t="s">
        <v>1540</v>
      </c>
      <c r="F111" s="792">
        <v>6</v>
      </c>
      <c r="G111" s="792" t="s">
        <v>1395</v>
      </c>
      <c r="H111" s="906" t="s">
        <v>1537</v>
      </c>
      <c r="I111" s="873">
        <v>27000000</v>
      </c>
      <c r="J111" s="876"/>
      <c r="K111" s="876"/>
      <c r="L111" s="876"/>
      <c r="M111" s="876">
        <v>20</v>
      </c>
      <c r="N111" s="876" t="s">
        <v>1800</v>
      </c>
      <c r="O111" s="877"/>
      <c r="P111" s="877"/>
      <c r="Q111" s="877"/>
      <c r="R111" s="877"/>
      <c r="S111" s="877"/>
      <c r="T111" s="877"/>
      <c r="U111" s="1138">
        <v>35</v>
      </c>
      <c r="V111" s="1139" t="s">
        <v>1309</v>
      </c>
      <c r="W111" s="702">
        <v>3502</v>
      </c>
      <c r="X111" s="819" t="s">
        <v>380</v>
      </c>
      <c r="Y111" s="792" t="s">
        <v>1933</v>
      </c>
      <c r="Z111" s="702" t="s">
        <v>1452</v>
      </c>
      <c r="AA111" s="1098" t="s">
        <v>1883</v>
      </c>
      <c r="AB111" s="842" t="s">
        <v>382</v>
      </c>
      <c r="AC111" s="964" t="s">
        <v>385</v>
      </c>
      <c r="AD111" s="740" t="s">
        <v>386</v>
      </c>
      <c r="AE111" s="1027">
        <v>91119</v>
      </c>
      <c r="AF111" s="844" t="s">
        <v>1389</v>
      </c>
      <c r="AG111" s="968"/>
      <c r="AH111" s="873" t="str">
        <f t="shared" si="3"/>
        <v>2.3.2.02.02.009.3502006.91119</v>
      </c>
    </row>
    <row r="112" spans="1:114" s="680" customFormat="1" ht="154.5" hidden="1" customHeight="1" x14ac:dyDescent="0.25">
      <c r="A112" s="1137">
        <v>311</v>
      </c>
      <c r="B112" s="990" t="s">
        <v>1450</v>
      </c>
      <c r="C112" s="702">
        <v>2</v>
      </c>
      <c r="D112" s="702" t="s">
        <v>1451</v>
      </c>
      <c r="E112" s="1000" t="s">
        <v>1873</v>
      </c>
      <c r="F112" s="792">
        <v>5</v>
      </c>
      <c r="G112" s="792" t="s">
        <v>1395</v>
      </c>
      <c r="H112" s="906" t="s">
        <v>1881</v>
      </c>
      <c r="I112" s="1141">
        <v>24050047</v>
      </c>
      <c r="J112" s="876"/>
      <c r="K112" s="1142"/>
      <c r="L112" s="876"/>
      <c r="M112" s="876">
        <v>20</v>
      </c>
      <c r="N112" s="876" t="s">
        <v>1800</v>
      </c>
      <c r="O112" s="877"/>
      <c r="P112" s="877"/>
      <c r="Q112" s="877"/>
      <c r="R112" s="877"/>
      <c r="S112" s="877"/>
      <c r="T112" s="877"/>
      <c r="U112" s="1138">
        <v>35</v>
      </c>
      <c r="V112" s="1139" t="s">
        <v>1309</v>
      </c>
      <c r="W112" s="702">
        <v>3502</v>
      </c>
      <c r="X112" s="819" t="s">
        <v>380</v>
      </c>
      <c r="Y112" s="996" t="s">
        <v>1925</v>
      </c>
      <c r="Z112" s="702" t="s">
        <v>1453</v>
      </c>
      <c r="AA112" s="1098" t="s">
        <v>1696</v>
      </c>
      <c r="AB112" s="842" t="s">
        <v>390</v>
      </c>
      <c r="AC112" s="964" t="s">
        <v>385</v>
      </c>
      <c r="AD112" s="740" t="s">
        <v>386</v>
      </c>
      <c r="AE112" s="1223">
        <v>91136</v>
      </c>
      <c r="AF112" s="1170" t="s">
        <v>1870</v>
      </c>
      <c r="AG112" s="968"/>
      <c r="AH112" s="873" t="str">
        <f t="shared" si="3"/>
        <v>2.3.4.02.03.3502007.91136</v>
      </c>
    </row>
    <row r="113" spans="1:34" s="680" customFormat="1" ht="202.5" hidden="1" customHeight="1" x14ac:dyDescent="0.25">
      <c r="A113" s="1137">
        <v>311</v>
      </c>
      <c r="B113" s="990" t="s">
        <v>1450</v>
      </c>
      <c r="C113" s="702">
        <v>2</v>
      </c>
      <c r="D113" s="702" t="s">
        <v>1451</v>
      </c>
      <c r="E113" s="1000" t="s">
        <v>1540</v>
      </c>
      <c r="F113" s="792">
        <v>6</v>
      </c>
      <c r="G113" s="792" t="s">
        <v>1395</v>
      </c>
      <c r="H113" s="906" t="s">
        <v>1537</v>
      </c>
      <c r="I113" s="1141">
        <v>25949953</v>
      </c>
      <c r="J113" s="876"/>
      <c r="K113" s="876"/>
      <c r="L113" s="876"/>
      <c r="M113" s="876">
        <v>20</v>
      </c>
      <c r="N113" s="876" t="s">
        <v>1800</v>
      </c>
      <c r="O113" s="877"/>
      <c r="P113" s="877"/>
      <c r="Q113" s="877"/>
      <c r="R113" s="877"/>
      <c r="S113" s="877"/>
      <c r="T113" s="877"/>
      <c r="U113" s="1138">
        <v>35</v>
      </c>
      <c r="V113" s="1139" t="s">
        <v>1309</v>
      </c>
      <c r="W113" s="702">
        <v>3502</v>
      </c>
      <c r="X113" s="819" t="s">
        <v>380</v>
      </c>
      <c r="Y113" s="996" t="s">
        <v>1925</v>
      </c>
      <c r="Z113" s="702" t="s">
        <v>1453</v>
      </c>
      <c r="AA113" s="1098" t="s">
        <v>1696</v>
      </c>
      <c r="AB113" s="842" t="s">
        <v>390</v>
      </c>
      <c r="AC113" s="842" t="s">
        <v>385</v>
      </c>
      <c r="AD113" s="1167" t="s">
        <v>386</v>
      </c>
      <c r="AE113" s="1168">
        <v>91119</v>
      </c>
      <c r="AF113" s="1169" t="s">
        <v>1389</v>
      </c>
      <c r="AG113" s="968"/>
      <c r="AH113" s="873" t="str">
        <f t="shared" si="3"/>
        <v>2.3.2.02.02.009.3502007.91119</v>
      </c>
    </row>
    <row r="114" spans="1:34" s="680" customFormat="1" ht="375" hidden="1" x14ac:dyDescent="0.25">
      <c r="A114" s="1137">
        <v>311</v>
      </c>
      <c r="B114" s="990" t="s">
        <v>1450</v>
      </c>
      <c r="C114" s="702">
        <v>2</v>
      </c>
      <c r="D114" s="702" t="s">
        <v>1451</v>
      </c>
      <c r="E114" s="1000" t="s">
        <v>1869</v>
      </c>
      <c r="F114" s="792">
        <v>5</v>
      </c>
      <c r="G114" s="792" t="s">
        <v>1395</v>
      </c>
      <c r="H114" s="906" t="s">
        <v>1881</v>
      </c>
      <c r="I114" s="1143">
        <v>35000000</v>
      </c>
      <c r="J114" s="876"/>
      <c r="K114" s="876"/>
      <c r="L114" s="876"/>
      <c r="M114" s="876">
        <v>20</v>
      </c>
      <c r="N114" s="876" t="s">
        <v>1800</v>
      </c>
      <c r="O114" s="877"/>
      <c r="P114" s="877"/>
      <c r="Q114" s="877"/>
      <c r="R114" s="877"/>
      <c r="S114" s="877"/>
      <c r="T114" s="877"/>
      <c r="U114" s="1138">
        <v>35</v>
      </c>
      <c r="V114" s="1139" t="s">
        <v>1309</v>
      </c>
      <c r="W114" s="702">
        <v>3502</v>
      </c>
      <c r="X114" s="819" t="s">
        <v>380</v>
      </c>
      <c r="Y114" s="1171"/>
      <c r="Z114" s="702" t="s">
        <v>1452</v>
      </c>
      <c r="AA114" s="826" t="s">
        <v>1884</v>
      </c>
      <c r="AB114" s="842" t="s">
        <v>393</v>
      </c>
      <c r="AC114" s="842" t="s">
        <v>396</v>
      </c>
      <c r="AD114" s="1007" t="s">
        <v>397</v>
      </c>
      <c r="AE114" s="1218">
        <v>91136</v>
      </c>
      <c r="AF114" s="1169" t="s">
        <v>1870</v>
      </c>
      <c r="AG114" s="968"/>
      <c r="AH114" s="873" t="str">
        <f t="shared" si="3"/>
        <v>2.3.4.02.033502022.91136</v>
      </c>
    </row>
    <row r="115" spans="1:34" s="680" customFormat="1" ht="108" hidden="1" customHeight="1" x14ac:dyDescent="0.25">
      <c r="A115" s="1137">
        <v>311</v>
      </c>
      <c r="B115" s="990" t="s">
        <v>1450</v>
      </c>
      <c r="C115" s="702">
        <v>2</v>
      </c>
      <c r="D115" s="702" t="s">
        <v>1451</v>
      </c>
      <c r="E115" s="1000" t="s">
        <v>1394</v>
      </c>
      <c r="F115" s="792">
        <v>6</v>
      </c>
      <c r="G115" s="792" t="s">
        <v>1395</v>
      </c>
      <c r="H115" s="906" t="s">
        <v>1537</v>
      </c>
      <c r="I115" s="1144">
        <v>50000000</v>
      </c>
      <c r="J115" s="876"/>
      <c r="K115" s="876"/>
      <c r="L115" s="876"/>
      <c r="M115" s="876">
        <v>20</v>
      </c>
      <c r="N115" s="876" t="s">
        <v>1800</v>
      </c>
      <c r="O115" s="877"/>
      <c r="P115" s="877"/>
      <c r="Q115" s="877"/>
      <c r="R115" s="877"/>
      <c r="S115" s="877"/>
      <c r="T115" s="877"/>
      <c r="U115" s="1138">
        <v>35</v>
      </c>
      <c r="V115" s="1139" t="s">
        <v>1309</v>
      </c>
      <c r="W115" s="702">
        <v>3502</v>
      </c>
      <c r="X115" s="819" t="s">
        <v>380</v>
      </c>
      <c r="Y115" s="996" t="s">
        <v>1934</v>
      </c>
      <c r="Z115" s="702" t="s">
        <v>1452</v>
      </c>
      <c r="AA115" s="826" t="s">
        <v>1884</v>
      </c>
      <c r="AB115" s="842" t="s">
        <v>393</v>
      </c>
      <c r="AC115" s="842" t="s">
        <v>396</v>
      </c>
      <c r="AD115" s="1007" t="s">
        <v>397</v>
      </c>
      <c r="AE115" s="965">
        <v>91119</v>
      </c>
      <c r="AF115" s="844" t="s">
        <v>1389</v>
      </c>
      <c r="AG115" s="968"/>
      <c r="AH115" s="873" t="str">
        <f t="shared" si="3"/>
        <v>2.3.2.02.02.0093502022.91119</v>
      </c>
    </row>
    <row r="116" spans="1:34" s="680" customFormat="1" ht="221.25" hidden="1" customHeight="1" x14ac:dyDescent="0.25">
      <c r="A116" s="1137">
        <v>311</v>
      </c>
      <c r="B116" s="990" t="s">
        <v>1450</v>
      </c>
      <c r="C116" s="702">
        <v>2</v>
      </c>
      <c r="D116" s="702" t="s">
        <v>1451</v>
      </c>
      <c r="E116" s="1149" t="s">
        <v>1592</v>
      </c>
      <c r="F116" s="763">
        <v>6</v>
      </c>
      <c r="G116" s="983" t="s">
        <v>1395</v>
      </c>
      <c r="H116" s="906" t="s">
        <v>1593</v>
      </c>
      <c r="I116" s="1144">
        <v>5000000</v>
      </c>
      <c r="J116" s="876"/>
      <c r="K116" s="876"/>
      <c r="L116" s="876"/>
      <c r="M116" s="876">
        <v>20</v>
      </c>
      <c r="N116" s="876" t="s">
        <v>1800</v>
      </c>
      <c r="O116" s="877"/>
      <c r="P116" s="877"/>
      <c r="Q116" s="877"/>
      <c r="R116" s="877"/>
      <c r="S116" s="877"/>
      <c r="T116" s="877"/>
      <c r="U116" s="1138">
        <v>35</v>
      </c>
      <c r="V116" s="1139" t="s">
        <v>1309</v>
      </c>
      <c r="W116" s="702">
        <v>3502</v>
      </c>
      <c r="X116" s="819" t="s">
        <v>380</v>
      </c>
      <c r="Y116" s="996" t="s">
        <v>1934</v>
      </c>
      <c r="Z116" s="702" t="s">
        <v>1452</v>
      </c>
      <c r="AA116" s="826" t="s">
        <v>1884</v>
      </c>
      <c r="AB116" s="842" t="s">
        <v>393</v>
      </c>
      <c r="AC116" s="842" t="s">
        <v>396</v>
      </c>
      <c r="AD116" s="1007" t="s">
        <v>397</v>
      </c>
      <c r="AE116" s="965">
        <v>32690</v>
      </c>
      <c r="AF116" s="844" t="s">
        <v>1594</v>
      </c>
      <c r="AG116" s="968"/>
      <c r="AH116" s="873" t="str">
        <f t="shared" si="3"/>
        <v>2.3.2.02.01.0033502022.32690</v>
      </c>
    </row>
    <row r="117" spans="1:34" s="680" customFormat="1" ht="173.25" hidden="1" customHeight="1" x14ac:dyDescent="0.25">
      <c r="A117" s="1137">
        <v>311</v>
      </c>
      <c r="B117" s="990" t="s">
        <v>1450</v>
      </c>
      <c r="C117" s="702">
        <v>2</v>
      </c>
      <c r="D117" s="702" t="s">
        <v>1451</v>
      </c>
      <c r="E117" s="1000" t="s">
        <v>1394</v>
      </c>
      <c r="F117" s="792">
        <v>5</v>
      </c>
      <c r="G117" s="792" t="s">
        <v>1395</v>
      </c>
      <c r="H117" s="906" t="s">
        <v>1537</v>
      </c>
      <c r="I117" s="1144">
        <v>160000000</v>
      </c>
      <c r="J117" s="876"/>
      <c r="K117" s="876"/>
      <c r="L117" s="876"/>
      <c r="M117" s="876">
        <v>20</v>
      </c>
      <c r="N117" s="876" t="s">
        <v>1800</v>
      </c>
      <c r="O117" s="877"/>
      <c r="P117" s="877"/>
      <c r="Q117" s="877"/>
      <c r="R117" s="877"/>
      <c r="S117" s="877"/>
      <c r="T117" s="877"/>
      <c r="U117" s="1138">
        <v>35</v>
      </c>
      <c r="V117" s="1139" t="s">
        <v>1309</v>
      </c>
      <c r="W117" s="702">
        <v>3502</v>
      </c>
      <c r="X117" s="819" t="s">
        <v>380</v>
      </c>
      <c r="Y117" s="996" t="s">
        <v>1925</v>
      </c>
      <c r="Z117" s="702" t="s">
        <v>1454</v>
      </c>
      <c r="AA117" s="826" t="s">
        <v>1886</v>
      </c>
      <c r="AB117" s="842" t="s">
        <v>63</v>
      </c>
      <c r="AC117" s="842" t="s">
        <v>396</v>
      </c>
      <c r="AD117" s="1007" t="s">
        <v>397</v>
      </c>
      <c r="AE117" s="965">
        <v>91136</v>
      </c>
      <c r="AF117" s="873" t="s">
        <v>1870</v>
      </c>
      <c r="AG117" s="968"/>
      <c r="AH117" s="873" t="str">
        <f t="shared" si="3"/>
        <v>2.3.2.02.02.0093502047.91136</v>
      </c>
    </row>
    <row r="118" spans="1:34" s="680" customFormat="1" ht="165" hidden="1" customHeight="1" x14ac:dyDescent="0.25">
      <c r="A118" s="990">
        <v>311</v>
      </c>
      <c r="B118" s="990" t="s">
        <v>1450</v>
      </c>
      <c r="C118" s="702">
        <v>2</v>
      </c>
      <c r="D118" s="702" t="s">
        <v>1451</v>
      </c>
      <c r="E118" s="1000" t="s">
        <v>1540</v>
      </c>
      <c r="F118" s="792">
        <v>6</v>
      </c>
      <c r="G118" s="792" t="s">
        <v>1395</v>
      </c>
      <c r="H118" s="906" t="s">
        <v>1537</v>
      </c>
      <c r="I118" s="873">
        <v>75000000</v>
      </c>
      <c r="J118" s="876"/>
      <c r="K118" s="876"/>
      <c r="L118" s="876"/>
      <c r="M118" s="876">
        <v>20</v>
      </c>
      <c r="N118" s="876" t="s">
        <v>1800</v>
      </c>
      <c r="O118" s="877"/>
      <c r="P118" s="877"/>
      <c r="Q118" s="877"/>
      <c r="R118" s="877"/>
      <c r="S118" s="877"/>
      <c r="T118" s="877"/>
      <c r="U118" s="1140">
        <v>35</v>
      </c>
      <c r="V118" s="1139" t="s">
        <v>1309</v>
      </c>
      <c r="W118" s="702">
        <v>3502</v>
      </c>
      <c r="X118" s="819" t="s">
        <v>380</v>
      </c>
      <c r="Y118" s="996" t="s">
        <v>1934</v>
      </c>
      <c r="Z118" s="702" t="s">
        <v>1452</v>
      </c>
      <c r="AA118" s="826" t="s">
        <v>1885</v>
      </c>
      <c r="AB118" s="842" t="s">
        <v>401</v>
      </c>
      <c r="AC118" s="842" t="s">
        <v>403</v>
      </c>
      <c r="AD118" s="842" t="s">
        <v>404</v>
      </c>
      <c r="AE118" s="872">
        <v>91119</v>
      </c>
      <c r="AF118" s="844" t="s">
        <v>1389</v>
      </c>
      <c r="AG118" s="874"/>
      <c r="AH118" s="873" t="str">
        <f t="shared" si="3"/>
        <v>2.3.2.02.02.009.3502039.91119</v>
      </c>
    </row>
    <row r="119" spans="1:34" s="680" customFormat="1" ht="132" hidden="1" customHeight="1" x14ac:dyDescent="0.25">
      <c r="A119" s="990">
        <v>311</v>
      </c>
      <c r="B119" s="990" t="s">
        <v>1450</v>
      </c>
      <c r="C119" s="702">
        <v>2</v>
      </c>
      <c r="D119" s="702" t="s">
        <v>1451</v>
      </c>
      <c r="E119" s="1149" t="s">
        <v>1592</v>
      </c>
      <c r="F119" s="763">
        <v>6</v>
      </c>
      <c r="G119" s="983" t="s">
        <v>1395</v>
      </c>
      <c r="H119" s="906" t="s">
        <v>1593</v>
      </c>
      <c r="I119" s="1144">
        <v>5000000</v>
      </c>
      <c r="J119" s="876"/>
      <c r="K119" s="876"/>
      <c r="L119" s="876"/>
      <c r="M119" s="876">
        <v>20</v>
      </c>
      <c r="N119" s="876" t="s">
        <v>1800</v>
      </c>
      <c r="O119" s="877"/>
      <c r="P119" s="877"/>
      <c r="Q119" s="877"/>
      <c r="R119" s="877"/>
      <c r="S119" s="877"/>
      <c r="T119" s="877"/>
      <c r="U119" s="1140">
        <v>35</v>
      </c>
      <c r="V119" s="1139" t="s">
        <v>1309</v>
      </c>
      <c r="W119" s="702">
        <v>3502</v>
      </c>
      <c r="X119" s="819" t="s">
        <v>380</v>
      </c>
      <c r="Y119" s="996" t="s">
        <v>1934</v>
      </c>
      <c r="Z119" s="702" t="s">
        <v>1453</v>
      </c>
      <c r="AA119" s="826" t="s">
        <v>1885</v>
      </c>
      <c r="AB119" s="842" t="s">
        <v>401</v>
      </c>
      <c r="AC119" s="842" t="s">
        <v>403</v>
      </c>
      <c r="AD119" s="842" t="s">
        <v>404</v>
      </c>
      <c r="AE119" s="872">
        <v>32690</v>
      </c>
      <c r="AF119" s="844" t="s">
        <v>1594</v>
      </c>
      <c r="AG119" s="874"/>
      <c r="AH119" s="873" t="str">
        <f t="shared" si="3"/>
        <v>2.3.2.02.01.0033502039.32690</v>
      </c>
    </row>
    <row r="120" spans="1:34" s="680" customFormat="1" ht="133.5" hidden="1" customHeight="1" x14ac:dyDescent="0.25">
      <c r="A120" s="990">
        <v>311</v>
      </c>
      <c r="B120" s="990" t="s">
        <v>1450</v>
      </c>
      <c r="C120" s="702">
        <v>2</v>
      </c>
      <c r="D120" s="702" t="s">
        <v>1451</v>
      </c>
      <c r="E120" s="1000" t="s">
        <v>1540</v>
      </c>
      <c r="F120" s="792">
        <v>6</v>
      </c>
      <c r="G120" s="792" t="s">
        <v>1395</v>
      </c>
      <c r="H120" s="906" t="s">
        <v>1537</v>
      </c>
      <c r="I120" s="1144">
        <v>100000000</v>
      </c>
      <c r="J120" s="876"/>
      <c r="K120" s="876"/>
      <c r="L120" s="876"/>
      <c r="M120" s="876">
        <v>20</v>
      </c>
      <c r="N120" s="876" t="s">
        <v>1800</v>
      </c>
      <c r="O120" s="877"/>
      <c r="P120" s="877"/>
      <c r="Q120" s="877"/>
      <c r="R120" s="877"/>
      <c r="S120" s="877"/>
      <c r="T120" s="877"/>
      <c r="U120" s="1140">
        <v>35</v>
      </c>
      <c r="V120" s="1139" t="s">
        <v>1309</v>
      </c>
      <c r="W120" s="702">
        <v>3502</v>
      </c>
      <c r="X120" s="819" t="s">
        <v>380</v>
      </c>
      <c r="Y120" s="996" t="s">
        <v>1934</v>
      </c>
      <c r="Z120" s="702" t="s">
        <v>1453</v>
      </c>
      <c r="AA120" s="826" t="s">
        <v>1885</v>
      </c>
      <c r="AB120" s="842" t="s">
        <v>401</v>
      </c>
      <c r="AC120" s="842" t="s">
        <v>403</v>
      </c>
      <c r="AD120" s="842" t="s">
        <v>404</v>
      </c>
      <c r="AE120" s="872">
        <v>91119</v>
      </c>
      <c r="AF120" s="844" t="s">
        <v>1389</v>
      </c>
      <c r="AG120" s="874"/>
      <c r="AH120" s="873" t="str">
        <f t="shared" si="3"/>
        <v>2.3.2.02.02.009.3502039.91119</v>
      </c>
    </row>
    <row r="121" spans="1:34" s="680" customFormat="1" ht="94.5" hidden="1" customHeight="1" x14ac:dyDescent="0.25">
      <c r="A121" s="990">
        <v>311</v>
      </c>
      <c r="B121" s="990" t="s">
        <v>1450</v>
      </c>
      <c r="C121" s="702">
        <v>2</v>
      </c>
      <c r="D121" s="702" t="s">
        <v>1451</v>
      </c>
      <c r="E121" s="1000" t="s">
        <v>1540</v>
      </c>
      <c r="F121" s="792">
        <v>6</v>
      </c>
      <c r="G121" s="792" t="s">
        <v>1395</v>
      </c>
      <c r="H121" s="906" t="s">
        <v>1537</v>
      </c>
      <c r="I121" s="1144">
        <v>18000000</v>
      </c>
      <c r="J121" s="876"/>
      <c r="K121" s="876"/>
      <c r="L121" s="876"/>
      <c r="M121" s="876">
        <v>20</v>
      </c>
      <c r="N121" s="876" t="s">
        <v>1800</v>
      </c>
      <c r="O121" s="877"/>
      <c r="P121" s="877"/>
      <c r="Q121" s="877"/>
      <c r="R121" s="877"/>
      <c r="S121" s="877"/>
      <c r="T121" s="877"/>
      <c r="U121" s="1140">
        <v>35</v>
      </c>
      <c r="V121" s="1139" t="s">
        <v>1309</v>
      </c>
      <c r="W121" s="702">
        <v>3502</v>
      </c>
      <c r="X121" s="819" t="s">
        <v>380</v>
      </c>
      <c r="Y121" s="996" t="s">
        <v>1934</v>
      </c>
      <c r="Z121" s="702" t="s">
        <v>1453</v>
      </c>
      <c r="AA121" s="826" t="s">
        <v>1886</v>
      </c>
      <c r="AB121" s="842" t="s">
        <v>63</v>
      </c>
      <c r="AC121" s="842" t="s">
        <v>403</v>
      </c>
      <c r="AD121" s="842" t="s">
        <v>404</v>
      </c>
      <c r="AE121" s="872">
        <v>91119</v>
      </c>
      <c r="AF121" s="844" t="s">
        <v>1389</v>
      </c>
      <c r="AG121" s="874"/>
      <c r="AH121" s="873" t="str">
        <f t="shared" si="3"/>
        <v>2.3.2.02.02.009.3502047.91119</v>
      </c>
    </row>
    <row r="122" spans="1:34" s="680" customFormat="1" ht="300" hidden="1" x14ac:dyDescent="0.25">
      <c r="A122" s="990">
        <v>311</v>
      </c>
      <c r="B122" s="990" t="s">
        <v>1450</v>
      </c>
      <c r="C122" s="702">
        <v>2</v>
      </c>
      <c r="D122" s="702" t="s">
        <v>1451</v>
      </c>
      <c r="E122" s="1000" t="s">
        <v>1882</v>
      </c>
      <c r="F122" s="792">
        <v>6</v>
      </c>
      <c r="G122" s="792" t="s">
        <v>1395</v>
      </c>
      <c r="H122" s="906" t="s">
        <v>1718</v>
      </c>
      <c r="I122" s="1144">
        <v>646872304</v>
      </c>
      <c r="J122" s="876"/>
      <c r="K122" s="876"/>
      <c r="L122" s="876"/>
      <c r="M122" s="876">
        <v>52</v>
      </c>
      <c r="N122" s="876" t="s">
        <v>1871</v>
      </c>
      <c r="O122" s="877"/>
      <c r="P122" s="877"/>
      <c r="Q122" s="877"/>
      <c r="R122" s="877"/>
      <c r="S122" s="877"/>
      <c r="T122" s="877"/>
      <c r="U122" s="1140">
        <v>35</v>
      </c>
      <c r="V122" s="1139" t="s">
        <v>1309</v>
      </c>
      <c r="W122" s="702">
        <v>3502</v>
      </c>
      <c r="X122" s="819" t="s">
        <v>380</v>
      </c>
      <c r="Y122" s="996" t="s">
        <v>1934</v>
      </c>
      <c r="Z122" s="702" t="s">
        <v>1453</v>
      </c>
      <c r="AA122" s="826" t="s">
        <v>1887</v>
      </c>
      <c r="AB122" s="842" t="s">
        <v>408</v>
      </c>
      <c r="AC122" s="842" t="s">
        <v>411</v>
      </c>
      <c r="AD122" s="842" t="s">
        <v>412</v>
      </c>
      <c r="AE122" s="872">
        <v>85560</v>
      </c>
      <c r="AF122" s="873" t="s">
        <v>1872</v>
      </c>
      <c r="AG122" s="874"/>
      <c r="AH122" s="873" t="str">
        <f t="shared" si="3"/>
        <v>2.3.2.02.02.0083502046.85560</v>
      </c>
    </row>
    <row r="123" spans="1:34" s="680" customFormat="1" ht="300" hidden="1" x14ac:dyDescent="0.25">
      <c r="A123" s="990">
        <v>311</v>
      </c>
      <c r="B123" s="990" t="s">
        <v>1450</v>
      </c>
      <c r="C123" s="702">
        <v>2</v>
      </c>
      <c r="D123" s="702" t="s">
        <v>1451</v>
      </c>
      <c r="E123" s="1000" t="s">
        <v>1542</v>
      </c>
      <c r="F123" s="792">
        <v>8</v>
      </c>
      <c r="G123" s="792" t="s">
        <v>1395</v>
      </c>
      <c r="H123" s="906" t="s">
        <v>1543</v>
      </c>
      <c r="I123" s="1141">
        <v>18000000</v>
      </c>
      <c r="J123" s="876"/>
      <c r="K123" s="876"/>
      <c r="L123" s="876"/>
      <c r="M123" s="876">
        <v>52</v>
      </c>
      <c r="N123" s="876" t="s">
        <v>1871</v>
      </c>
      <c r="O123" s="877"/>
      <c r="P123" s="877"/>
      <c r="Q123" s="877"/>
      <c r="R123" s="877"/>
      <c r="S123" s="877"/>
      <c r="T123" s="877"/>
      <c r="U123" s="1140">
        <v>35</v>
      </c>
      <c r="V123" s="1139" t="s">
        <v>1309</v>
      </c>
      <c r="W123" s="702">
        <v>3502</v>
      </c>
      <c r="X123" s="819" t="s">
        <v>380</v>
      </c>
      <c r="Y123" s="996" t="s">
        <v>1934</v>
      </c>
      <c r="Z123" s="702" t="s">
        <v>1453</v>
      </c>
      <c r="AA123" s="826" t="s">
        <v>1887</v>
      </c>
      <c r="AB123" s="842" t="s">
        <v>408</v>
      </c>
      <c r="AC123" s="842" t="s">
        <v>411</v>
      </c>
      <c r="AD123" s="842" t="s">
        <v>412</v>
      </c>
      <c r="AE123" s="872">
        <v>45221</v>
      </c>
      <c r="AF123" s="873" t="s">
        <v>1633</v>
      </c>
      <c r="AG123" s="874"/>
      <c r="AH123" s="873" t="str">
        <f t="shared" si="3"/>
        <v>2.3.2.01.01.003.03.02.3502046.45221</v>
      </c>
    </row>
    <row r="124" spans="1:34" s="680" customFormat="1" ht="213.75" hidden="1" customHeight="1" x14ac:dyDescent="0.25">
      <c r="A124" s="990">
        <v>311</v>
      </c>
      <c r="B124" s="990" t="s">
        <v>1450</v>
      </c>
      <c r="C124" s="702">
        <v>2</v>
      </c>
      <c r="D124" s="702" t="s">
        <v>1451</v>
      </c>
      <c r="E124" s="1000" t="s">
        <v>1873</v>
      </c>
      <c r="F124" s="792">
        <v>5</v>
      </c>
      <c r="G124" s="792" t="s">
        <v>1395</v>
      </c>
      <c r="H124" s="906" t="s">
        <v>1881</v>
      </c>
      <c r="I124" s="1143">
        <v>120000000</v>
      </c>
      <c r="J124" s="876"/>
      <c r="K124" s="876"/>
      <c r="L124" s="876"/>
      <c r="M124" s="876">
        <v>20</v>
      </c>
      <c r="N124" s="876" t="s">
        <v>1800</v>
      </c>
      <c r="O124" s="1101"/>
      <c r="P124" s="702"/>
      <c r="Q124" s="702"/>
      <c r="R124" s="702"/>
      <c r="S124" s="702"/>
      <c r="T124" s="702"/>
      <c r="U124" s="702">
        <v>36</v>
      </c>
      <c r="V124" s="702" t="s">
        <v>1310</v>
      </c>
      <c r="W124" s="702">
        <v>3602</v>
      </c>
      <c r="X124" s="842" t="s">
        <v>414</v>
      </c>
      <c r="Y124" s="792" t="s">
        <v>1935</v>
      </c>
      <c r="Z124" s="702" t="s">
        <v>1455</v>
      </c>
      <c r="AA124" s="792" t="s">
        <v>1888</v>
      </c>
      <c r="AB124" s="842" t="s">
        <v>415</v>
      </c>
      <c r="AC124" s="842" t="s">
        <v>418</v>
      </c>
      <c r="AD124" s="1134" t="s">
        <v>419</v>
      </c>
      <c r="AE124" s="1218">
        <v>91136</v>
      </c>
      <c r="AF124" s="1169" t="s">
        <v>1870</v>
      </c>
      <c r="AG124" s="1136"/>
      <c r="AH124" s="873" t="str">
        <f t="shared" si="3"/>
        <v>2.3.4.02.03.3602018.91136</v>
      </c>
    </row>
    <row r="125" spans="1:34" s="680" customFormat="1" ht="216.75" hidden="1" customHeight="1" x14ac:dyDescent="0.25">
      <c r="A125" s="990">
        <v>311</v>
      </c>
      <c r="B125" s="990" t="s">
        <v>1450</v>
      </c>
      <c r="C125" s="702">
        <v>2</v>
      </c>
      <c r="D125" s="702" t="s">
        <v>1451</v>
      </c>
      <c r="E125" s="1000" t="s">
        <v>1873</v>
      </c>
      <c r="F125" s="792">
        <v>5</v>
      </c>
      <c r="G125" s="792" t="s">
        <v>1395</v>
      </c>
      <c r="H125" s="906" t="s">
        <v>1881</v>
      </c>
      <c r="I125" s="1144">
        <v>30000000</v>
      </c>
      <c r="J125" s="876"/>
      <c r="K125" s="876"/>
      <c r="L125" s="876"/>
      <c r="M125" s="876">
        <v>20</v>
      </c>
      <c r="N125" s="876" t="s">
        <v>1800</v>
      </c>
      <c r="O125" s="1101"/>
      <c r="P125" s="702"/>
      <c r="Q125" s="702"/>
      <c r="R125" s="702"/>
      <c r="S125" s="702"/>
      <c r="T125" s="702"/>
      <c r="U125" s="702">
        <v>36</v>
      </c>
      <c r="V125" s="702" t="s">
        <v>1310</v>
      </c>
      <c r="W125" s="702">
        <v>3602</v>
      </c>
      <c r="X125" s="842" t="s">
        <v>414</v>
      </c>
      <c r="Y125" s="792" t="s">
        <v>1935</v>
      </c>
      <c r="Z125" s="702" t="s">
        <v>1455</v>
      </c>
      <c r="AA125" s="1098" t="s">
        <v>1889</v>
      </c>
      <c r="AB125" s="842" t="s">
        <v>421</v>
      </c>
      <c r="AC125" s="842" t="s">
        <v>418</v>
      </c>
      <c r="AD125" s="1134" t="s">
        <v>419</v>
      </c>
      <c r="AE125" s="1218">
        <v>91136</v>
      </c>
      <c r="AF125" s="1169" t="s">
        <v>1870</v>
      </c>
      <c r="AG125" s="1136"/>
      <c r="AH125" s="873" t="str">
        <f t="shared" si="3"/>
        <v>2.3.4.02.03.3602032.91136</v>
      </c>
    </row>
    <row r="126" spans="1:34" s="680" customFormat="1" ht="216.75" hidden="1" customHeight="1" x14ac:dyDescent="0.25">
      <c r="A126" s="990">
        <v>311</v>
      </c>
      <c r="B126" s="990" t="s">
        <v>1450</v>
      </c>
      <c r="C126" s="702">
        <v>2</v>
      </c>
      <c r="D126" s="702" t="s">
        <v>1451</v>
      </c>
      <c r="E126" s="1000" t="s">
        <v>1540</v>
      </c>
      <c r="F126" s="792">
        <v>6</v>
      </c>
      <c r="G126" s="792" t="s">
        <v>1395</v>
      </c>
      <c r="H126" s="906" t="s">
        <v>1537</v>
      </c>
      <c r="I126" s="1144">
        <v>30000000</v>
      </c>
      <c r="J126" s="876"/>
      <c r="K126" s="876"/>
      <c r="L126" s="876"/>
      <c r="M126" s="876">
        <v>20</v>
      </c>
      <c r="N126" s="876" t="s">
        <v>1800</v>
      </c>
      <c r="O126" s="1101"/>
      <c r="P126" s="702"/>
      <c r="Q126" s="702"/>
      <c r="R126" s="702"/>
      <c r="S126" s="702"/>
      <c r="T126" s="702"/>
      <c r="U126" s="702">
        <v>36</v>
      </c>
      <c r="V126" s="702" t="s">
        <v>1310</v>
      </c>
      <c r="W126" s="702">
        <v>3602</v>
      </c>
      <c r="X126" s="842" t="s">
        <v>414</v>
      </c>
      <c r="Y126" s="792" t="s">
        <v>1935</v>
      </c>
      <c r="Z126" s="702" t="s">
        <v>1455</v>
      </c>
      <c r="AA126" s="1098">
        <v>3602032</v>
      </c>
      <c r="AB126" s="842" t="s">
        <v>421</v>
      </c>
      <c r="AC126" s="842" t="s">
        <v>418</v>
      </c>
      <c r="AD126" s="1134" t="s">
        <v>419</v>
      </c>
      <c r="AE126" s="1135">
        <v>91119</v>
      </c>
      <c r="AF126" s="844" t="s">
        <v>1389</v>
      </c>
      <c r="AG126" s="1136"/>
      <c r="AH126" s="873" t="str">
        <f t="shared" si="3"/>
        <v>2.3.2.02.02.009.360203291119</v>
      </c>
    </row>
    <row r="127" spans="1:34" s="680" customFormat="1" ht="285" hidden="1" x14ac:dyDescent="0.25">
      <c r="A127" s="990">
        <v>311</v>
      </c>
      <c r="B127" s="990" t="s">
        <v>1450</v>
      </c>
      <c r="C127" s="702">
        <v>2</v>
      </c>
      <c r="D127" s="702" t="s">
        <v>1451</v>
      </c>
      <c r="E127" s="1000" t="s">
        <v>1540</v>
      </c>
      <c r="F127" s="792">
        <v>6</v>
      </c>
      <c r="G127" s="792" t="s">
        <v>1395</v>
      </c>
      <c r="H127" s="906" t="s">
        <v>1537</v>
      </c>
      <c r="I127" s="1144">
        <v>22500000</v>
      </c>
      <c r="J127" s="876"/>
      <c r="K127" s="876"/>
      <c r="L127" s="876"/>
      <c r="M127" s="876">
        <v>20</v>
      </c>
      <c r="N127" s="876" t="s">
        <v>1800</v>
      </c>
      <c r="O127" s="1101"/>
      <c r="P127" s="702"/>
      <c r="Q127" s="702"/>
      <c r="R127" s="702"/>
      <c r="S127" s="702"/>
      <c r="T127" s="702"/>
      <c r="U127" s="702">
        <v>36</v>
      </c>
      <c r="V127" s="702" t="s">
        <v>1310</v>
      </c>
      <c r="W127" s="702">
        <v>3602</v>
      </c>
      <c r="X127" s="842" t="s">
        <v>414</v>
      </c>
      <c r="Y127" s="792" t="s">
        <v>1935</v>
      </c>
      <c r="Z127" s="702" t="s">
        <v>1456</v>
      </c>
      <c r="AA127" s="1098" t="s">
        <v>1890</v>
      </c>
      <c r="AB127" s="842" t="s">
        <v>424</v>
      </c>
      <c r="AC127" s="842" t="s">
        <v>418</v>
      </c>
      <c r="AD127" s="1134" t="s">
        <v>419</v>
      </c>
      <c r="AE127" s="1135">
        <v>91119</v>
      </c>
      <c r="AF127" s="844" t="s">
        <v>1389</v>
      </c>
      <c r="AG127" s="1136"/>
      <c r="AH127" s="873" t="str">
        <f t="shared" si="3"/>
        <v>2.3.2.02.02.009.3602029.91119</v>
      </c>
    </row>
    <row r="128" spans="1:34" s="680" customFormat="1" ht="285" hidden="1" x14ac:dyDescent="0.25">
      <c r="A128" s="990">
        <v>311</v>
      </c>
      <c r="B128" s="990" t="s">
        <v>1450</v>
      </c>
      <c r="C128" s="702">
        <v>2</v>
      </c>
      <c r="D128" s="702" t="s">
        <v>1451</v>
      </c>
      <c r="E128" s="1000" t="s">
        <v>1540</v>
      </c>
      <c r="F128" s="792">
        <v>6</v>
      </c>
      <c r="G128" s="792" t="s">
        <v>1395</v>
      </c>
      <c r="H128" s="906" t="s">
        <v>1537</v>
      </c>
      <c r="I128" s="1141">
        <v>30000000</v>
      </c>
      <c r="J128" s="876"/>
      <c r="K128" s="876"/>
      <c r="L128" s="876"/>
      <c r="M128" s="876">
        <v>20</v>
      </c>
      <c r="N128" s="876" t="s">
        <v>1800</v>
      </c>
      <c r="O128" s="1101"/>
      <c r="P128" s="702"/>
      <c r="Q128" s="702"/>
      <c r="R128" s="702"/>
      <c r="S128" s="702"/>
      <c r="T128" s="702"/>
      <c r="U128" s="702">
        <v>36</v>
      </c>
      <c r="V128" s="702" t="s">
        <v>1310</v>
      </c>
      <c r="W128" s="702">
        <v>3602</v>
      </c>
      <c r="X128" s="842" t="s">
        <v>414</v>
      </c>
      <c r="Y128" s="792" t="s">
        <v>1935</v>
      </c>
      <c r="Z128" s="978" t="s">
        <v>1456</v>
      </c>
      <c r="AA128" s="1225" t="s">
        <v>1891</v>
      </c>
      <c r="AB128" s="842" t="s">
        <v>427</v>
      </c>
      <c r="AC128" s="842" t="s">
        <v>418</v>
      </c>
      <c r="AD128" s="1134" t="s">
        <v>419</v>
      </c>
      <c r="AE128" s="1135">
        <v>91119</v>
      </c>
      <c r="AF128" s="844" t="s">
        <v>1389</v>
      </c>
      <c r="AG128" s="1136"/>
      <c r="AH128" s="873" t="str">
        <f t="shared" si="3"/>
        <v>2.3.2.02.02.009.3602030.91119</v>
      </c>
    </row>
    <row r="129" spans="1:35" s="680" customFormat="1" ht="285" hidden="1" x14ac:dyDescent="0.25">
      <c r="A129" s="990">
        <v>311</v>
      </c>
      <c r="B129" s="990" t="s">
        <v>1450</v>
      </c>
      <c r="C129" s="702">
        <v>2</v>
      </c>
      <c r="D129" s="702" t="s">
        <v>1451</v>
      </c>
      <c r="E129" s="1149" t="s">
        <v>1592</v>
      </c>
      <c r="F129" s="763">
        <v>6</v>
      </c>
      <c r="G129" s="983" t="s">
        <v>1395</v>
      </c>
      <c r="H129" s="906" t="s">
        <v>1593</v>
      </c>
      <c r="I129" s="1141">
        <v>5000000</v>
      </c>
      <c r="J129" s="876"/>
      <c r="K129" s="876"/>
      <c r="L129" s="876"/>
      <c r="M129" s="876">
        <v>20</v>
      </c>
      <c r="N129" s="876" t="s">
        <v>1800</v>
      </c>
      <c r="O129" s="1101"/>
      <c r="P129" s="702"/>
      <c r="Q129" s="702"/>
      <c r="R129" s="702"/>
      <c r="S129" s="702"/>
      <c r="T129" s="702"/>
      <c r="U129" s="702">
        <v>36</v>
      </c>
      <c r="V129" s="702" t="s">
        <v>1310</v>
      </c>
      <c r="W129" s="702">
        <v>3602</v>
      </c>
      <c r="X129" s="964" t="s">
        <v>414</v>
      </c>
      <c r="Y129" s="792" t="s">
        <v>1935</v>
      </c>
      <c r="Z129" s="876" t="s">
        <v>1456</v>
      </c>
      <c r="AA129" s="1229" t="s">
        <v>1891</v>
      </c>
      <c r="AB129" s="1224" t="s">
        <v>427</v>
      </c>
      <c r="AC129" s="842" t="s">
        <v>418</v>
      </c>
      <c r="AD129" s="1134" t="s">
        <v>419</v>
      </c>
      <c r="AE129" s="965">
        <v>32690</v>
      </c>
      <c r="AF129" s="775" t="s">
        <v>1594</v>
      </c>
      <c r="AG129" s="1136"/>
      <c r="AH129" s="873" t="str">
        <f t="shared" si="3"/>
        <v>2.3.2.02.01.0033602030.32690</v>
      </c>
    </row>
    <row r="130" spans="1:35" ht="405" hidden="1" x14ac:dyDescent="0.2">
      <c r="A130" s="930">
        <v>312</v>
      </c>
      <c r="B130" s="830" t="s">
        <v>1457</v>
      </c>
      <c r="C130" s="793">
        <v>2</v>
      </c>
      <c r="D130" s="791" t="s">
        <v>1451</v>
      </c>
      <c r="E130" s="1000" t="s">
        <v>1540</v>
      </c>
      <c r="F130" s="792">
        <v>6</v>
      </c>
      <c r="G130" s="792" t="s">
        <v>1395</v>
      </c>
      <c r="H130" s="702" t="s">
        <v>1537</v>
      </c>
      <c r="I130" s="1053">
        <v>170000000</v>
      </c>
      <c r="J130" s="832"/>
      <c r="K130" s="832"/>
      <c r="L130" s="832"/>
      <c r="M130" s="1051">
        <v>20</v>
      </c>
      <c r="N130" s="1051" t="s">
        <v>1538</v>
      </c>
      <c r="O130" s="833"/>
      <c r="P130" s="834"/>
      <c r="Q130" s="834"/>
      <c r="R130" s="834"/>
      <c r="S130" s="834"/>
      <c r="T130" s="834"/>
      <c r="U130" s="793">
        <v>17</v>
      </c>
      <c r="V130" s="791" t="s">
        <v>1311</v>
      </c>
      <c r="W130" s="793">
        <v>1702</v>
      </c>
      <c r="X130" s="1195" t="s">
        <v>431</v>
      </c>
      <c r="Y130" s="1226" t="s">
        <v>1916</v>
      </c>
      <c r="Z130" s="1227" t="s">
        <v>1458</v>
      </c>
      <c r="AA130" s="1228" t="s">
        <v>1675</v>
      </c>
      <c r="AB130" s="770" t="s">
        <v>433</v>
      </c>
      <c r="AC130" s="780" t="s">
        <v>436</v>
      </c>
      <c r="AD130" s="771" t="s">
        <v>437</v>
      </c>
      <c r="AE130" s="835" t="s">
        <v>1709</v>
      </c>
      <c r="AF130" s="836" t="s">
        <v>1665</v>
      </c>
      <c r="AG130" s="837"/>
      <c r="AH130" s="1052" t="str">
        <f t="shared" si="3"/>
        <v xml:space="preserve">2.3.2.02.02.009.1702011.
91131.
</v>
      </c>
      <c r="AI130" s="822"/>
    </row>
    <row r="131" spans="1:35" ht="122.25" hidden="1" customHeight="1" x14ac:dyDescent="0.2">
      <c r="A131" s="930">
        <v>312</v>
      </c>
      <c r="B131" s="830" t="s">
        <v>1457</v>
      </c>
      <c r="C131" s="793">
        <v>2</v>
      </c>
      <c r="D131" s="791" t="s">
        <v>1451</v>
      </c>
      <c r="E131" s="1000" t="s">
        <v>1874</v>
      </c>
      <c r="F131" s="792">
        <v>6</v>
      </c>
      <c r="G131" s="792" t="s">
        <v>1395</v>
      </c>
      <c r="H131" s="702" t="s">
        <v>1664</v>
      </c>
      <c r="I131" s="1053">
        <v>56000000</v>
      </c>
      <c r="J131" s="832"/>
      <c r="K131" s="832"/>
      <c r="L131" s="832"/>
      <c r="M131" s="1051">
        <v>20</v>
      </c>
      <c r="N131" s="1051" t="s">
        <v>1538</v>
      </c>
      <c r="O131" s="833"/>
      <c r="P131" s="834"/>
      <c r="Q131" s="834"/>
      <c r="R131" s="834"/>
      <c r="S131" s="834"/>
      <c r="T131" s="834"/>
      <c r="U131" s="793">
        <v>17</v>
      </c>
      <c r="V131" s="791" t="s">
        <v>1311</v>
      </c>
      <c r="W131" s="793">
        <v>1702</v>
      </c>
      <c r="X131" s="1195" t="s">
        <v>431</v>
      </c>
      <c r="Y131" s="855" t="s">
        <v>1916</v>
      </c>
      <c r="Z131" s="1201" t="s">
        <v>1458</v>
      </c>
      <c r="AA131" s="797" t="s">
        <v>1675</v>
      </c>
      <c r="AB131" s="770" t="s">
        <v>433</v>
      </c>
      <c r="AC131" s="988" t="s">
        <v>436</v>
      </c>
      <c r="AD131" s="771" t="s">
        <v>437</v>
      </c>
      <c r="AE131" s="1217" t="s">
        <v>1710</v>
      </c>
      <c r="AF131" s="876" t="s">
        <v>1666</v>
      </c>
      <c r="AG131" s="837"/>
      <c r="AH131" s="1052" t="str">
        <f t="shared" si="3"/>
        <v>2.3.2.02.01.000.1702011.86119.</v>
      </c>
      <c r="AI131" s="822"/>
    </row>
    <row r="132" spans="1:35" ht="405" hidden="1" x14ac:dyDescent="0.2">
      <c r="A132" s="930">
        <v>312</v>
      </c>
      <c r="B132" s="830" t="s">
        <v>1457</v>
      </c>
      <c r="C132" s="793">
        <v>2</v>
      </c>
      <c r="D132" s="791" t="s">
        <v>1451</v>
      </c>
      <c r="E132" s="830" t="s">
        <v>1875</v>
      </c>
      <c r="F132" s="793">
        <v>5</v>
      </c>
      <c r="G132" s="793" t="s">
        <v>1395</v>
      </c>
      <c r="H132" s="860" t="s">
        <v>1667</v>
      </c>
      <c r="I132" s="1053">
        <v>123000000</v>
      </c>
      <c r="J132" s="832"/>
      <c r="K132" s="832"/>
      <c r="L132" s="832"/>
      <c r="M132" s="1051">
        <v>20</v>
      </c>
      <c r="N132" s="1051" t="s">
        <v>1538</v>
      </c>
      <c r="O132" s="833"/>
      <c r="P132" s="834"/>
      <c r="Q132" s="834"/>
      <c r="R132" s="834"/>
      <c r="S132" s="834"/>
      <c r="T132" s="834"/>
      <c r="U132" s="793">
        <v>17</v>
      </c>
      <c r="V132" s="791" t="s">
        <v>1311</v>
      </c>
      <c r="W132" s="793">
        <v>1702</v>
      </c>
      <c r="X132" s="1195" t="s">
        <v>431</v>
      </c>
      <c r="Y132" s="855" t="s">
        <v>1916</v>
      </c>
      <c r="Z132" s="1201" t="s">
        <v>1458</v>
      </c>
      <c r="AA132" s="797" t="s">
        <v>1676</v>
      </c>
      <c r="AB132" s="770" t="s">
        <v>441</v>
      </c>
      <c r="AC132" s="780" t="s">
        <v>436</v>
      </c>
      <c r="AD132" s="771" t="s">
        <v>437</v>
      </c>
      <c r="AE132" s="1217" t="s">
        <v>1711</v>
      </c>
      <c r="AF132" s="836" t="s">
        <v>1668</v>
      </c>
      <c r="AG132" s="837"/>
      <c r="AH132" s="1052" t="str">
        <f t="shared" ref="AH132:AH175" si="4">CONCATENATE(E132,AA132,AE132)</f>
        <v>2.3.4.02.04.1702007.91138.</v>
      </c>
      <c r="AI132" s="822"/>
    </row>
    <row r="133" spans="1:35" ht="405" hidden="1" x14ac:dyDescent="0.2">
      <c r="A133" s="930">
        <v>312</v>
      </c>
      <c r="B133" s="830" t="s">
        <v>1457</v>
      </c>
      <c r="C133" s="793">
        <v>2</v>
      </c>
      <c r="D133" s="791" t="s">
        <v>1451</v>
      </c>
      <c r="E133" s="830" t="s">
        <v>1875</v>
      </c>
      <c r="F133" s="793">
        <v>5</v>
      </c>
      <c r="G133" s="793" t="s">
        <v>1395</v>
      </c>
      <c r="H133" s="860" t="s">
        <v>1667</v>
      </c>
      <c r="I133" s="1053">
        <v>90000000</v>
      </c>
      <c r="J133" s="832"/>
      <c r="K133" s="832"/>
      <c r="L133" s="832"/>
      <c r="M133" s="1051">
        <v>20</v>
      </c>
      <c r="N133" s="1051" t="s">
        <v>1538</v>
      </c>
      <c r="O133" s="833"/>
      <c r="P133" s="834"/>
      <c r="Q133" s="834"/>
      <c r="R133" s="834"/>
      <c r="S133" s="834"/>
      <c r="T133" s="834"/>
      <c r="U133" s="793">
        <v>17</v>
      </c>
      <c r="V133" s="791" t="s">
        <v>1311</v>
      </c>
      <c r="W133" s="793">
        <v>1702</v>
      </c>
      <c r="X133" s="1195" t="s">
        <v>431</v>
      </c>
      <c r="Y133" s="855" t="s">
        <v>1916</v>
      </c>
      <c r="Z133" s="1201" t="s">
        <v>1458</v>
      </c>
      <c r="AA133" s="797" t="s">
        <v>1677</v>
      </c>
      <c r="AB133" s="770" t="s">
        <v>444</v>
      </c>
      <c r="AC133" s="780" t="s">
        <v>436</v>
      </c>
      <c r="AD133" s="771" t="s">
        <v>437</v>
      </c>
      <c r="AE133" s="1217" t="s">
        <v>1711</v>
      </c>
      <c r="AF133" s="836" t="s">
        <v>1668</v>
      </c>
      <c r="AG133" s="837"/>
      <c r="AH133" s="1052" t="str">
        <f t="shared" si="4"/>
        <v>2.3.4.02.04.1702009.91138.</v>
      </c>
      <c r="AI133" s="822"/>
    </row>
    <row r="134" spans="1:35" ht="405" hidden="1" x14ac:dyDescent="0.2">
      <c r="A134" s="930">
        <v>312</v>
      </c>
      <c r="B134" s="830" t="s">
        <v>1457</v>
      </c>
      <c r="C134" s="793">
        <v>2</v>
      </c>
      <c r="D134" s="791" t="s">
        <v>1451</v>
      </c>
      <c r="E134" s="830" t="s">
        <v>1540</v>
      </c>
      <c r="F134" s="793">
        <v>6</v>
      </c>
      <c r="G134" s="793" t="s">
        <v>1395</v>
      </c>
      <c r="H134" s="860" t="s">
        <v>1537</v>
      </c>
      <c r="I134" s="1053">
        <v>90000000</v>
      </c>
      <c r="J134" s="832"/>
      <c r="K134" s="832"/>
      <c r="L134" s="832"/>
      <c r="M134" s="1051">
        <v>20</v>
      </c>
      <c r="N134" s="1051" t="s">
        <v>1538</v>
      </c>
      <c r="O134" s="833"/>
      <c r="P134" s="834"/>
      <c r="Q134" s="834"/>
      <c r="R134" s="834"/>
      <c r="S134" s="834"/>
      <c r="T134" s="834"/>
      <c r="U134" s="793">
        <v>17</v>
      </c>
      <c r="V134" s="791" t="s">
        <v>1311</v>
      </c>
      <c r="W134" s="793">
        <v>1702</v>
      </c>
      <c r="X134" s="1195" t="s">
        <v>431</v>
      </c>
      <c r="Y134" s="855" t="s">
        <v>1916</v>
      </c>
      <c r="Z134" s="1201" t="s">
        <v>1458</v>
      </c>
      <c r="AA134" s="838" t="s">
        <v>1678</v>
      </c>
      <c r="AB134" s="770" t="s">
        <v>447</v>
      </c>
      <c r="AC134" s="780" t="s">
        <v>450</v>
      </c>
      <c r="AD134" s="839" t="s">
        <v>451</v>
      </c>
      <c r="AE134" s="1135" t="s">
        <v>1712</v>
      </c>
      <c r="AF134" s="1166" t="s">
        <v>1665</v>
      </c>
      <c r="AG134" s="841"/>
      <c r="AH134" s="1052" t="str">
        <f t="shared" si="4"/>
        <v xml:space="preserve">2.3.2.02.02.009.1702017.91131.
</v>
      </c>
      <c r="AI134" s="822"/>
    </row>
    <row r="135" spans="1:35" ht="72.75" hidden="1" customHeight="1" x14ac:dyDescent="0.2">
      <c r="A135" s="930">
        <v>312</v>
      </c>
      <c r="B135" s="830" t="s">
        <v>1457</v>
      </c>
      <c r="C135" s="793">
        <v>2</v>
      </c>
      <c r="D135" s="791" t="s">
        <v>1451</v>
      </c>
      <c r="E135" s="830" t="s">
        <v>1875</v>
      </c>
      <c r="F135" s="793">
        <v>5</v>
      </c>
      <c r="G135" s="793" t="s">
        <v>1395</v>
      </c>
      <c r="H135" s="860" t="s">
        <v>1667</v>
      </c>
      <c r="I135" s="1053">
        <v>40000000</v>
      </c>
      <c r="J135" s="832"/>
      <c r="K135" s="832"/>
      <c r="L135" s="832"/>
      <c r="M135" s="1051">
        <v>20</v>
      </c>
      <c r="N135" s="1051" t="s">
        <v>1538</v>
      </c>
      <c r="O135" s="833"/>
      <c r="P135" s="834"/>
      <c r="Q135" s="834"/>
      <c r="R135" s="834"/>
      <c r="S135" s="834"/>
      <c r="T135" s="834"/>
      <c r="U135" s="793">
        <v>17</v>
      </c>
      <c r="V135" s="791" t="s">
        <v>1311</v>
      </c>
      <c r="W135" s="793">
        <v>1702</v>
      </c>
      <c r="X135" s="1195" t="s">
        <v>431</v>
      </c>
      <c r="Y135" s="855" t="s">
        <v>1916</v>
      </c>
      <c r="Z135" s="1201" t="s">
        <v>1458</v>
      </c>
      <c r="AA135" s="838" t="s">
        <v>1678</v>
      </c>
      <c r="AB135" s="770" t="s">
        <v>447</v>
      </c>
      <c r="AC135" s="988" t="s">
        <v>450</v>
      </c>
      <c r="AD135" s="839" t="s">
        <v>451</v>
      </c>
      <c r="AE135" s="1219" t="s">
        <v>1711</v>
      </c>
      <c r="AF135" s="1166" t="s">
        <v>1668</v>
      </c>
      <c r="AG135" s="841"/>
      <c r="AH135" s="1052" t="str">
        <f t="shared" si="4"/>
        <v>2.3.4.02.04.1702017.91138.</v>
      </c>
      <c r="AI135" s="822"/>
    </row>
    <row r="136" spans="1:35" ht="405" hidden="1" x14ac:dyDescent="0.2">
      <c r="A136" s="930">
        <v>312</v>
      </c>
      <c r="B136" s="830" t="s">
        <v>1457</v>
      </c>
      <c r="C136" s="793">
        <v>2</v>
      </c>
      <c r="D136" s="791" t="s">
        <v>1451</v>
      </c>
      <c r="E136" s="830" t="s">
        <v>1875</v>
      </c>
      <c r="F136" s="793">
        <v>5</v>
      </c>
      <c r="G136" s="793" t="s">
        <v>1395</v>
      </c>
      <c r="H136" s="860" t="s">
        <v>1667</v>
      </c>
      <c r="I136" s="1053">
        <v>45000000</v>
      </c>
      <c r="J136" s="832"/>
      <c r="K136" s="832"/>
      <c r="L136" s="832"/>
      <c r="M136" s="1051">
        <v>20</v>
      </c>
      <c r="N136" s="1051" t="s">
        <v>1538</v>
      </c>
      <c r="O136" s="833"/>
      <c r="P136" s="834"/>
      <c r="Q136" s="834"/>
      <c r="R136" s="834"/>
      <c r="S136" s="834"/>
      <c r="T136" s="834"/>
      <c r="U136" s="793">
        <v>17</v>
      </c>
      <c r="V136" s="791" t="s">
        <v>1311</v>
      </c>
      <c r="W136" s="793">
        <v>1702</v>
      </c>
      <c r="X136" s="1195" t="s">
        <v>431</v>
      </c>
      <c r="Y136" s="855" t="s">
        <v>1916</v>
      </c>
      <c r="Z136" s="1201" t="s">
        <v>1458</v>
      </c>
      <c r="AA136" s="797" t="s">
        <v>1679</v>
      </c>
      <c r="AB136" s="770" t="s">
        <v>453</v>
      </c>
      <c r="AC136" s="780" t="s">
        <v>450</v>
      </c>
      <c r="AD136" s="839" t="s">
        <v>451</v>
      </c>
      <c r="AE136" s="1219" t="s">
        <v>1711</v>
      </c>
      <c r="AF136" s="840" t="s">
        <v>1668</v>
      </c>
      <c r="AG136" s="841"/>
      <c r="AH136" s="1052" t="str">
        <f t="shared" si="4"/>
        <v>2.3.4.02.04.1702014.91138.</v>
      </c>
      <c r="AI136" s="822"/>
    </row>
    <row r="137" spans="1:35" ht="405" hidden="1" x14ac:dyDescent="0.2">
      <c r="A137" s="930">
        <v>312</v>
      </c>
      <c r="B137" s="830" t="s">
        <v>1457</v>
      </c>
      <c r="C137" s="793">
        <v>2</v>
      </c>
      <c r="D137" s="791" t="s">
        <v>1451</v>
      </c>
      <c r="E137" s="830" t="s">
        <v>1540</v>
      </c>
      <c r="F137" s="793">
        <v>6</v>
      </c>
      <c r="G137" s="793" t="s">
        <v>1395</v>
      </c>
      <c r="H137" s="860" t="s">
        <v>1537</v>
      </c>
      <c r="I137" s="1053">
        <v>20000000</v>
      </c>
      <c r="J137" s="832"/>
      <c r="K137" s="832"/>
      <c r="L137" s="832"/>
      <c r="M137" s="1051">
        <v>20</v>
      </c>
      <c r="N137" s="1051" t="s">
        <v>1538</v>
      </c>
      <c r="O137" s="833"/>
      <c r="P137" s="834"/>
      <c r="Q137" s="834"/>
      <c r="R137" s="834"/>
      <c r="S137" s="834"/>
      <c r="T137" s="834"/>
      <c r="U137" s="793">
        <v>17</v>
      </c>
      <c r="V137" s="791" t="s">
        <v>1311</v>
      </c>
      <c r="W137" s="793">
        <v>1702</v>
      </c>
      <c r="X137" s="1195" t="s">
        <v>431</v>
      </c>
      <c r="Y137" s="855" t="s">
        <v>1916</v>
      </c>
      <c r="Z137" s="1201" t="s">
        <v>1458</v>
      </c>
      <c r="AA137" s="797" t="s">
        <v>1680</v>
      </c>
      <c r="AB137" s="770" t="s">
        <v>456</v>
      </c>
      <c r="AC137" s="780" t="s">
        <v>450</v>
      </c>
      <c r="AD137" s="839" t="s">
        <v>451</v>
      </c>
      <c r="AE137" s="829" t="s">
        <v>1712</v>
      </c>
      <c r="AF137" s="840" t="s">
        <v>1665</v>
      </c>
      <c r="AG137" s="841"/>
      <c r="AH137" s="1052" t="str">
        <f t="shared" si="4"/>
        <v xml:space="preserve">2.3.2.02.02.009.1702021.91131.
</v>
      </c>
      <c r="AI137" s="822"/>
    </row>
    <row r="138" spans="1:35" ht="405" hidden="1" x14ac:dyDescent="0.2">
      <c r="A138" s="930">
        <v>312</v>
      </c>
      <c r="B138" s="830" t="s">
        <v>1457</v>
      </c>
      <c r="C138" s="793">
        <v>2</v>
      </c>
      <c r="D138" s="791" t="s">
        <v>1451</v>
      </c>
      <c r="E138" s="830" t="s">
        <v>1663</v>
      </c>
      <c r="F138" s="793">
        <v>6</v>
      </c>
      <c r="G138" s="793" t="s">
        <v>1395</v>
      </c>
      <c r="H138" s="860" t="s">
        <v>1664</v>
      </c>
      <c r="I138" s="1053">
        <v>65000000</v>
      </c>
      <c r="J138" s="832"/>
      <c r="K138" s="832"/>
      <c r="L138" s="832"/>
      <c r="M138" s="1051">
        <v>20</v>
      </c>
      <c r="N138" s="1051" t="s">
        <v>1538</v>
      </c>
      <c r="O138" s="833"/>
      <c r="P138" s="834"/>
      <c r="Q138" s="834"/>
      <c r="R138" s="834"/>
      <c r="S138" s="834"/>
      <c r="T138" s="834"/>
      <c r="U138" s="793">
        <v>17</v>
      </c>
      <c r="V138" s="791" t="s">
        <v>1311</v>
      </c>
      <c r="W138" s="793">
        <v>1702</v>
      </c>
      <c r="X138" s="1195" t="s">
        <v>431</v>
      </c>
      <c r="Y138" s="855" t="s">
        <v>1916</v>
      </c>
      <c r="Z138" s="1201" t="s">
        <v>1458</v>
      </c>
      <c r="AA138" s="797" t="s">
        <v>1681</v>
      </c>
      <c r="AB138" s="842" t="s">
        <v>459</v>
      </c>
      <c r="AC138" s="843" t="s">
        <v>462</v>
      </c>
      <c r="AD138" s="770" t="s">
        <v>463</v>
      </c>
      <c r="AE138" s="1217" t="s">
        <v>1710</v>
      </c>
      <c r="AF138" s="844" t="s">
        <v>1666</v>
      </c>
      <c r="AG138" s="845"/>
      <c r="AH138" s="1052" t="str">
        <f t="shared" si="4"/>
        <v>2.3.2.02.01.0001702038.86119.</v>
      </c>
      <c r="AI138" s="822"/>
    </row>
    <row r="139" spans="1:35" ht="405" hidden="1" x14ac:dyDescent="0.2">
      <c r="A139" s="930">
        <v>312</v>
      </c>
      <c r="B139" s="830" t="s">
        <v>1457</v>
      </c>
      <c r="C139" s="793">
        <v>2</v>
      </c>
      <c r="D139" s="791" t="s">
        <v>1451</v>
      </c>
      <c r="E139" s="830" t="s">
        <v>1874</v>
      </c>
      <c r="F139" s="793">
        <v>6</v>
      </c>
      <c r="G139" s="793" t="s">
        <v>1395</v>
      </c>
      <c r="H139" s="860" t="s">
        <v>1664</v>
      </c>
      <c r="I139" s="1053">
        <v>18000000</v>
      </c>
      <c r="J139" s="832"/>
      <c r="K139" s="832"/>
      <c r="L139" s="832"/>
      <c r="M139" s="1051">
        <v>20</v>
      </c>
      <c r="N139" s="1051" t="s">
        <v>1538</v>
      </c>
      <c r="O139" s="833"/>
      <c r="P139" s="834"/>
      <c r="Q139" s="834"/>
      <c r="R139" s="834"/>
      <c r="S139" s="834"/>
      <c r="T139" s="834"/>
      <c r="U139" s="793">
        <v>17</v>
      </c>
      <c r="V139" s="791" t="s">
        <v>1311</v>
      </c>
      <c r="W139" s="793">
        <v>1702</v>
      </c>
      <c r="X139" s="1195" t="s">
        <v>431</v>
      </c>
      <c r="Y139" s="855" t="s">
        <v>1916</v>
      </c>
      <c r="Z139" s="1201" t="s">
        <v>1458</v>
      </c>
      <c r="AA139" s="797" t="s">
        <v>1681</v>
      </c>
      <c r="AB139" s="842" t="s">
        <v>459</v>
      </c>
      <c r="AC139" s="843" t="s">
        <v>462</v>
      </c>
      <c r="AD139" s="770" t="s">
        <v>463</v>
      </c>
      <c r="AE139" s="1217" t="s">
        <v>1710</v>
      </c>
      <c r="AF139" s="844" t="s">
        <v>1666</v>
      </c>
      <c r="AG139" s="845"/>
      <c r="AH139" s="1052" t="str">
        <f t="shared" si="4"/>
        <v>2.3.2.02.01.000.1702038.86119.</v>
      </c>
      <c r="AI139" s="822"/>
    </row>
    <row r="140" spans="1:35" ht="405" hidden="1" x14ac:dyDescent="0.2">
      <c r="A140" s="930">
        <v>312</v>
      </c>
      <c r="B140" s="830" t="s">
        <v>1457</v>
      </c>
      <c r="C140" s="793">
        <v>2</v>
      </c>
      <c r="D140" s="791" t="s">
        <v>1451</v>
      </c>
      <c r="E140" s="830" t="s">
        <v>1540</v>
      </c>
      <c r="F140" s="793">
        <v>6</v>
      </c>
      <c r="G140" s="793" t="s">
        <v>1395</v>
      </c>
      <c r="H140" s="860" t="s">
        <v>1537</v>
      </c>
      <c r="I140" s="1053">
        <v>45000000</v>
      </c>
      <c r="J140" s="832"/>
      <c r="K140" s="832"/>
      <c r="L140" s="832"/>
      <c r="M140" s="1051">
        <v>20</v>
      </c>
      <c r="N140" s="1051" t="s">
        <v>1538</v>
      </c>
      <c r="O140" s="833"/>
      <c r="P140" s="834"/>
      <c r="Q140" s="834"/>
      <c r="R140" s="834"/>
      <c r="S140" s="834"/>
      <c r="T140" s="834"/>
      <c r="U140" s="793">
        <v>17</v>
      </c>
      <c r="V140" s="791" t="s">
        <v>1311</v>
      </c>
      <c r="W140" s="793">
        <v>1702</v>
      </c>
      <c r="X140" s="1195" t="s">
        <v>431</v>
      </c>
      <c r="Y140" s="855" t="s">
        <v>1916</v>
      </c>
      <c r="Z140" s="1201" t="s">
        <v>1458</v>
      </c>
      <c r="AA140" s="797" t="s">
        <v>1682</v>
      </c>
      <c r="AB140" s="770" t="s">
        <v>63</v>
      </c>
      <c r="AC140" s="846" t="s">
        <v>469</v>
      </c>
      <c r="AD140" s="773" t="s">
        <v>470</v>
      </c>
      <c r="AE140" s="823" t="s">
        <v>1712</v>
      </c>
      <c r="AF140" s="847" t="s">
        <v>1665</v>
      </c>
      <c r="AG140" s="848"/>
      <c r="AH140" s="1052" t="str">
        <f t="shared" si="4"/>
        <v xml:space="preserve">2.3.2.02.02.009.1702023.91131.
</v>
      </c>
      <c r="AI140" s="822"/>
    </row>
    <row r="141" spans="1:35" ht="405" hidden="1" x14ac:dyDescent="0.2">
      <c r="A141" s="930">
        <v>312</v>
      </c>
      <c r="B141" s="830" t="s">
        <v>1457</v>
      </c>
      <c r="C141" s="793">
        <v>2</v>
      </c>
      <c r="D141" s="791" t="s">
        <v>1451</v>
      </c>
      <c r="E141" s="830" t="s">
        <v>1394</v>
      </c>
      <c r="F141" s="793">
        <v>6</v>
      </c>
      <c r="G141" s="793" t="s">
        <v>1395</v>
      </c>
      <c r="H141" s="860" t="s">
        <v>1537</v>
      </c>
      <c r="I141" s="1053">
        <v>45000000</v>
      </c>
      <c r="J141" s="832"/>
      <c r="K141" s="832"/>
      <c r="L141" s="832"/>
      <c r="M141" s="1051">
        <v>20</v>
      </c>
      <c r="N141" s="1051" t="s">
        <v>1538</v>
      </c>
      <c r="O141" s="833"/>
      <c r="P141" s="834"/>
      <c r="Q141" s="834"/>
      <c r="R141" s="834"/>
      <c r="S141" s="834"/>
      <c r="T141" s="834"/>
      <c r="U141" s="793">
        <v>17</v>
      </c>
      <c r="V141" s="791" t="s">
        <v>1311</v>
      </c>
      <c r="W141" s="793">
        <v>1702</v>
      </c>
      <c r="X141" s="1195" t="s">
        <v>431</v>
      </c>
      <c r="Y141" s="855" t="s">
        <v>1916</v>
      </c>
      <c r="Z141" s="1201" t="s">
        <v>1458</v>
      </c>
      <c r="AA141" s="797" t="s">
        <v>1683</v>
      </c>
      <c r="AB141" s="770" t="s">
        <v>472</v>
      </c>
      <c r="AC141" s="846" t="s">
        <v>469</v>
      </c>
      <c r="AD141" s="773" t="s">
        <v>470</v>
      </c>
      <c r="AE141" s="823" t="s">
        <v>1712</v>
      </c>
      <c r="AF141" s="847" t="s">
        <v>1665</v>
      </c>
      <c r="AG141" s="848"/>
      <c r="AH141" s="1052" t="str">
        <f t="shared" si="4"/>
        <v xml:space="preserve">2.3.2.02.02.0091702024.91131.
</v>
      </c>
      <c r="AI141" s="822"/>
    </row>
    <row r="142" spans="1:35" ht="405" hidden="1" x14ac:dyDescent="0.2">
      <c r="A142" s="930">
        <v>312</v>
      </c>
      <c r="B142" s="830" t="s">
        <v>1457</v>
      </c>
      <c r="C142" s="793">
        <v>2</v>
      </c>
      <c r="D142" s="791" t="s">
        <v>1451</v>
      </c>
      <c r="E142" s="830" t="s">
        <v>1540</v>
      </c>
      <c r="F142" s="793">
        <v>6</v>
      </c>
      <c r="G142" s="793" t="s">
        <v>1395</v>
      </c>
      <c r="H142" s="860" t="s">
        <v>1537</v>
      </c>
      <c r="I142" s="1053">
        <v>27000000</v>
      </c>
      <c r="J142" s="832"/>
      <c r="K142" s="832"/>
      <c r="L142" s="832"/>
      <c r="M142" s="1051">
        <v>20</v>
      </c>
      <c r="N142" s="1051" t="s">
        <v>1538</v>
      </c>
      <c r="O142" s="833"/>
      <c r="P142" s="834"/>
      <c r="Q142" s="834"/>
      <c r="R142" s="834"/>
      <c r="S142" s="834"/>
      <c r="T142" s="834"/>
      <c r="U142" s="793">
        <v>17</v>
      </c>
      <c r="V142" s="791" t="s">
        <v>1311</v>
      </c>
      <c r="W142" s="793">
        <v>1702</v>
      </c>
      <c r="X142" s="1195" t="s">
        <v>431</v>
      </c>
      <c r="Y142" s="855" t="s">
        <v>1916</v>
      </c>
      <c r="Z142" s="1201" t="s">
        <v>1458</v>
      </c>
      <c r="AA142" s="797" t="s">
        <v>1684</v>
      </c>
      <c r="AB142" s="770" t="s">
        <v>475</v>
      </c>
      <c r="AC142" s="780" t="s">
        <v>478</v>
      </c>
      <c r="AD142" s="770" t="s">
        <v>479</v>
      </c>
      <c r="AE142" s="835" t="s">
        <v>1712</v>
      </c>
      <c r="AF142" s="844" t="s">
        <v>1665</v>
      </c>
      <c r="AG142" s="845"/>
      <c r="AH142" s="1052" t="str">
        <f t="shared" si="4"/>
        <v xml:space="preserve">2.3.2.02.02.009.1702025.91131.
</v>
      </c>
      <c r="AI142" s="822"/>
    </row>
    <row r="143" spans="1:35" ht="409.5" hidden="1" x14ac:dyDescent="0.2">
      <c r="A143" s="930">
        <v>312</v>
      </c>
      <c r="B143" s="830" t="s">
        <v>1457</v>
      </c>
      <c r="C143" s="793">
        <v>2</v>
      </c>
      <c r="D143" s="791" t="s">
        <v>1451</v>
      </c>
      <c r="E143" s="830" t="s">
        <v>1875</v>
      </c>
      <c r="F143" s="793">
        <v>5</v>
      </c>
      <c r="G143" s="793" t="s">
        <v>1395</v>
      </c>
      <c r="H143" s="860" t="s">
        <v>1667</v>
      </c>
      <c r="I143" s="1053">
        <v>75000000</v>
      </c>
      <c r="J143" s="832"/>
      <c r="K143" s="832"/>
      <c r="L143" s="832"/>
      <c r="M143" s="1051">
        <v>20</v>
      </c>
      <c r="N143" s="1051" t="s">
        <v>1538</v>
      </c>
      <c r="O143" s="833"/>
      <c r="P143" s="834"/>
      <c r="Q143" s="834"/>
      <c r="R143" s="834"/>
      <c r="S143" s="834"/>
      <c r="T143" s="834"/>
      <c r="U143" s="793">
        <v>17</v>
      </c>
      <c r="V143" s="791" t="s">
        <v>1311</v>
      </c>
      <c r="W143" s="793">
        <v>1703</v>
      </c>
      <c r="X143" s="1196" t="s">
        <v>481</v>
      </c>
      <c r="Y143" s="855" t="s">
        <v>1918</v>
      </c>
      <c r="Z143" s="1201" t="s">
        <v>1917</v>
      </c>
      <c r="AA143" s="797" t="s">
        <v>1685</v>
      </c>
      <c r="AB143" s="770" t="s">
        <v>482</v>
      </c>
      <c r="AC143" s="780" t="s">
        <v>485</v>
      </c>
      <c r="AD143" s="773" t="s">
        <v>486</v>
      </c>
      <c r="AE143" s="1218" t="s">
        <v>1711</v>
      </c>
      <c r="AF143" s="824" t="s">
        <v>1668</v>
      </c>
      <c r="AG143" s="825"/>
      <c r="AH143" s="1052" t="str">
        <f t="shared" si="4"/>
        <v>2.3.4.02.04.1703013.91138.</v>
      </c>
      <c r="AI143" s="822"/>
    </row>
    <row r="144" spans="1:35" ht="390" hidden="1" x14ac:dyDescent="0.2">
      <c r="A144" s="930">
        <v>312</v>
      </c>
      <c r="B144" s="830" t="s">
        <v>1457</v>
      </c>
      <c r="C144" s="793">
        <v>2</v>
      </c>
      <c r="D144" s="791" t="s">
        <v>1451</v>
      </c>
      <c r="E144" s="1000" t="s">
        <v>1540</v>
      </c>
      <c r="F144" s="792">
        <v>6</v>
      </c>
      <c r="G144" s="792" t="s">
        <v>1395</v>
      </c>
      <c r="H144" s="702" t="s">
        <v>1537</v>
      </c>
      <c r="I144" s="1053">
        <v>42000000</v>
      </c>
      <c r="J144" s="851"/>
      <c r="K144" s="851"/>
      <c r="L144" s="851"/>
      <c r="M144" s="1051">
        <v>20</v>
      </c>
      <c r="N144" s="1051" t="s">
        <v>1538</v>
      </c>
      <c r="O144" s="852"/>
      <c r="P144" s="853"/>
      <c r="Q144" s="853"/>
      <c r="R144" s="853"/>
      <c r="S144" s="853"/>
      <c r="T144" s="853"/>
      <c r="U144" s="793">
        <v>17</v>
      </c>
      <c r="V144" s="791" t="s">
        <v>1311</v>
      </c>
      <c r="W144" s="820">
        <v>1704</v>
      </c>
      <c r="X144" s="1197" t="s">
        <v>488</v>
      </c>
      <c r="Y144" s="855" t="s">
        <v>1919</v>
      </c>
      <c r="Z144" s="1202" t="s">
        <v>1459</v>
      </c>
      <c r="AA144" s="797" t="s">
        <v>1686</v>
      </c>
      <c r="AB144" s="770" t="s">
        <v>85</v>
      </c>
      <c r="AC144" s="846" t="s">
        <v>491</v>
      </c>
      <c r="AD144" s="770" t="s">
        <v>492</v>
      </c>
      <c r="AE144" s="1217" t="s">
        <v>1712</v>
      </c>
      <c r="AF144" s="855" t="s">
        <v>1665</v>
      </c>
      <c r="AG144" s="856"/>
      <c r="AH144" s="1052" t="str">
        <f t="shared" si="4"/>
        <v xml:space="preserve">2.3.2.02.02.009.1704002.91131.
</v>
      </c>
      <c r="AI144" s="822"/>
    </row>
    <row r="145" spans="1:114" ht="390" hidden="1" x14ac:dyDescent="0.2">
      <c r="A145" s="930">
        <v>312</v>
      </c>
      <c r="B145" s="830" t="s">
        <v>1457</v>
      </c>
      <c r="C145" s="793">
        <v>2</v>
      </c>
      <c r="D145" s="791" t="s">
        <v>1451</v>
      </c>
      <c r="E145" s="1153" t="s">
        <v>1540</v>
      </c>
      <c r="F145" s="820">
        <v>6</v>
      </c>
      <c r="G145" s="820" t="s">
        <v>1395</v>
      </c>
      <c r="H145" s="850" t="s">
        <v>1537</v>
      </c>
      <c r="I145" s="1053">
        <v>28000000</v>
      </c>
      <c r="J145" s="851"/>
      <c r="K145" s="851"/>
      <c r="L145" s="851"/>
      <c r="M145" s="1051">
        <v>20</v>
      </c>
      <c r="N145" s="1051" t="s">
        <v>1538</v>
      </c>
      <c r="O145" s="852"/>
      <c r="P145" s="853"/>
      <c r="Q145" s="853"/>
      <c r="R145" s="853"/>
      <c r="S145" s="853"/>
      <c r="T145" s="853"/>
      <c r="U145" s="793">
        <v>17</v>
      </c>
      <c r="V145" s="791" t="s">
        <v>1311</v>
      </c>
      <c r="W145" s="820">
        <v>1704</v>
      </c>
      <c r="X145" s="1197" t="s">
        <v>488</v>
      </c>
      <c r="Y145" s="855" t="s">
        <v>1919</v>
      </c>
      <c r="Z145" s="1202" t="s">
        <v>1459</v>
      </c>
      <c r="AA145" s="797" t="s">
        <v>1687</v>
      </c>
      <c r="AB145" s="770" t="s">
        <v>494</v>
      </c>
      <c r="AC145" s="846" t="s">
        <v>491</v>
      </c>
      <c r="AD145" s="770" t="s">
        <v>492</v>
      </c>
      <c r="AE145" s="835" t="s">
        <v>1712</v>
      </c>
      <c r="AF145" s="855" t="s">
        <v>1665</v>
      </c>
      <c r="AG145" s="856"/>
      <c r="AH145" s="1052" t="str">
        <f t="shared" si="4"/>
        <v xml:space="preserve">2.3.2.02.02.009.1704017.91131.
</v>
      </c>
      <c r="AI145" s="822"/>
    </row>
    <row r="146" spans="1:114" ht="300" hidden="1" x14ac:dyDescent="0.2">
      <c r="A146" s="930">
        <v>312</v>
      </c>
      <c r="B146" s="830" t="s">
        <v>1457</v>
      </c>
      <c r="C146" s="793">
        <v>2</v>
      </c>
      <c r="D146" s="791" t="s">
        <v>1451</v>
      </c>
      <c r="E146" s="830" t="s">
        <v>1875</v>
      </c>
      <c r="F146" s="793">
        <v>5</v>
      </c>
      <c r="G146" s="793" t="s">
        <v>1395</v>
      </c>
      <c r="H146" s="860" t="s">
        <v>1667</v>
      </c>
      <c r="I146" s="1053">
        <v>20000000</v>
      </c>
      <c r="J146" s="832"/>
      <c r="K146" s="832"/>
      <c r="L146" s="832"/>
      <c r="M146" s="1051">
        <v>20</v>
      </c>
      <c r="N146" s="1051" t="s">
        <v>1538</v>
      </c>
      <c r="O146" s="833"/>
      <c r="P146" s="834"/>
      <c r="Q146" s="834"/>
      <c r="R146" s="834"/>
      <c r="S146" s="834"/>
      <c r="T146" s="834"/>
      <c r="U146" s="793">
        <v>17</v>
      </c>
      <c r="V146" s="791" t="s">
        <v>1311</v>
      </c>
      <c r="W146" s="793">
        <v>1706</v>
      </c>
      <c r="X146" s="1197" t="s">
        <v>497</v>
      </c>
      <c r="Y146" s="855" t="s">
        <v>1920</v>
      </c>
      <c r="Z146" s="1201" t="s">
        <v>1460</v>
      </c>
      <c r="AA146" s="797" t="s">
        <v>1688</v>
      </c>
      <c r="AB146" s="770" t="s">
        <v>498</v>
      </c>
      <c r="AC146" s="780" t="s">
        <v>501</v>
      </c>
      <c r="AD146" s="770" t="s">
        <v>502</v>
      </c>
      <c r="AE146" s="1217" t="s">
        <v>1711</v>
      </c>
      <c r="AF146" s="844" t="s">
        <v>1668</v>
      </c>
      <c r="AG146" s="845"/>
      <c r="AH146" s="1052" t="str">
        <f t="shared" si="4"/>
        <v>2.3.4.02.04.1706004.91138.</v>
      </c>
      <c r="AI146" s="822"/>
    </row>
    <row r="147" spans="1:114" ht="345" hidden="1" x14ac:dyDescent="0.2">
      <c r="A147" s="930">
        <v>312</v>
      </c>
      <c r="B147" s="830" t="s">
        <v>1457</v>
      </c>
      <c r="C147" s="793">
        <v>2</v>
      </c>
      <c r="D147" s="791" t="s">
        <v>1451</v>
      </c>
      <c r="E147" s="830" t="s">
        <v>1875</v>
      </c>
      <c r="F147" s="793">
        <v>5</v>
      </c>
      <c r="G147" s="793" t="s">
        <v>1395</v>
      </c>
      <c r="H147" s="860" t="s">
        <v>1667</v>
      </c>
      <c r="I147" s="1053">
        <v>43000000</v>
      </c>
      <c r="J147" s="832"/>
      <c r="K147" s="832"/>
      <c r="L147" s="832"/>
      <c r="M147" s="1051">
        <v>20</v>
      </c>
      <c r="N147" s="1051" t="s">
        <v>1538</v>
      </c>
      <c r="O147" s="833"/>
      <c r="P147" s="834"/>
      <c r="Q147" s="834"/>
      <c r="R147" s="834"/>
      <c r="S147" s="834"/>
      <c r="T147" s="834"/>
      <c r="U147" s="793">
        <v>17</v>
      </c>
      <c r="V147" s="791" t="s">
        <v>1311</v>
      </c>
      <c r="W147" s="793">
        <v>1707</v>
      </c>
      <c r="X147" s="1195" t="s">
        <v>504</v>
      </c>
      <c r="Y147" s="855" t="s">
        <v>1921</v>
      </c>
      <c r="Z147" s="1201" t="s">
        <v>1461</v>
      </c>
      <c r="AA147" s="797" t="s">
        <v>1689</v>
      </c>
      <c r="AB147" s="770" t="s">
        <v>505</v>
      </c>
      <c r="AC147" s="780" t="s">
        <v>508</v>
      </c>
      <c r="AD147" s="773" t="s">
        <v>509</v>
      </c>
      <c r="AE147" s="1218" t="s">
        <v>1711</v>
      </c>
      <c r="AF147" s="824" t="s">
        <v>1668</v>
      </c>
      <c r="AG147" s="825"/>
      <c r="AH147" s="1052" t="str">
        <f t="shared" si="4"/>
        <v>2.3.4.02.04.1707069.91138.</v>
      </c>
      <c r="AI147" s="822"/>
    </row>
    <row r="148" spans="1:114" ht="285" hidden="1" x14ac:dyDescent="0.2">
      <c r="A148" s="930">
        <v>312</v>
      </c>
      <c r="B148" s="830" t="s">
        <v>1457</v>
      </c>
      <c r="C148" s="793">
        <v>2</v>
      </c>
      <c r="D148" s="791" t="s">
        <v>1451</v>
      </c>
      <c r="E148" s="830" t="s">
        <v>1540</v>
      </c>
      <c r="F148" s="793">
        <v>6</v>
      </c>
      <c r="G148" s="793" t="s">
        <v>1395</v>
      </c>
      <c r="H148" s="860" t="s">
        <v>1537</v>
      </c>
      <c r="I148" s="1053">
        <v>20000000</v>
      </c>
      <c r="J148" s="832"/>
      <c r="K148" s="832"/>
      <c r="L148" s="832"/>
      <c r="M148" s="1051">
        <v>20</v>
      </c>
      <c r="N148" s="1051" t="s">
        <v>1538</v>
      </c>
      <c r="O148" s="833"/>
      <c r="P148" s="834"/>
      <c r="Q148" s="834"/>
      <c r="R148" s="834"/>
      <c r="S148" s="834"/>
      <c r="T148" s="834"/>
      <c r="U148" s="793">
        <v>17</v>
      </c>
      <c r="V148" s="791" t="s">
        <v>1311</v>
      </c>
      <c r="W148" s="793">
        <v>1708</v>
      </c>
      <c r="X148" s="1197" t="s">
        <v>511</v>
      </c>
      <c r="Y148" s="855" t="s">
        <v>1922</v>
      </c>
      <c r="Z148" s="1201" t="s">
        <v>1462</v>
      </c>
      <c r="AA148" s="797" t="s">
        <v>1690</v>
      </c>
      <c r="AB148" s="770" t="s">
        <v>85</v>
      </c>
      <c r="AC148" s="846" t="s">
        <v>514</v>
      </c>
      <c r="AD148" s="770" t="s">
        <v>515</v>
      </c>
      <c r="AE148" s="835" t="s">
        <v>1712</v>
      </c>
      <c r="AF148" s="844" t="s">
        <v>1665</v>
      </c>
      <c r="AG148" s="845"/>
      <c r="AH148" s="1052" t="str">
        <f t="shared" si="4"/>
        <v xml:space="preserve">2.3.2.02.02.009.1708016.91131.
</v>
      </c>
      <c r="AI148" s="822"/>
    </row>
    <row r="149" spans="1:114" ht="270" hidden="1" x14ac:dyDescent="0.2">
      <c r="A149" s="930">
        <v>312</v>
      </c>
      <c r="B149" s="830" t="s">
        <v>1457</v>
      </c>
      <c r="C149" s="793">
        <v>2</v>
      </c>
      <c r="D149" s="791" t="s">
        <v>1451</v>
      </c>
      <c r="E149" s="830" t="s">
        <v>1540</v>
      </c>
      <c r="F149" s="793">
        <v>6</v>
      </c>
      <c r="G149" s="793" t="s">
        <v>1395</v>
      </c>
      <c r="H149" s="860" t="s">
        <v>1537</v>
      </c>
      <c r="I149" s="1053">
        <v>20000000</v>
      </c>
      <c r="J149" s="832"/>
      <c r="K149" s="832"/>
      <c r="L149" s="832"/>
      <c r="M149" s="1051">
        <v>20</v>
      </c>
      <c r="N149" s="1051" t="s">
        <v>1538</v>
      </c>
      <c r="O149" s="833"/>
      <c r="P149" s="834"/>
      <c r="Q149" s="834"/>
      <c r="R149" s="834"/>
      <c r="S149" s="834"/>
      <c r="T149" s="834"/>
      <c r="U149" s="793">
        <v>17</v>
      </c>
      <c r="V149" s="791" t="s">
        <v>1311</v>
      </c>
      <c r="W149" s="793">
        <v>1708</v>
      </c>
      <c r="X149" s="1195" t="s">
        <v>511</v>
      </c>
      <c r="Y149" s="855" t="s">
        <v>1922</v>
      </c>
      <c r="Z149" s="1201" t="s">
        <v>1463</v>
      </c>
      <c r="AA149" s="797" t="s">
        <v>1691</v>
      </c>
      <c r="AB149" s="770" t="s">
        <v>517</v>
      </c>
      <c r="AC149" s="846" t="s">
        <v>514</v>
      </c>
      <c r="AD149" s="770" t="s">
        <v>515</v>
      </c>
      <c r="AE149" s="835" t="s">
        <v>1712</v>
      </c>
      <c r="AF149" s="844" t="s">
        <v>1665</v>
      </c>
      <c r="AG149" s="845"/>
      <c r="AH149" s="1052" t="str">
        <f t="shared" si="4"/>
        <v xml:space="preserve">2.3.2.02.02.009.1708051.91131.
</v>
      </c>
      <c r="AI149" s="822"/>
    </row>
    <row r="150" spans="1:114" ht="180" hidden="1" x14ac:dyDescent="0.2">
      <c r="A150" s="930">
        <v>312</v>
      </c>
      <c r="B150" s="830" t="s">
        <v>1457</v>
      </c>
      <c r="C150" s="793">
        <v>2</v>
      </c>
      <c r="D150" s="791" t="s">
        <v>1451</v>
      </c>
      <c r="E150" s="1153" t="s">
        <v>1876</v>
      </c>
      <c r="F150" s="820">
        <v>8</v>
      </c>
      <c r="G150" s="820" t="s">
        <v>1395</v>
      </c>
      <c r="H150" s="1054" t="s">
        <v>1669</v>
      </c>
      <c r="I150" s="1053">
        <v>43000000</v>
      </c>
      <c r="J150" s="851"/>
      <c r="K150" s="851"/>
      <c r="L150" s="851"/>
      <c r="M150" s="1051">
        <v>20</v>
      </c>
      <c r="N150" s="1051" t="s">
        <v>1538</v>
      </c>
      <c r="O150" s="852"/>
      <c r="P150" s="853"/>
      <c r="Q150" s="853"/>
      <c r="R150" s="853"/>
      <c r="S150" s="853"/>
      <c r="T150" s="853"/>
      <c r="U150" s="793">
        <v>17</v>
      </c>
      <c r="V150" s="791" t="s">
        <v>1311</v>
      </c>
      <c r="W150" s="820">
        <v>1709</v>
      </c>
      <c r="X150" s="1197" t="s">
        <v>520</v>
      </c>
      <c r="Y150" s="1209">
        <v>17093</v>
      </c>
      <c r="Z150" s="1202" t="s">
        <v>1464</v>
      </c>
      <c r="AA150" s="797" t="s">
        <v>1692</v>
      </c>
      <c r="AB150" s="770" t="s">
        <v>521</v>
      </c>
      <c r="AC150" s="858" t="s">
        <v>523</v>
      </c>
      <c r="AD150" s="773" t="s">
        <v>524</v>
      </c>
      <c r="AE150" s="1218" t="s">
        <v>1710</v>
      </c>
      <c r="AF150" s="740" t="s">
        <v>1666</v>
      </c>
      <c r="AG150" s="825"/>
      <c r="AH150" s="1052" t="str">
        <f t="shared" si="4"/>
        <v>2.3.2.01.01.003.02.05.1709019.86119.</v>
      </c>
      <c r="AI150" s="822"/>
    </row>
    <row r="151" spans="1:114" ht="109.5" hidden="1" customHeight="1" x14ac:dyDescent="0.2">
      <c r="A151" s="930">
        <v>312</v>
      </c>
      <c r="B151" s="830" t="s">
        <v>1457</v>
      </c>
      <c r="C151" s="793">
        <v>2</v>
      </c>
      <c r="D151" s="791" t="s">
        <v>1451</v>
      </c>
      <c r="E151" s="1153" t="s">
        <v>1540</v>
      </c>
      <c r="F151" s="820">
        <v>6</v>
      </c>
      <c r="G151" s="820" t="s">
        <v>1395</v>
      </c>
      <c r="H151" s="1054" t="s">
        <v>1537</v>
      </c>
      <c r="I151" s="1053">
        <v>30000000</v>
      </c>
      <c r="J151" s="851"/>
      <c r="K151" s="851"/>
      <c r="L151" s="851"/>
      <c r="M151" s="1051">
        <v>20</v>
      </c>
      <c r="N151" s="1051" t="s">
        <v>1538</v>
      </c>
      <c r="O151" s="852"/>
      <c r="P151" s="853"/>
      <c r="Q151" s="853"/>
      <c r="R151" s="853"/>
      <c r="S151" s="853"/>
      <c r="T151" s="853"/>
      <c r="U151" s="793">
        <v>17</v>
      </c>
      <c r="V151" s="791" t="s">
        <v>1311</v>
      </c>
      <c r="W151" s="820">
        <v>1709</v>
      </c>
      <c r="X151" s="1197" t="s">
        <v>520</v>
      </c>
      <c r="Y151" s="1209">
        <v>17094</v>
      </c>
      <c r="Z151" s="1202" t="s">
        <v>1923</v>
      </c>
      <c r="AA151" s="797" t="s">
        <v>1693</v>
      </c>
      <c r="AB151" s="770" t="s">
        <v>526</v>
      </c>
      <c r="AC151" s="858" t="s">
        <v>523</v>
      </c>
      <c r="AD151" s="773" t="s">
        <v>524</v>
      </c>
      <c r="AE151" s="823" t="s">
        <v>1712</v>
      </c>
      <c r="AF151" s="824" t="s">
        <v>1665</v>
      </c>
      <c r="AG151" s="825"/>
      <c r="AH151" s="1052" t="str">
        <f t="shared" si="4"/>
        <v xml:space="preserve">2.3.2.02.02.009.1709034.91131.
</v>
      </c>
      <c r="AI151" s="822"/>
    </row>
    <row r="152" spans="1:114" ht="109.5" hidden="1" customHeight="1" x14ac:dyDescent="0.2">
      <c r="A152" s="930">
        <v>312</v>
      </c>
      <c r="B152" s="830" t="s">
        <v>1457</v>
      </c>
      <c r="C152" s="793">
        <v>2</v>
      </c>
      <c r="D152" s="791" t="s">
        <v>1451</v>
      </c>
      <c r="E152" s="1153" t="s">
        <v>1875</v>
      </c>
      <c r="F152" s="820">
        <v>5</v>
      </c>
      <c r="G152" s="820" t="s">
        <v>1395</v>
      </c>
      <c r="H152" s="850" t="s">
        <v>1667</v>
      </c>
      <c r="I152" s="1053">
        <v>13000000</v>
      </c>
      <c r="J152" s="851"/>
      <c r="K152" s="851"/>
      <c r="L152" s="851"/>
      <c r="M152" s="1051">
        <v>20</v>
      </c>
      <c r="N152" s="1051" t="s">
        <v>1538</v>
      </c>
      <c r="O152" s="852"/>
      <c r="P152" s="853"/>
      <c r="Q152" s="853"/>
      <c r="R152" s="853"/>
      <c r="S152" s="853"/>
      <c r="T152" s="853"/>
      <c r="U152" s="793">
        <v>17</v>
      </c>
      <c r="V152" s="791" t="s">
        <v>1311</v>
      </c>
      <c r="W152" s="820">
        <v>1709</v>
      </c>
      <c r="X152" s="1197" t="s">
        <v>520</v>
      </c>
      <c r="Y152" s="1209">
        <v>17094</v>
      </c>
      <c r="Z152" s="1202" t="s">
        <v>1923</v>
      </c>
      <c r="AA152" s="797" t="s">
        <v>1693</v>
      </c>
      <c r="AB152" s="770" t="s">
        <v>526</v>
      </c>
      <c r="AC152" s="858" t="s">
        <v>523</v>
      </c>
      <c r="AD152" s="989" t="s">
        <v>524</v>
      </c>
      <c r="AE152" s="1218" t="s">
        <v>1711</v>
      </c>
      <c r="AF152" s="824" t="s">
        <v>1668</v>
      </c>
      <c r="AG152" s="825"/>
      <c r="AH152" s="1052" t="str">
        <f t="shared" si="4"/>
        <v>2.3.4.02.04.1709034.91138.</v>
      </c>
      <c r="AI152" s="822"/>
    </row>
    <row r="153" spans="1:114" ht="165" hidden="1" x14ac:dyDescent="0.2">
      <c r="A153" s="930">
        <v>312</v>
      </c>
      <c r="B153" s="830" t="s">
        <v>1457</v>
      </c>
      <c r="C153" s="793">
        <v>2</v>
      </c>
      <c r="D153" s="791" t="s">
        <v>1451</v>
      </c>
      <c r="E153" s="1153" t="s">
        <v>1876</v>
      </c>
      <c r="F153" s="820">
        <v>8</v>
      </c>
      <c r="G153" s="820" t="s">
        <v>1395</v>
      </c>
      <c r="H153" s="860" t="s">
        <v>1669</v>
      </c>
      <c r="I153" s="1053">
        <v>22000000</v>
      </c>
      <c r="J153" s="851"/>
      <c r="K153" s="851"/>
      <c r="L153" s="851"/>
      <c r="M153" s="1051">
        <v>20</v>
      </c>
      <c r="N153" s="1051" t="s">
        <v>1538</v>
      </c>
      <c r="O153" s="852"/>
      <c r="P153" s="853"/>
      <c r="Q153" s="853"/>
      <c r="R153" s="853"/>
      <c r="S153" s="853"/>
      <c r="T153" s="853"/>
      <c r="U153" s="793">
        <v>17</v>
      </c>
      <c r="V153" s="791" t="s">
        <v>1311</v>
      </c>
      <c r="W153" s="820">
        <v>1709</v>
      </c>
      <c r="X153" s="1197" t="s">
        <v>520</v>
      </c>
      <c r="Y153" s="1209">
        <v>17093</v>
      </c>
      <c r="Z153" s="1202" t="s">
        <v>1924</v>
      </c>
      <c r="AA153" s="797" t="s">
        <v>1694</v>
      </c>
      <c r="AB153" s="770" t="s">
        <v>528</v>
      </c>
      <c r="AC153" s="858" t="s">
        <v>523</v>
      </c>
      <c r="AD153" s="773" t="s">
        <v>524</v>
      </c>
      <c r="AE153" s="1218" t="s">
        <v>1711</v>
      </c>
      <c r="AF153" s="740" t="s">
        <v>1668</v>
      </c>
      <c r="AG153" s="825"/>
      <c r="AH153" s="1052" t="str">
        <f t="shared" si="4"/>
        <v>2.3.2.01.01.003.02.05.1709093.91138.</v>
      </c>
      <c r="AI153" s="822"/>
    </row>
    <row r="154" spans="1:114" ht="300" hidden="1" x14ac:dyDescent="0.2">
      <c r="A154" s="930">
        <v>312</v>
      </c>
      <c r="B154" s="830" t="s">
        <v>1457</v>
      </c>
      <c r="C154" s="793">
        <v>2</v>
      </c>
      <c r="D154" s="791" t="s">
        <v>1451</v>
      </c>
      <c r="E154" s="830" t="s">
        <v>1540</v>
      </c>
      <c r="F154" s="793">
        <v>6</v>
      </c>
      <c r="G154" s="793" t="s">
        <v>1395</v>
      </c>
      <c r="H154" s="860" t="s">
        <v>1537</v>
      </c>
      <c r="I154" s="1053">
        <v>18000000</v>
      </c>
      <c r="J154" s="832"/>
      <c r="K154" s="832"/>
      <c r="L154" s="832"/>
      <c r="M154" s="1051">
        <v>20</v>
      </c>
      <c r="N154" s="1051" t="s">
        <v>1538</v>
      </c>
      <c r="O154" s="859"/>
      <c r="P154" s="859"/>
      <c r="Q154" s="859"/>
      <c r="R154" s="859"/>
      <c r="S154" s="859"/>
      <c r="T154" s="859"/>
      <c r="U154" s="817">
        <v>35</v>
      </c>
      <c r="V154" s="818" t="s">
        <v>1309</v>
      </c>
      <c r="W154" s="793">
        <v>3502</v>
      </c>
      <c r="X154" s="1195" t="s">
        <v>380</v>
      </c>
      <c r="Y154" s="1051" t="s">
        <v>1925</v>
      </c>
      <c r="Z154" s="1101" t="s">
        <v>1465</v>
      </c>
      <c r="AA154" s="797" t="s">
        <v>1695</v>
      </c>
      <c r="AB154" s="770" t="s">
        <v>532</v>
      </c>
      <c r="AC154" s="846" t="s">
        <v>535</v>
      </c>
      <c r="AD154" s="770" t="s">
        <v>536</v>
      </c>
      <c r="AE154" s="835" t="s">
        <v>1712</v>
      </c>
      <c r="AF154" s="844" t="s">
        <v>1665</v>
      </c>
      <c r="AG154" s="845"/>
      <c r="AH154" s="1052" t="str">
        <f t="shared" si="4"/>
        <v xml:space="preserve">2.3.2.02.02.009.3502017.91131.
</v>
      </c>
      <c r="AI154" s="822"/>
    </row>
    <row r="155" spans="1:114" s="9" customFormat="1" ht="151.5" hidden="1" customHeight="1" x14ac:dyDescent="0.25">
      <c r="A155" s="930">
        <v>312</v>
      </c>
      <c r="B155" s="830" t="s">
        <v>1457</v>
      </c>
      <c r="C155" s="793">
        <v>2</v>
      </c>
      <c r="D155" s="791" t="s">
        <v>1451</v>
      </c>
      <c r="E155" s="830" t="s">
        <v>1540</v>
      </c>
      <c r="F155" s="793">
        <v>6</v>
      </c>
      <c r="G155" s="793" t="s">
        <v>1395</v>
      </c>
      <c r="H155" s="860" t="s">
        <v>1537</v>
      </c>
      <c r="I155" s="1053">
        <v>18000000</v>
      </c>
      <c r="J155" s="861"/>
      <c r="K155" s="861"/>
      <c r="L155" s="861"/>
      <c r="M155" s="1051">
        <v>20</v>
      </c>
      <c r="N155" s="1051" t="s">
        <v>1538</v>
      </c>
      <c r="O155" s="862"/>
      <c r="P155" s="862"/>
      <c r="Q155" s="862"/>
      <c r="R155" s="862"/>
      <c r="S155" s="862"/>
      <c r="T155" s="862"/>
      <c r="U155" s="817">
        <v>35</v>
      </c>
      <c r="V155" s="818" t="s">
        <v>1309</v>
      </c>
      <c r="W155" s="793">
        <v>3502</v>
      </c>
      <c r="X155" s="1195" t="s">
        <v>380</v>
      </c>
      <c r="Y155" s="1051" t="s">
        <v>1925</v>
      </c>
      <c r="Z155" s="1101" t="s">
        <v>1465</v>
      </c>
      <c r="AA155" s="797" t="s">
        <v>1696</v>
      </c>
      <c r="AB155" s="770" t="s">
        <v>538</v>
      </c>
      <c r="AC155" s="846" t="s">
        <v>535</v>
      </c>
      <c r="AD155" s="770" t="s">
        <v>536</v>
      </c>
      <c r="AE155" s="835" t="s">
        <v>1712</v>
      </c>
      <c r="AF155" s="844" t="s">
        <v>1665</v>
      </c>
      <c r="AG155" s="845"/>
      <c r="AH155" s="1052" t="str">
        <f t="shared" si="4"/>
        <v xml:space="preserve">2.3.2.02.02.009.3502007.91131.
</v>
      </c>
      <c r="AI155" s="3"/>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row>
    <row r="156" spans="1:114" ht="275.25" hidden="1" customHeight="1" x14ac:dyDescent="0.2">
      <c r="A156" s="930">
        <v>312</v>
      </c>
      <c r="B156" s="830" t="s">
        <v>1457</v>
      </c>
      <c r="C156" s="763">
        <v>3</v>
      </c>
      <c r="D156" s="785" t="s">
        <v>1422</v>
      </c>
      <c r="E156" s="830" t="s">
        <v>1540</v>
      </c>
      <c r="F156" s="793">
        <v>6</v>
      </c>
      <c r="G156" s="793" t="s">
        <v>1395</v>
      </c>
      <c r="H156" s="860" t="s">
        <v>1537</v>
      </c>
      <c r="I156" s="1053">
        <v>32000000</v>
      </c>
      <c r="J156" s="832"/>
      <c r="K156" s="832"/>
      <c r="L156" s="832"/>
      <c r="M156" s="1051">
        <v>20</v>
      </c>
      <c r="N156" s="1051" t="s">
        <v>1538</v>
      </c>
      <c r="O156" s="859"/>
      <c r="P156" s="859"/>
      <c r="Q156" s="859"/>
      <c r="R156" s="859"/>
      <c r="S156" s="859"/>
      <c r="T156" s="859"/>
      <c r="U156" s="863">
        <v>32</v>
      </c>
      <c r="V156" s="863" t="s">
        <v>1307</v>
      </c>
      <c r="W156" s="820" t="s">
        <v>539</v>
      </c>
      <c r="X156" s="1195" t="s">
        <v>540</v>
      </c>
      <c r="Y156" s="1051" t="s">
        <v>1927</v>
      </c>
      <c r="Z156" s="1101" t="s">
        <v>1926</v>
      </c>
      <c r="AA156" s="797" t="s">
        <v>1697</v>
      </c>
      <c r="AB156" s="770" t="s">
        <v>541</v>
      </c>
      <c r="AC156" s="858" t="s">
        <v>544</v>
      </c>
      <c r="AD156" s="770" t="s">
        <v>545</v>
      </c>
      <c r="AE156" s="835" t="s">
        <v>1712</v>
      </c>
      <c r="AF156" s="844" t="s">
        <v>1665</v>
      </c>
      <c r="AG156" s="766"/>
      <c r="AH156" s="1052" t="str">
        <f t="shared" si="4"/>
        <v xml:space="preserve">2.3.2.02.02.009.3201013.91131.
</v>
      </c>
      <c r="AI156" s="822"/>
    </row>
    <row r="157" spans="1:114" ht="360" hidden="1" x14ac:dyDescent="0.2">
      <c r="A157" s="930">
        <v>312</v>
      </c>
      <c r="B157" s="830" t="s">
        <v>1457</v>
      </c>
      <c r="C157" s="763">
        <v>3</v>
      </c>
      <c r="D157" s="785" t="s">
        <v>1422</v>
      </c>
      <c r="E157" s="830" t="s">
        <v>1875</v>
      </c>
      <c r="F157" s="793">
        <v>5</v>
      </c>
      <c r="G157" s="793" t="s">
        <v>1395</v>
      </c>
      <c r="H157" s="860" t="s">
        <v>1667</v>
      </c>
      <c r="I157" s="1053">
        <v>50000000</v>
      </c>
      <c r="J157" s="832"/>
      <c r="K157" s="832"/>
      <c r="L157" s="832"/>
      <c r="M157" s="1051">
        <v>20</v>
      </c>
      <c r="N157" s="1051" t="s">
        <v>1538</v>
      </c>
      <c r="O157" s="859"/>
      <c r="P157" s="859"/>
      <c r="Q157" s="859"/>
      <c r="R157" s="859"/>
      <c r="S157" s="859"/>
      <c r="T157" s="859"/>
      <c r="U157" s="863">
        <v>32</v>
      </c>
      <c r="V157" s="863" t="s">
        <v>1307</v>
      </c>
      <c r="W157" s="820" t="s">
        <v>539</v>
      </c>
      <c r="X157" s="1195" t="s">
        <v>540</v>
      </c>
      <c r="Y157" s="855" t="s">
        <v>1928</v>
      </c>
      <c r="Z157" s="1203" t="s">
        <v>1466</v>
      </c>
      <c r="AA157" s="797" t="s">
        <v>1698</v>
      </c>
      <c r="AB157" s="770" t="s">
        <v>547</v>
      </c>
      <c r="AC157" s="858" t="s">
        <v>544</v>
      </c>
      <c r="AD157" s="770" t="s">
        <v>545</v>
      </c>
      <c r="AE157" s="1218" t="s">
        <v>1711</v>
      </c>
      <c r="AF157" s="824" t="s">
        <v>1668</v>
      </c>
      <c r="AG157" s="766"/>
      <c r="AH157" s="1052" t="str">
        <f t="shared" si="4"/>
        <v>2.3.4.02.04.3201008.91138.</v>
      </c>
      <c r="AI157" s="822"/>
    </row>
    <row r="158" spans="1:114" ht="141.75" hidden="1" customHeight="1" x14ac:dyDescent="0.2">
      <c r="A158" s="930">
        <v>312</v>
      </c>
      <c r="B158" s="830" t="s">
        <v>1457</v>
      </c>
      <c r="C158" s="763">
        <v>3</v>
      </c>
      <c r="D158" s="785" t="s">
        <v>1422</v>
      </c>
      <c r="E158" s="830" t="s">
        <v>1394</v>
      </c>
      <c r="F158" s="793">
        <v>6</v>
      </c>
      <c r="G158" s="793" t="s">
        <v>1395</v>
      </c>
      <c r="H158" s="860" t="s">
        <v>1537</v>
      </c>
      <c r="I158" s="1053">
        <v>60000000</v>
      </c>
      <c r="J158" s="832"/>
      <c r="K158" s="832"/>
      <c r="L158" s="832"/>
      <c r="M158" s="1051">
        <v>20</v>
      </c>
      <c r="N158" s="1051" t="s">
        <v>1538</v>
      </c>
      <c r="O158" s="859"/>
      <c r="P158" s="859"/>
      <c r="Q158" s="859"/>
      <c r="R158" s="859"/>
      <c r="S158" s="859"/>
      <c r="T158" s="859"/>
      <c r="U158" s="863">
        <v>32</v>
      </c>
      <c r="V158" s="863" t="s">
        <v>1307</v>
      </c>
      <c r="W158" s="793" t="s">
        <v>550</v>
      </c>
      <c r="X158" s="1195" t="s">
        <v>551</v>
      </c>
      <c r="Y158" s="1051" t="s">
        <v>1929</v>
      </c>
      <c r="Z158" s="1204" t="s">
        <v>1467</v>
      </c>
      <c r="AA158" s="797" t="s">
        <v>1699</v>
      </c>
      <c r="AB158" s="770" t="s">
        <v>553</v>
      </c>
      <c r="AC158" s="846" t="s">
        <v>556</v>
      </c>
      <c r="AD158" s="771" t="s">
        <v>557</v>
      </c>
      <c r="AE158" s="835" t="s">
        <v>1713</v>
      </c>
      <c r="AF158" s="836" t="s">
        <v>1665</v>
      </c>
      <c r="AG158" s="837"/>
      <c r="AH158" s="1052" t="str">
        <f t="shared" si="4"/>
        <v>2.3.2.02.02.0093202005.91131.</v>
      </c>
      <c r="AI158" s="822"/>
    </row>
    <row r="159" spans="1:114" ht="109.5" hidden="1" customHeight="1" x14ac:dyDescent="0.2">
      <c r="A159" s="930">
        <v>312</v>
      </c>
      <c r="B159" s="830" t="s">
        <v>1457</v>
      </c>
      <c r="C159" s="763">
        <v>3</v>
      </c>
      <c r="D159" s="785" t="s">
        <v>1422</v>
      </c>
      <c r="E159" s="830" t="s">
        <v>1877</v>
      </c>
      <c r="F159" s="793">
        <v>6</v>
      </c>
      <c r="G159" s="793" t="s">
        <v>1395</v>
      </c>
      <c r="H159" s="860" t="s">
        <v>1537</v>
      </c>
      <c r="I159" s="1053">
        <v>160000000</v>
      </c>
      <c r="J159" s="832"/>
      <c r="K159" s="832"/>
      <c r="L159" s="832"/>
      <c r="M159" s="1051">
        <v>20</v>
      </c>
      <c r="N159" s="1051" t="s">
        <v>1538</v>
      </c>
      <c r="O159" s="859"/>
      <c r="P159" s="859"/>
      <c r="Q159" s="859"/>
      <c r="R159" s="859"/>
      <c r="S159" s="859"/>
      <c r="T159" s="859"/>
      <c r="U159" s="863">
        <v>32</v>
      </c>
      <c r="V159" s="863" t="s">
        <v>1307</v>
      </c>
      <c r="W159" s="793" t="s">
        <v>550</v>
      </c>
      <c r="X159" s="1195" t="s">
        <v>551</v>
      </c>
      <c r="Y159" s="1051" t="s">
        <v>1929</v>
      </c>
      <c r="Z159" s="1204" t="s">
        <v>1467</v>
      </c>
      <c r="AA159" s="797" t="s">
        <v>1699</v>
      </c>
      <c r="AB159" s="770" t="s">
        <v>553</v>
      </c>
      <c r="AC159" s="846" t="s">
        <v>556</v>
      </c>
      <c r="AD159" s="771" t="s">
        <v>557</v>
      </c>
      <c r="AE159" s="835" t="s">
        <v>1713</v>
      </c>
      <c r="AF159" s="836" t="s">
        <v>1665</v>
      </c>
      <c r="AG159" s="837"/>
      <c r="AH159" s="1052" t="str">
        <f t="shared" si="4"/>
        <v>2.3.2.02.02.009.
3202005.91131.</v>
      </c>
      <c r="AI159" s="822"/>
    </row>
    <row r="160" spans="1:114" ht="142.5" hidden="1" customHeight="1" x14ac:dyDescent="0.2">
      <c r="A160" s="930">
        <v>312</v>
      </c>
      <c r="B160" s="830" t="s">
        <v>1457</v>
      </c>
      <c r="C160" s="763">
        <v>3</v>
      </c>
      <c r="D160" s="785" t="s">
        <v>1422</v>
      </c>
      <c r="E160" s="830" t="s">
        <v>1877</v>
      </c>
      <c r="F160" s="793">
        <v>6</v>
      </c>
      <c r="G160" s="793" t="s">
        <v>1395</v>
      </c>
      <c r="H160" s="860" t="s">
        <v>1537</v>
      </c>
      <c r="I160" s="1053">
        <v>95248186</v>
      </c>
      <c r="J160" s="832"/>
      <c r="K160" s="832"/>
      <c r="L160" s="832"/>
      <c r="M160" s="1051">
        <v>20</v>
      </c>
      <c r="N160" s="1051" t="s">
        <v>1538</v>
      </c>
      <c r="O160" s="859"/>
      <c r="P160" s="859"/>
      <c r="Q160" s="859"/>
      <c r="R160" s="859"/>
      <c r="S160" s="859"/>
      <c r="T160" s="859"/>
      <c r="U160" s="863">
        <v>32</v>
      </c>
      <c r="V160" s="863" t="s">
        <v>1307</v>
      </c>
      <c r="W160" s="793" t="s">
        <v>550</v>
      </c>
      <c r="X160" s="1195" t="s">
        <v>551</v>
      </c>
      <c r="Y160" s="1051" t="s">
        <v>1929</v>
      </c>
      <c r="Z160" s="864" t="s">
        <v>1467</v>
      </c>
      <c r="AA160" s="797" t="s">
        <v>1700</v>
      </c>
      <c r="AB160" s="770" t="s">
        <v>559</v>
      </c>
      <c r="AC160" s="846" t="s">
        <v>556</v>
      </c>
      <c r="AD160" s="771" t="s">
        <v>557</v>
      </c>
      <c r="AE160" s="835" t="s">
        <v>1713</v>
      </c>
      <c r="AF160" s="836" t="s">
        <v>1665</v>
      </c>
      <c r="AG160" s="837"/>
      <c r="AH160" s="1052" t="str">
        <f t="shared" si="4"/>
        <v>2.3.2.02.02.009.
3202037.91131.</v>
      </c>
      <c r="AI160" s="822"/>
    </row>
    <row r="161" spans="1:35" ht="138" hidden="1" customHeight="1" x14ac:dyDescent="0.2">
      <c r="A161" s="930">
        <v>312</v>
      </c>
      <c r="B161" s="830" t="s">
        <v>1457</v>
      </c>
      <c r="C161" s="763">
        <v>3</v>
      </c>
      <c r="D161" s="785" t="s">
        <v>1422</v>
      </c>
      <c r="E161" s="830" t="s">
        <v>1540</v>
      </c>
      <c r="F161" s="793">
        <v>6</v>
      </c>
      <c r="G161" s="793" t="s">
        <v>1395</v>
      </c>
      <c r="H161" s="860" t="s">
        <v>1537</v>
      </c>
      <c r="I161" s="1053">
        <v>370000000</v>
      </c>
      <c r="J161" s="832"/>
      <c r="K161" s="832"/>
      <c r="L161" s="832"/>
      <c r="M161" s="1051">
        <v>20</v>
      </c>
      <c r="N161" s="1051" t="s">
        <v>1538</v>
      </c>
      <c r="O161" s="859"/>
      <c r="P161" s="859"/>
      <c r="Q161" s="859"/>
      <c r="R161" s="859"/>
      <c r="S161" s="859"/>
      <c r="T161" s="859"/>
      <c r="U161" s="863">
        <v>32</v>
      </c>
      <c r="V161" s="863" t="s">
        <v>1307</v>
      </c>
      <c r="W161" s="793" t="s">
        <v>550</v>
      </c>
      <c r="X161" s="1198" t="s">
        <v>551</v>
      </c>
      <c r="Y161" s="1051" t="s">
        <v>1929</v>
      </c>
      <c r="Z161" s="1205" t="s">
        <v>1467</v>
      </c>
      <c r="AA161" s="1098" t="s">
        <v>1700</v>
      </c>
      <c r="AB161" s="770" t="s">
        <v>562</v>
      </c>
      <c r="AC161" s="846" t="s">
        <v>556</v>
      </c>
      <c r="AD161" s="771" t="s">
        <v>557</v>
      </c>
      <c r="AE161" s="835" t="s">
        <v>1713</v>
      </c>
      <c r="AF161" s="836" t="s">
        <v>1665</v>
      </c>
      <c r="AG161" s="837"/>
      <c r="AH161" s="1052" t="str">
        <f t="shared" si="4"/>
        <v>2.3.2.02.02.009.3202037.91131.</v>
      </c>
      <c r="AI161" s="822"/>
    </row>
    <row r="162" spans="1:35" ht="135" hidden="1" customHeight="1" x14ac:dyDescent="0.2">
      <c r="A162" s="930">
        <v>312</v>
      </c>
      <c r="B162" s="830" t="s">
        <v>1457</v>
      </c>
      <c r="C162" s="763">
        <v>3</v>
      </c>
      <c r="D162" s="785" t="s">
        <v>1422</v>
      </c>
      <c r="E162" s="830" t="s">
        <v>1874</v>
      </c>
      <c r="F162" s="793">
        <v>6</v>
      </c>
      <c r="G162" s="793" t="s">
        <v>1395</v>
      </c>
      <c r="H162" s="860" t="s">
        <v>1664</v>
      </c>
      <c r="I162" s="1053">
        <v>50000000</v>
      </c>
      <c r="J162" s="832"/>
      <c r="K162" s="832"/>
      <c r="L162" s="832"/>
      <c r="M162" s="1051">
        <v>20</v>
      </c>
      <c r="N162" s="1051" t="s">
        <v>1538</v>
      </c>
      <c r="O162" s="859"/>
      <c r="P162" s="859"/>
      <c r="Q162" s="859"/>
      <c r="R162" s="859"/>
      <c r="S162" s="859"/>
      <c r="T162" s="859"/>
      <c r="U162" s="863">
        <v>32</v>
      </c>
      <c r="V162" s="863" t="s">
        <v>1307</v>
      </c>
      <c r="W162" s="793" t="s">
        <v>550</v>
      </c>
      <c r="X162" s="1198" t="s">
        <v>551</v>
      </c>
      <c r="Y162" s="1051" t="s">
        <v>1929</v>
      </c>
      <c r="Z162" s="1205" t="s">
        <v>1467</v>
      </c>
      <c r="AA162" s="1098" t="s">
        <v>1700</v>
      </c>
      <c r="AB162" s="770" t="s">
        <v>562</v>
      </c>
      <c r="AC162" s="846" t="s">
        <v>556</v>
      </c>
      <c r="AD162" s="771" t="s">
        <v>557</v>
      </c>
      <c r="AE162" s="1217" t="s">
        <v>1710</v>
      </c>
      <c r="AF162" s="836" t="s">
        <v>1666</v>
      </c>
      <c r="AG162" s="837"/>
      <c r="AH162" s="1052" t="str">
        <f t="shared" si="4"/>
        <v>2.3.2.02.01.000.3202037.86119.</v>
      </c>
      <c r="AI162" s="822"/>
    </row>
    <row r="163" spans="1:35" ht="390" hidden="1" x14ac:dyDescent="0.2">
      <c r="A163" s="930">
        <v>312</v>
      </c>
      <c r="B163" s="830" t="s">
        <v>1457</v>
      </c>
      <c r="C163" s="763">
        <v>3</v>
      </c>
      <c r="D163" s="785" t="s">
        <v>1422</v>
      </c>
      <c r="E163" s="830" t="s">
        <v>1540</v>
      </c>
      <c r="F163" s="793">
        <v>6</v>
      </c>
      <c r="G163" s="793" t="s">
        <v>1395</v>
      </c>
      <c r="H163" s="860" t="s">
        <v>1537</v>
      </c>
      <c r="I163" s="1053">
        <v>66000000</v>
      </c>
      <c r="J163" s="832"/>
      <c r="K163" s="832"/>
      <c r="L163" s="832"/>
      <c r="M163" s="1051">
        <v>20</v>
      </c>
      <c r="N163" s="1051" t="s">
        <v>1538</v>
      </c>
      <c r="O163" s="859"/>
      <c r="P163" s="859"/>
      <c r="Q163" s="859"/>
      <c r="R163" s="859"/>
      <c r="S163" s="859"/>
      <c r="T163" s="859"/>
      <c r="U163" s="863">
        <v>32</v>
      </c>
      <c r="V163" s="863" t="s">
        <v>1307</v>
      </c>
      <c r="W163" s="865" t="s">
        <v>550</v>
      </c>
      <c r="X163" s="1199" t="s">
        <v>551</v>
      </c>
      <c r="Y163" s="1051" t="s">
        <v>1929</v>
      </c>
      <c r="Z163" s="1206" t="s">
        <v>1467</v>
      </c>
      <c r="AA163" s="1187" t="s">
        <v>1701</v>
      </c>
      <c r="AB163" s="770" t="s">
        <v>564</v>
      </c>
      <c r="AC163" s="846" t="s">
        <v>556</v>
      </c>
      <c r="AD163" s="771" t="s">
        <v>557</v>
      </c>
      <c r="AE163" s="835" t="s">
        <v>1713</v>
      </c>
      <c r="AF163" s="836" t="s">
        <v>1665</v>
      </c>
      <c r="AG163" s="837"/>
      <c r="AH163" s="1052" t="str">
        <f t="shared" si="4"/>
        <v>2.3.2.02.02.009.3202043.91131.</v>
      </c>
      <c r="AI163" s="822"/>
    </row>
    <row r="164" spans="1:35" ht="102.75" hidden="1" customHeight="1" x14ac:dyDescent="0.2">
      <c r="A164" s="930">
        <v>312</v>
      </c>
      <c r="B164" s="830" t="s">
        <v>1457</v>
      </c>
      <c r="C164" s="763">
        <v>3</v>
      </c>
      <c r="D164" s="785" t="s">
        <v>1422</v>
      </c>
      <c r="E164" s="830" t="s">
        <v>1878</v>
      </c>
      <c r="F164" s="793">
        <v>4</v>
      </c>
      <c r="G164" s="793" t="s">
        <v>1395</v>
      </c>
      <c r="H164" s="860" t="s">
        <v>1670</v>
      </c>
      <c r="I164" s="1053">
        <v>54000000</v>
      </c>
      <c r="J164" s="832"/>
      <c r="K164" s="832"/>
      <c r="L164" s="832"/>
      <c r="M164" s="1051">
        <v>20</v>
      </c>
      <c r="N164" s="1051" t="s">
        <v>1538</v>
      </c>
      <c r="O164" s="859"/>
      <c r="P164" s="859"/>
      <c r="Q164" s="859"/>
      <c r="R164" s="859"/>
      <c r="S164" s="859"/>
      <c r="T164" s="859"/>
      <c r="U164" s="863">
        <v>32</v>
      </c>
      <c r="V164" s="863" t="s">
        <v>1307</v>
      </c>
      <c r="W164" s="865" t="s">
        <v>550</v>
      </c>
      <c r="X164" s="1199" t="s">
        <v>551</v>
      </c>
      <c r="Y164" s="1051" t="s">
        <v>1929</v>
      </c>
      <c r="Z164" s="1206" t="s">
        <v>1467</v>
      </c>
      <c r="AA164" s="1187" t="s">
        <v>1701</v>
      </c>
      <c r="AB164" s="770" t="s">
        <v>564</v>
      </c>
      <c r="AC164" s="846" t="s">
        <v>556</v>
      </c>
      <c r="AD164" s="771" t="s">
        <v>557</v>
      </c>
      <c r="AE164" s="835" t="s">
        <v>1711</v>
      </c>
      <c r="AF164" s="836" t="s">
        <v>1668</v>
      </c>
      <c r="AG164" s="837"/>
      <c r="AH164" s="1052" t="str">
        <f t="shared" si="4"/>
        <v>2.3.4.04.
3202043.91138.</v>
      </c>
      <c r="AI164" s="822"/>
    </row>
    <row r="165" spans="1:35" ht="390" hidden="1" x14ac:dyDescent="0.2">
      <c r="A165" s="930">
        <v>312</v>
      </c>
      <c r="B165" s="830" t="s">
        <v>1457</v>
      </c>
      <c r="C165" s="763">
        <v>3</v>
      </c>
      <c r="D165" s="785" t="s">
        <v>1422</v>
      </c>
      <c r="E165" s="830" t="s">
        <v>1540</v>
      </c>
      <c r="F165" s="793">
        <v>6</v>
      </c>
      <c r="G165" s="793" t="s">
        <v>1395</v>
      </c>
      <c r="H165" s="860" t="s">
        <v>1537</v>
      </c>
      <c r="I165" s="1053">
        <v>36000000</v>
      </c>
      <c r="J165" s="832"/>
      <c r="K165" s="832"/>
      <c r="L165" s="832"/>
      <c r="M165" s="1051">
        <v>20</v>
      </c>
      <c r="N165" s="1051" t="s">
        <v>1538</v>
      </c>
      <c r="O165" s="859"/>
      <c r="P165" s="859"/>
      <c r="Q165" s="859"/>
      <c r="R165" s="859"/>
      <c r="S165" s="859"/>
      <c r="T165" s="859"/>
      <c r="U165" s="863">
        <v>32</v>
      </c>
      <c r="V165" s="863" t="s">
        <v>1307</v>
      </c>
      <c r="W165" s="865" t="s">
        <v>550</v>
      </c>
      <c r="X165" s="1199" t="s">
        <v>551</v>
      </c>
      <c r="Y165" s="1051" t="s">
        <v>1929</v>
      </c>
      <c r="Z165" s="1206" t="s">
        <v>1467</v>
      </c>
      <c r="AA165" s="866" t="s">
        <v>137</v>
      </c>
      <c r="AB165" s="1188" t="s">
        <v>566</v>
      </c>
      <c r="AC165" s="780" t="s">
        <v>568</v>
      </c>
      <c r="AD165" s="770" t="s">
        <v>569</v>
      </c>
      <c r="AE165" s="835" t="s">
        <v>1713</v>
      </c>
      <c r="AF165" s="844" t="s">
        <v>1665</v>
      </c>
      <c r="AG165" s="845"/>
      <c r="AH165" s="959" t="str">
        <f t="shared" si="4"/>
        <v>2.3.2.02.02.009.DNP91131.</v>
      </c>
      <c r="AI165" s="867" t="s">
        <v>1468</v>
      </c>
    </row>
    <row r="166" spans="1:35" ht="390" hidden="1" x14ac:dyDescent="0.2">
      <c r="A166" s="930">
        <v>312</v>
      </c>
      <c r="B166" s="830" t="s">
        <v>1457</v>
      </c>
      <c r="C166" s="763">
        <v>3</v>
      </c>
      <c r="D166" s="785" t="s">
        <v>1422</v>
      </c>
      <c r="E166" s="830" t="s">
        <v>1540</v>
      </c>
      <c r="F166" s="793">
        <v>6</v>
      </c>
      <c r="G166" s="793" t="s">
        <v>1395</v>
      </c>
      <c r="H166" s="860" t="s">
        <v>1537</v>
      </c>
      <c r="I166" s="1053">
        <v>48000000</v>
      </c>
      <c r="J166" s="832"/>
      <c r="K166" s="832"/>
      <c r="L166" s="832"/>
      <c r="M166" s="1051">
        <v>20</v>
      </c>
      <c r="N166" s="1051" t="s">
        <v>1538</v>
      </c>
      <c r="O166" s="859"/>
      <c r="P166" s="859"/>
      <c r="Q166" s="859"/>
      <c r="R166" s="859"/>
      <c r="S166" s="859"/>
      <c r="T166" s="859"/>
      <c r="U166" s="863">
        <v>32</v>
      </c>
      <c r="V166" s="863" t="s">
        <v>1307</v>
      </c>
      <c r="W166" s="793" t="s">
        <v>550</v>
      </c>
      <c r="X166" s="1200" t="s">
        <v>551</v>
      </c>
      <c r="Y166" s="1051" t="s">
        <v>1929</v>
      </c>
      <c r="Z166" s="864" t="s">
        <v>1467</v>
      </c>
      <c r="AA166" s="792" t="s">
        <v>1702</v>
      </c>
      <c r="AB166" s="770" t="s">
        <v>571</v>
      </c>
      <c r="AC166" s="780" t="s">
        <v>573</v>
      </c>
      <c r="AD166" s="770" t="s">
        <v>574</v>
      </c>
      <c r="AE166" s="835" t="s">
        <v>1713</v>
      </c>
      <c r="AF166" s="844" t="s">
        <v>1665</v>
      </c>
      <c r="AG166" s="845"/>
      <c r="AH166" s="1052" t="str">
        <f t="shared" si="4"/>
        <v>2.3.2.02.02.009.3202014.91131.</v>
      </c>
      <c r="AI166" s="822"/>
    </row>
    <row r="167" spans="1:35" ht="112.5" hidden="1" customHeight="1" x14ac:dyDescent="0.2">
      <c r="A167" s="930">
        <v>312</v>
      </c>
      <c r="B167" s="830" t="s">
        <v>1457</v>
      </c>
      <c r="C167" s="763">
        <v>3</v>
      </c>
      <c r="D167" s="785" t="s">
        <v>1422</v>
      </c>
      <c r="E167" s="1000" t="s">
        <v>1596</v>
      </c>
      <c r="F167" s="793">
        <v>6</v>
      </c>
      <c r="G167" s="793" t="s">
        <v>1395</v>
      </c>
      <c r="H167" s="860" t="s">
        <v>1671</v>
      </c>
      <c r="I167" s="1053">
        <v>6000000</v>
      </c>
      <c r="J167" s="832"/>
      <c r="K167" s="832"/>
      <c r="L167" s="832"/>
      <c r="M167" s="1051">
        <v>20</v>
      </c>
      <c r="N167" s="1051" t="s">
        <v>1538</v>
      </c>
      <c r="O167" s="859"/>
      <c r="P167" s="859"/>
      <c r="Q167" s="859"/>
      <c r="R167" s="859"/>
      <c r="S167" s="859"/>
      <c r="T167" s="859"/>
      <c r="U167" s="863">
        <v>32</v>
      </c>
      <c r="V167" s="863" t="s">
        <v>1307</v>
      </c>
      <c r="W167" s="793" t="s">
        <v>550</v>
      </c>
      <c r="X167" s="1200" t="s">
        <v>551</v>
      </c>
      <c r="Y167" s="1051" t="s">
        <v>1929</v>
      </c>
      <c r="Z167" s="864" t="s">
        <v>1467</v>
      </c>
      <c r="AA167" s="792" t="s">
        <v>1702</v>
      </c>
      <c r="AB167" s="770" t="s">
        <v>571</v>
      </c>
      <c r="AC167" s="988" t="s">
        <v>573</v>
      </c>
      <c r="AD167" s="770" t="s">
        <v>574</v>
      </c>
      <c r="AE167" s="872">
        <v>32690</v>
      </c>
      <c r="AF167" s="873" t="s">
        <v>1594</v>
      </c>
      <c r="AG167" s="845"/>
      <c r="AH167" s="1052" t="str">
        <f t="shared" si="4"/>
        <v>2.3.2.02.01.003.3202014.32690</v>
      </c>
      <c r="AI167" s="822"/>
    </row>
    <row r="168" spans="1:35" ht="409.5" hidden="1" x14ac:dyDescent="0.2">
      <c r="A168" s="930">
        <v>312</v>
      </c>
      <c r="B168" s="830" t="s">
        <v>1457</v>
      </c>
      <c r="C168" s="763">
        <v>3</v>
      </c>
      <c r="D168" s="785" t="s">
        <v>1422</v>
      </c>
      <c r="E168" s="830" t="s">
        <v>1540</v>
      </c>
      <c r="F168" s="793">
        <v>6</v>
      </c>
      <c r="G168" s="793" t="s">
        <v>1395</v>
      </c>
      <c r="H168" s="860" t="s">
        <v>1537</v>
      </c>
      <c r="I168" s="1053">
        <v>54000000</v>
      </c>
      <c r="J168" s="832"/>
      <c r="K168" s="832"/>
      <c r="L168" s="832"/>
      <c r="M168" s="1051">
        <v>20</v>
      </c>
      <c r="N168" s="1051" t="s">
        <v>1538</v>
      </c>
      <c r="O168" s="859"/>
      <c r="P168" s="859"/>
      <c r="Q168" s="859"/>
      <c r="R168" s="859"/>
      <c r="S168" s="859"/>
      <c r="T168" s="859"/>
      <c r="U168" s="863">
        <v>32</v>
      </c>
      <c r="V168" s="863" t="s">
        <v>1307</v>
      </c>
      <c r="W168" s="793" t="s">
        <v>576</v>
      </c>
      <c r="X168" s="1195" t="s">
        <v>577</v>
      </c>
      <c r="Y168" s="855" t="s">
        <v>1930</v>
      </c>
      <c r="Z168" s="1207" t="s">
        <v>1469</v>
      </c>
      <c r="AA168" s="826" t="s">
        <v>1703</v>
      </c>
      <c r="AB168" s="770" t="s">
        <v>578</v>
      </c>
      <c r="AC168" s="780" t="s">
        <v>581</v>
      </c>
      <c r="AD168" s="770" t="s">
        <v>582</v>
      </c>
      <c r="AE168" s="835" t="s">
        <v>1713</v>
      </c>
      <c r="AF168" s="844" t="s">
        <v>1665</v>
      </c>
      <c r="AG168" s="845"/>
      <c r="AH168" s="1052" t="str">
        <f t="shared" si="4"/>
        <v>2.3.2.02.02.009.3204012.91131.</v>
      </c>
      <c r="AI168" s="822"/>
    </row>
    <row r="169" spans="1:35" ht="102.75" hidden="1" customHeight="1" x14ac:dyDescent="0.2">
      <c r="A169" s="930">
        <v>312</v>
      </c>
      <c r="B169" s="830" t="s">
        <v>1457</v>
      </c>
      <c r="C169" s="763">
        <v>3</v>
      </c>
      <c r="D169" s="785" t="s">
        <v>1422</v>
      </c>
      <c r="E169" s="830" t="s">
        <v>1879</v>
      </c>
      <c r="F169" s="793">
        <v>4</v>
      </c>
      <c r="G169" s="793" t="s">
        <v>1395</v>
      </c>
      <c r="H169" s="860" t="s">
        <v>1670</v>
      </c>
      <c r="I169" s="1053">
        <v>66000000</v>
      </c>
      <c r="J169" s="832"/>
      <c r="K169" s="832"/>
      <c r="L169" s="832"/>
      <c r="M169" s="1051">
        <v>20</v>
      </c>
      <c r="N169" s="1051" t="s">
        <v>1538</v>
      </c>
      <c r="O169" s="859"/>
      <c r="P169" s="859"/>
      <c r="Q169" s="859"/>
      <c r="R169" s="859"/>
      <c r="S169" s="859"/>
      <c r="T169" s="859"/>
      <c r="U169" s="863">
        <v>32</v>
      </c>
      <c r="V169" s="863" t="s">
        <v>1307</v>
      </c>
      <c r="W169" s="793" t="s">
        <v>576</v>
      </c>
      <c r="X169" s="1195" t="s">
        <v>577</v>
      </c>
      <c r="Y169" s="855" t="s">
        <v>1930</v>
      </c>
      <c r="Z169" s="1207" t="s">
        <v>1469</v>
      </c>
      <c r="AA169" s="826" t="s">
        <v>1703</v>
      </c>
      <c r="AB169" s="770" t="s">
        <v>578</v>
      </c>
      <c r="AC169" s="988" t="s">
        <v>581</v>
      </c>
      <c r="AD169" s="770" t="s">
        <v>582</v>
      </c>
      <c r="AE169" s="1217" t="s">
        <v>1711</v>
      </c>
      <c r="AF169" s="844" t="s">
        <v>1668</v>
      </c>
      <c r="AG169" s="845"/>
      <c r="AH169" s="1052" t="str">
        <f t="shared" si="4"/>
        <v>2.3.4.04.
3204012.91138.</v>
      </c>
      <c r="AI169" s="822"/>
    </row>
    <row r="170" spans="1:35" ht="87" hidden="1" customHeight="1" x14ac:dyDescent="0.2">
      <c r="A170" s="930">
        <v>312</v>
      </c>
      <c r="B170" s="830" t="s">
        <v>1457</v>
      </c>
      <c r="C170" s="763">
        <v>3</v>
      </c>
      <c r="D170" s="785" t="s">
        <v>1422</v>
      </c>
      <c r="E170" s="1154" t="s">
        <v>1540</v>
      </c>
      <c r="F170" s="814">
        <v>6</v>
      </c>
      <c r="G170" s="814" t="s">
        <v>1395</v>
      </c>
      <c r="H170" s="831" t="s">
        <v>1537</v>
      </c>
      <c r="I170" s="1053">
        <v>20000000</v>
      </c>
      <c r="J170" s="832"/>
      <c r="K170" s="832"/>
      <c r="L170" s="832"/>
      <c r="M170" s="1051">
        <v>20</v>
      </c>
      <c r="N170" s="1051" t="s">
        <v>1538</v>
      </c>
      <c r="O170" s="859"/>
      <c r="P170" s="859"/>
      <c r="Q170" s="859"/>
      <c r="R170" s="859"/>
      <c r="S170" s="859"/>
      <c r="T170" s="859"/>
      <c r="U170" s="863">
        <v>32</v>
      </c>
      <c r="V170" s="863" t="s">
        <v>1307</v>
      </c>
      <c r="W170" s="793">
        <v>3205</v>
      </c>
      <c r="X170" s="1195" t="s">
        <v>191</v>
      </c>
      <c r="Y170" s="855" t="s">
        <v>1931</v>
      </c>
      <c r="Z170" s="1203" t="s">
        <v>1470</v>
      </c>
      <c r="AA170" s="797" t="s">
        <v>1704</v>
      </c>
      <c r="AB170" s="770" t="s">
        <v>585</v>
      </c>
      <c r="AC170" s="780" t="s">
        <v>588</v>
      </c>
      <c r="AD170" s="770" t="s">
        <v>589</v>
      </c>
      <c r="AE170" s="835" t="s">
        <v>1713</v>
      </c>
      <c r="AF170" s="844" t="s">
        <v>1672</v>
      </c>
      <c r="AG170" s="845"/>
      <c r="AH170" s="1052" t="str">
        <f t="shared" si="4"/>
        <v>2.3.2.02.02.009.3205009.91131.</v>
      </c>
      <c r="AI170" s="822"/>
    </row>
    <row r="171" spans="1:35" ht="139.5" hidden="1" customHeight="1" x14ac:dyDescent="0.2">
      <c r="A171" s="930">
        <v>312</v>
      </c>
      <c r="B171" s="830" t="s">
        <v>1457</v>
      </c>
      <c r="C171" s="763">
        <v>3</v>
      </c>
      <c r="D171" s="785" t="s">
        <v>1422</v>
      </c>
      <c r="E171" s="1154" t="s">
        <v>1875</v>
      </c>
      <c r="F171" s="814">
        <v>5</v>
      </c>
      <c r="G171" s="814" t="s">
        <v>1395</v>
      </c>
      <c r="H171" s="831" t="s">
        <v>1667</v>
      </c>
      <c r="I171" s="1053">
        <v>20000000</v>
      </c>
      <c r="J171" s="832"/>
      <c r="K171" s="832"/>
      <c r="L171" s="832"/>
      <c r="M171" s="1051">
        <v>20</v>
      </c>
      <c r="N171" s="1051" t="s">
        <v>1538</v>
      </c>
      <c r="O171" s="859"/>
      <c r="P171" s="859"/>
      <c r="Q171" s="859"/>
      <c r="R171" s="859"/>
      <c r="S171" s="859"/>
      <c r="T171" s="859"/>
      <c r="U171" s="863">
        <v>32</v>
      </c>
      <c r="V171" s="863" t="s">
        <v>1307</v>
      </c>
      <c r="W171" s="793">
        <v>3205</v>
      </c>
      <c r="X171" s="1195" t="s">
        <v>191</v>
      </c>
      <c r="Y171" s="855" t="s">
        <v>1931</v>
      </c>
      <c r="Z171" s="1203" t="s">
        <v>1470</v>
      </c>
      <c r="AA171" s="797" t="s">
        <v>1705</v>
      </c>
      <c r="AB171" s="770" t="s">
        <v>592</v>
      </c>
      <c r="AC171" s="780" t="s">
        <v>588</v>
      </c>
      <c r="AD171" s="770" t="s">
        <v>589</v>
      </c>
      <c r="AE171" s="1217" t="s">
        <v>1711</v>
      </c>
      <c r="AF171" s="844" t="s">
        <v>1668</v>
      </c>
      <c r="AG171" s="845"/>
      <c r="AH171" s="1052" t="str">
        <f t="shared" si="4"/>
        <v>2.3.4.02.04.3205014.91138.</v>
      </c>
      <c r="AI171" s="822"/>
    </row>
    <row r="172" spans="1:35" ht="409.5" hidden="1" x14ac:dyDescent="0.2">
      <c r="A172" s="930">
        <v>312</v>
      </c>
      <c r="B172" s="830" t="s">
        <v>1457</v>
      </c>
      <c r="C172" s="763">
        <v>3</v>
      </c>
      <c r="D172" s="785" t="s">
        <v>1422</v>
      </c>
      <c r="E172" s="830" t="s">
        <v>1875</v>
      </c>
      <c r="F172" s="793">
        <v>5</v>
      </c>
      <c r="G172" s="793" t="s">
        <v>1395</v>
      </c>
      <c r="H172" s="860" t="s">
        <v>1667</v>
      </c>
      <c r="I172" s="1053">
        <v>42000000</v>
      </c>
      <c r="J172" s="832"/>
      <c r="K172" s="832"/>
      <c r="L172" s="832"/>
      <c r="M172" s="1051">
        <v>20</v>
      </c>
      <c r="N172" s="1051" t="s">
        <v>1538</v>
      </c>
      <c r="O172" s="859"/>
      <c r="P172" s="859"/>
      <c r="Q172" s="859"/>
      <c r="R172" s="859"/>
      <c r="S172" s="859"/>
      <c r="T172" s="859"/>
      <c r="U172" s="863">
        <v>32</v>
      </c>
      <c r="V172" s="863" t="s">
        <v>1307</v>
      </c>
      <c r="W172" s="793">
        <v>3205</v>
      </c>
      <c r="X172" s="1195" t="s">
        <v>191</v>
      </c>
      <c r="Y172" s="855" t="s">
        <v>1931</v>
      </c>
      <c r="Z172" s="1203" t="s">
        <v>1470</v>
      </c>
      <c r="AA172" s="797" t="s">
        <v>1569</v>
      </c>
      <c r="AB172" s="770" t="s">
        <v>193</v>
      </c>
      <c r="AC172" s="780" t="s">
        <v>588</v>
      </c>
      <c r="AD172" s="770" t="s">
        <v>589</v>
      </c>
      <c r="AE172" s="1217" t="s">
        <v>1711</v>
      </c>
      <c r="AF172" s="844" t="s">
        <v>1668</v>
      </c>
      <c r="AG172" s="845"/>
      <c r="AH172" s="1052" t="str">
        <f t="shared" si="4"/>
        <v>2.3.4.02.04.3205010.91138.</v>
      </c>
      <c r="AI172" s="822"/>
    </row>
    <row r="173" spans="1:35" ht="409.5" hidden="1" x14ac:dyDescent="0.2">
      <c r="A173" s="930">
        <v>312</v>
      </c>
      <c r="B173" s="830" t="s">
        <v>1457</v>
      </c>
      <c r="C173" s="763">
        <v>3</v>
      </c>
      <c r="D173" s="785" t="s">
        <v>1422</v>
      </c>
      <c r="E173" s="830" t="s">
        <v>1540</v>
      </c>
      <c r="F173" s="793">
        <v>6</v>
      </c>
      <c r="G173" s="793" t="s">
        <v>1395</v>
      </c>
      <c r="H173" s="860" t="s">
        <v>1537</v>
      </c>
      <c r="I173" s="1053">
        <v>25000000</v>
      </c>
      <c r="J173" s="832"/>
      <c r="K173" s="832"/>
      <c r="L173" s="832"/>
      <c r="M173" s="1051">
        <v>20</v>
      </c>
      <c r="N173" s="1051" t="s">
        <v>1538</v>
      </c>
      <c r="O173" s="859"/>
      <c r="P173" s="859"/>
      <c r="Q173" s="859"/>
      <c r="R173" s="859"/>
      <c r="S173" s="859"/>
      <c r="T173" s="859"/>
      <c r="U173" s="863">
        <v>32</v>
      </c>
      <c r="V173" s="863" t="s">
        <v>1307</v>
      </c>
      <c r="W173" s="793" t="s">
        <v>595</v>
      </c>
      <c r="X173" s="1195" t="s">
        <v>596</v>
      </c>
      <c r="Y173" s="1051" t="s">
        <v>1932</v>
      </c>
      <c r="Z173" s="1201" t="s">
        <v>1471</v>
      </c>
      <c r="AA173" s="797" t="s">
        <v>1706</v>
      </c>
      <c r="AB173" s="770" t="s">
        <v>598</v>
      </c>
      <c r="AC173" s="780" t="s">
        <v>601</v>
      </c>
      <c r="AD173" s="770" t="s">
        <v>602</v>
      </c>
      <c r="AE173" s="835" t="s">
        <v>1713</v>
      </c>
      <c r="AF173" s="844" t="s">
        <v>1665</v>
      </c>
      <c r="AG173" s="845"/>
      <c r="AH173" s="1052" t="str">
        <f t="shared" si="4"/>
        <v>2.3.2.02.02.009.3206005.91131.</v>
      </c>
      <c r="AI173" s="822"/>
    </row>
    <row r="174" spans="1:35" ht="409.5" hidden="1" x14ac:dyDescent="0.2">
      <c r="A174" s="930">
        <v>312</v>
      </c>
      <c r="B174" s="830" t="s">
        <v>1457</v>
      </c>
      <c r="C174" s="763">
        <v>3</v>
      </c>
      <c r="D174" s="785" t="s">
        <v>1422</v>
      </c>
      <c r="E174" s="830" t="s">
        <v>1874</v>
      </c>
      <c r="F174" s="793">
        <v>6</v>
      </c>
      <c r="G174" s="793" t="s">
        <v>1395</v>
      </c>
      <c r="H174" s="860" t="s">
        <v>1664</v>
      </c>
      <c r="I174" s="1053">
        <v>18000000</v>
      </c>
      <c r="J174" s="832"/>
      <c r="K174" s="832"/>
      <c r="L174" s="832"/>
      <c r="M174" s="1051">
        <v>20</v>
      </c>
      <c r="N174" s="1051" t="s">
        <v>1538</v>
      </c>
      <c r="O174" s="859"/>
      <c r="P174" s="859"/>
      <c r="Q174" s="859"/>
      <c r="R174" s="859"/>
      <c r="S174" s="859"/>
      <c r="T174" s="859"/>
      <c r="U174" s="863">
        <v>32</v>
      </c>
      <c r="V174" s="863" t="s">
        <v>1307</v>
      </c>
      <c r="W174" s="793" t="s">
        <v>595</v>
      </c>
      <c r="X174" s="1195" t="s">
        <v>596</v>
      </c>
      <c r="Y174" s="1051" t="s">
        <v>1932</v>
      </c>
      <c r="Z174" s="1201" t="s">
        <v>1471</v>
      </c>
      <c r="AA174" s="797" t="s">
        <v>1707</v>
      </c>
      <c r="AB174" s="770" t="s">
        <v>604</v>
      </c>
      <c r="AC174" s="780" t="s">
        <v>601</v>
      </c>
      <c r="AD174" s="770" t="s">
        <v>602</v>
      </c>
      <c r="AE174" s="1217" t="s">
        <v>1710</v>
      </c>
      <c r="AF174" s="844" t="s">
        <v>1666</v>
      </c>
      <c r="AG174" s="845"/>
      <c r="AH174" s="1052" t="str">
        <f t="shared" si="4"/>
        <v>2.3.2.02.01.000.3206014.86119.</v>
      </c>
      <c r="AI174" s="822"/>
    </row>
    <row r="175" spans="1:35" ht="120.75" hidden="1" customHeight="1" x14ac:dyDescent="0.2">
      <c r="A175" s="930">
        <v>312</v>
      </c>
      <c r="B175" s="830" t="s">
        <v>1457</v>
      </c>
      <c r="C175" s="763">
        <v>3</v>
      </c>
      <c r="D175" s="785" t="s">
        <v>1422</v>
      </c>
      <c r="E175" s="1472" t="s">
        <v>2321</v>
      </c>
      <c r="F175" s="793">
        <v>8</v>
      </c>
      <c r="G175" s="793" t="s">
        <v>1395</v>
      </c>
      <c r="H175" s="860" t="s">
        <v>1673</v>
      </c>
      <c r="I175" s="1053">
        <v>75000000</v>
      </c>
      <c r="J175" s="832"/>
      <c r="K175" s="832"/>
      <c r="L175" s="832"/>
      <c r="M175" s="1051">
        <v>20</v>
      </c>
      <c r="N175" s="1051" t="s">
        <v>1538</v>
      </c>
      <c r="O175" s="859"/>
      <c r="P175" s="859"/>
      <c r="Q175" s="859"/>
      <c r="R175" s="859"/>
      <c r="S175" s="859"/>
      <c r="T175" s="859"/>
      <c r="U175" s="863">
        <v>32</v>
      </c>
      <c r="V175" s="863" t="s">
        <v>1307</v>
      </c>
      <c r="W175" s="793" t="s">
        <v>595</v>
      </c>
      <c r="X175" s="1195" t="s">
        <v>596</v>
      </c>
      <c r="Y175" s="1051" t="s">
        <v>1932</v>
      </c>
      <c r="Z175" s="1201" t="s">
        <v>1471</v>
      </c>
      <c r="AA175" s="797" t="s">
        <v>1708</v>
      </c>
      <c r="AB175" s="770" t="s">
        <v>608</v>
      </c>
      <c r="AC175" s="780" t="s">
        <v>601</v>
      </c>
      <c r="AD175" s="770" t="s">
        <v>602</v>
      </c>
      <c r="AE175" s="872">
        <v>43410</v>
      </c>
      <c r="AF175" s="770" t="s">
        <v>1674</v>
      </c>
      <c r="AG175" s="845"/>
      <c r="AH175" s="1052" t="str">
        <f t="shared" si="4"/>
        <v>2.3.2.01.01.003.01.043206015.43410</v>
      </c>
      <c r="AI175" s="822"/>
    </row>
    <row r="176" spans="1:35" ht="240" x14ac:dyDescent="0.2">
      <c r="A176" s="931">
        <v>313</v>
      </c>
      <c r="B176" s="868" t="s">
        <v>1472</v>
      </c>
      <c r="C176" s="767">
        <v>4</v>
      </c>
      <c r="D176" s="767" t="s">
        <v>1386</v>
      </c>
      <c r="E176" s="1471" t="s">
        <v>1540</v>
      </c>
      <c r="F176" s="793">
        <v>6</v>
      </c>
      <c r="G176" s="793" t="s">
        <v>1395</v>
      </c>
      <c r="H176" s="860" t="s">
        <v>1714</v>
      </c>
      <c r="I176" s="1055">
        <v>250000000</v>
      </c>
      <c r="J176" s="832"/>
      <c r="K176" s="832"/>
      <c r="L176" s="832"/>
      <c r="M176" s="1051">
        <v>20</v>
      </c>
      <c r="N176" s="1051" t="s">
        <v>1538</v>
      </c>
      <c r="O176" s="859"/>
      <c r="P176" s="859"/>
      <c r="Q176" s="859"/>
      <c r="R176" s="859"/>
      <c r="S176" s="859"/>
      <c r="T176" s="859"/>
      <c r="U176" s="767">
        <v>45</v>
      </c>
      <c r="V176" s="768" t="s">
        <v>1302</v>
      </c>
      <c r="W176" s="769">
        <v>4599</v>
      </c>
      <c r="X176" s="770" t="s">
        <v>40</v>
      </c>
      <c r="Y176" s="1208">
        <v>45991</v>
      </c>
      <c r="Z176" s="771" t="s">
        <v>1387</v>
      </c>
      <c r="AA176" s="792" t="s">
        <v>1716</v>
      </c>
      <c r="AB176" s="771" t="s">
        <v>613</v>
      </c>
      <c r="AC176" s="780" t="s">
        <v>615</v>
      </c>
      <c r="AD176" s="781" t="s">
        <v>2344</v>
      </c>
      <c r="AE176" s="869" t="s">
        <v>1549</v>
      </c>
      <c r="AF176" s="870" t="s">
        <v>1715</v>
      </c>
      <c r="AG176" s="871"/>
      <c r="AH176" s="1052" t="str">
        <f t="shared" ref="AH176:AH178" si="5">CONCATENATE(E176,AA176,AE176)</f>
        <v>2.3.2.02.02.009.4599019.91119.</v>
      </c>
      <c r="AI176" s="822"/>
    </row>
    <row r="177" spans="1:114" ht="241.5" customHeight="1" x14ac:dyDescent="0.2">
      <c r="A177" s="931">
        <v>313</v>
      </c>
      <c r="B177" s="868" t="s">
        <v>1472</v>
      </c>
      <c r="C177" s="767">
        <v>4</v>
      </c>
      <c r="D177" s="1081" t="s">
        <v>1386</v>
      </c>
      <c r="E177" s="1155" t="s">
        <v>1540</v>
      </c>
      <c r="F177" s="1082">
        <v>6</v>
      </c>
      <c r="G177" s="1082" t="s">
        <v>1395</v>
      </c>
      <c r="H177" s="1119" t="s">
        <v>1714</v>
      </c>
      <c r="I177" s="1120">
        <v>300000000</v>
      </c>
      <c r="J177" s="832"/>
      <c r="K177" s="832"/>
      <c r="L177" s="832"/>
      <c r="M177" s="1121">
        <v>20</v>
      </c>
      <c r="N177" s="1121" t="s">
        <v>1538</v>
      </c>
      <c r="O177" s="859"/>
      <c r="P177" s="859"/>
      <c r="Q177" s="859"/>
      <c r="R177" s="859"/>
      <c r="S177" s="859"/>
      <c r="T177" s="859"/>
      <c r="U177" s="1081">
        <v>45</v>
      </c>
      <c r="V177" s="1122" t="s">
        <v>1302</v>
      </c>
      <c r="W177" s="1123">
        <v>4599</v>
      </c>
      <c r="X177" s="1124" t="s">
        <v>40</v>
      </c>
      <c r="Y177" s="769">
        <v>45991</v>
      </c>
      <c r="Z177" s="1125" t="s">
        <v>1387</v>
      </c>
      <c r="AA177" s="952" t="s">
        <v>1551</v>
      </c>
      <c r="AB177" s="1124" t="s">
        <v>619</v>
      </c>
      <c r="AC177" s="1126" t="s">
        <v>621</v>
      </c>
      <c r="AD177" s="1124" t="s">
        <v>622</v>
      </c>
      <c r="AE177" s="1127" t="s">
        <v>1549</v>
      </c>
      <c r="AF177" s="1128" t="s">
        <v>1715</v>
      </c>
      <c r="AG177" s="845"/>
      <c r="AH177" s="1129" t="str">
        <f t="shared" si="5"/>
        <v>2.3.2.02.02.009.4599018.91119.</v>
      </c>
      <c r="AI177" s="822"/>
    </row>
    <row r="178" spans="1:114" ht="165" x14ac:dyDescent="0.2">
      <c r="A178" s="1025">
        <v>313</v>
      </c>
      <c r="B178" s="1080" t="s">
        <v>1472</v>
      </c>
      <c r="C178" s="1081">
        <v>4</v>
      </c>
      <c r="D178" s="767" t="s">
        <v>1386</v>
      </c>
      <c r="E178" s="1156" t="s">
        <v>1540</v>
      </c>
      <c r="F178" s="1051">
        <v>6</v>
      </c>
      <c r="G178" s="1051" t="s">
        <v>1395</v>
      </c>
      <c r="H178" s="861" t="s">
        <v>1714</v>
      </c>
      <c r="I178" s="1055">
        <v>145000000</v>
      </c>
      <c r="J178" s="832"/>
      <c r="K178" s="832"/>
      <c r="L178" s="832"/>
      <c r="M178" s="1051">
        <v>20</v>
      </c>
      <c r="N178" s="1051" t="s">
        <v>1538</v>
      </c>
      <c r="O178" s="859"/>
      <c r="P178" s="859"/>
      <c r="Q178" s="859"/>
      <c r="R178" s="859"/>
      <c r="S178" s="859"/>
      <c r="T178" s="859"/>
      <c r="U178" s="767">
        <v>45</v>
      </c>
      <c r="V178" s="768" t="s">
        <v>1302</v>
      </c>
      <c r="W178" s="1051">
        <v>4502</v>
      </c>
      <c r="X178" s="1130" t="s">
        <v>61</v>
      </c>
      <c r="Y178" s="1051">
        <v>45022</v>
      </c>
      <c r="Z178" s="954" t="s">
        <v>1430</v>
      </c>
      <c r="AA178" s="1131" t="s">
        <v>1548</v>
      </c>
      <c r="AB178" s="775" t="s">
        <v>624</v>
      </c>
      <c r="AC178" s="1132" t="s">
        <v>626</v>
      </c>
      <c r="AD178" s="775" t="s">
        <v>627</v>
      </c>
      <c r="AE178" s="1133" t="s">
        <v>1549</v>
      </c>
      <c r="AF178" s="824" t="s">
        <v>1715</v>
      </c>
      <c r="AG178" s="824"/>
      <c r="AH178" s="1052" t="str">
        <f t="shared" si="5"/>
        <v>2.3.2.02.02.009.4502001.91119.</v>
      </c>
      <c r="AI178" s="913"/>
    </row>
    <row r="179" spans="1:114" s="4" customFormat="1" ht="140.25" hidden="1" customHeight="1" x14ac:dyDescent="0.2">
      <c r="A179" s="1098">
        <v>314</v>
      </c>
      <c r="B179" s="990" t="s">
        <v>266</v>
      </c>
      <c r="C179" s="792">
        <v>1</v>
      </c>
      <c r="D179" s="1174" t="s">
        <v>1412</v>
      </c>
      <c r="E179" s="1157" t="s">
        <v>1540</v>
      </c>
      <c r="F179" s="1078">
        <v>6</v>
      </c>
      <c r="G179" s="1078" t="s">
        <v>1395</v>
      </c>
      <c r="H179" s="1175" t="s">
        <v>1537</v>
      </c>
      <c r="I179" s="1176">
        <v>1196008.5531004989</v>
      </c>
      <c r="J179" s="1083"/>
      <c r="K179" s="1083"/>
      <c r="L179" s="1083"/>
      <c r="M179" s="1184">
        <v>20</v>
      </c>
      <c r="N179" s="1177" t="s">
        <v>1538</v>
      </c>
      <c r="O179" s="1084"/>
      <c r="P179" s="1084"/>
      <c r="Q179" s="1084"/>
      <c r="R179" s="1084"/>
      <c r="S179" s="1084"/>
      <c r="T179" s="1084"/>
      <c r="U179" s="1178">
        <v>22</v>
      </c>
      <c r="V179" s="1179" t="s">
        <v>266</v>
      </c>
      <c r="W179" s="1180">
        <v>2201</v>
      </c>
      <c r="X179" s="1181" t="s">
        <v>152</v>
      </c>
      <c r="Y179" s="1250" t="s">
        <v>2289</v>
      </c>
      <c r="Z179" s="1174" t="s">
        <v>2288</v>
      </c>
      <c r="AA179" s="1078">
        <v>2201033</v>
      </c>
      <c r="AB179" s="1103" t="s">
        <v>631</v>
      </c>
      <c r="AC179" s="1270" t="s">
        <v>633</v>
      </c>
      <c r="AD179" s="1103" t="s">
        <v>634</v>
      </c>
      <c r="AE179" s="1182">
        <v>92102</v>
      </c>
      <c r="AF179" s="1144" t="s">
        <v>1804</v>
      </c>
      <c r="AG179" s="1090"/>
      <c r="AH179" s="1144" t="str">
        <f>CONCATENATE(E179,".",AA179,".",AE179)</f>
        <v>2.3.2.02.02.009..2201033.92102</v>
      </c>
      <c r="AI179" s="40"/>
    </row>
    <row r="180" spans="1:114" ht="154.5" hidden="1" customHeight="1" x14ac:dyDescent="0.2">
      <c r="A180" s="820">
        <v>314</v>
      </c>
      <c r="B180" s="868" t="s">
        <v>266</v>
      </c>
      <c r="C180" s="793">
        <v>1</v>
      </c>
      <c r="D180" s="791" t="s">
        <v>1412</v>
      </c>
      <c r="E180" s="830" t="s">
        <v>1540</v>
      </c>
      <c r="F180" s="793">
        <v>6</v>
      </c>
      <c r="G180" s="793" t="s">
        <v>1395</v>
      </c>
      <c r="H180" s="860" t="s">
        <v>1537</v>
      </c>
      <c r="I180" s="1085">
        <v>7426942.2665716326</v>
      </c>
      <c r="J180" s="1086"/>
      <c r="K180" s="1086"/>
      <c r="L180" s="1086"/>
      <c r="M180" s="961">
        <v>20</v>
      </c>
      <c r="N180" s="1177" t="s">
        <v>1538</v>
      </c>
      <c r="O180" s="1087"/>
      <c r="P180" s="1087"/>
      <c r="Q180" s="1087"/>
      <c r="R180" s="1087"/>
      <c r="S180" s="1087"/>
      <c r="T180" s="1087"/>
      <c r="U180" s="1088">
        <v>22</v>
      </c>
      <c r="V180" s="1089" t="s">
        <v>266</v>
      </c>
      <c r="W180" s="820">
        <v>2201</v>
      </c>
      <c r="X180" s="857" t="s">
        <v>152</v>
      </c>
      <c r="Y180" s="1250" t="s">
        <v>2289</v>
      </c>
      <c r="Z180" s="1174" t="s">
        <v>2288</v>
      </c>
      <c r="AA180" s="792">
        <v>2201033</v>
      </c>
      <c r="AB180" s="713" t="s">
        <v>631</v>
      </c>
      <c r="AC180" s="1271" t="s">
        <v>633</v>
      </c>
      <c r="AD180" s="713" t="s">
        <v>634</v>
      </c>
      <c r="AE180" s="872">
        <v>92200</v>
      </c>
      <c r="AF180" s="873" t="s">
        <v>1805</v>
      </c>
      <c r="AG180" s="1090"/>
      <c r="AH180" s="873" t="str">
        <f t="shared" ref="AH180:AH238" si="6">CONCATENATE(E180,".",AA180,".",AE180)</f>
        <v>2.3.2.02.02.009..2201033.92200</v>
      </c>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row>
    <row r="181" spans="1:114" ht="99" hidden="1" customHeight="1" x14ac:dyDescent="0.2">
      <c r="A181" s="820">
        <v>314</v>
      </c>
      <c r="B181" s="868" t="s">
        <v>266</v>
      </c>
      <c r="C181" s="793">
        <v>1</v>
      </c>
      <c r="D181" s="791" t="s">
        <v>1412</v>
      </c>
      <c r="E181" s="830" t="s">
        <v>1540</v>
      </c>
      <c r="F181" s="793">
        <v>6</v>
      </c>
      <c r="G181" s="793" t="s">
        <v>1395</v>
      </c>
      <c r="H181" s="860" t="s">
        <v>1537</v>
      </c>
      <c r="I181" s="1085">
        <v>6751247.3271560939</v>
      </c>
      <c r="J181" s="1086"/>
      <c r="K181" s="1086"/>
      <c r="L181" s="1086"/>
      <c r="M181" s="961">
        <v>20</v>
      </c>
      <c r="N181" s="1177" t="s">
        <v>1538</v>
      </c>
      <c r="O181" s="1087"/>
      <c r="P181" s="1087"/>
      <c r="Q181" s="1087"/>
      <c r="R181" s="1087"/>
      <c r="S181" s="1087"/>
      <c r="T181" s="1087"/>
      <c r="U181" s="1088">
        <v>22</v>
      </c>
      <c r="V181" s="1089" t="s">
        <v>266</v>
      </c>
      <c r="W181" s="820">
        <v>2201</v>
      </c>
      <c r="X181" s="857" t="s">
        <v>152</v>
      </c>
      <c r="Y181" s="1250" t="s">
        <v>2289</v>
      </c>
      <c r="Z181" s="1174" t="s">
        <v>2288</v>
      </c>
      <c r="AA181" s="792">
        <v>2201033</v>
      </c>
      <c r="AB181" s="713" t="s">
        <v>631</v>
      </c>
      <c r="AC181" s="1271" t="s">
        <v>633</v>
      </c>
      <c r="AD181" s="713" t="s">
        <v>634</v>
      </c>
      <c r="AE181" s="872">
        <v>92310</v>
      </c>
      <c r="AF181" s="873" t="s">
        <v>1806</v>
      </c>
      <c r="AG181" s="1090"/>
      <c r="AH181" s="873" t="str">
        <f t="shared" si="6"/>
        <v>2.3.2.02.02.009..2201033.92310</v>
      </c>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row>
    <row r="182" spans="1:114" ht="90" hidden="1" customHeight="1" x14ac:dyDescent="0.2">
      <c r="A182" s="820">
        <v>314</v>
      </c>
      <c r="B182" s="868" t="s">
        <v>266</v>
      </c>
      <c r="C182" s="793">
        <v>1</v>
      </c>
      <c r="D182" s="791" t="s">
        <v>1412</v>
      </c>
      <c r="E182" s="830" t="s">
        <v>1540</v>
      </c>
      <c r="F182" s="793">
        <v>6</v>
      </c>
      <c r="G182" s="793" t="s">
        <v>1395</v>
      </c>
      <c r="H182" s="860" t="s">
        <v>1537</v>
      </c>
      <c r="I182" s="1085">
        <v>2625801.8531717751</v>
      </c>
      <c r="J182" s="1086"/>
      <c r="K182" s="1086"/>
      <c r="L182" s="1086"/>
      <c r="M182" s="961">
        <v>20</v>
      </c>
      <c r="N182" s="1177" t="s">
        <v>1538</v>
      </c>
      <c r="O182" s="1087"/>
      <c r="P182" s="1087"/>
      <c r="Q182" s="1087"/>
      <c r="R182" s="1087"/>
      <c r="S182" s="1087"/>
      <c r="T182" s="1087"/>
      <c r="U182" s="1088">
        <v>22</v>
      </c>
      <c r="V182" s="1089" t="s">
        <v>266</v>
      </c>
      <c r="W182" s="820">
        <v>2201</v>
      </c>
      <c r="X182" s="857" t="s">
        <v>152</v>
      </c>
      <c r="Y182" s="1250" t="s">
        <v>2289</v>
      </c>
      <c r="Z182" s="1174" t="s">
        <v>2288</v>
      </c>
      <c r="AA182" s="792">
        <v>2201033</v>
      </c>
      <c r="AB182" s="713" t="s">
        <v>631</v>
      </c>
      <c r="AC182" s="1271" t="s">
        <v>633</v>
      </c>
      <c r="AD182" s="713" t="s">
        <v>634</v>
      </c>
      <c r="AE182" s="872">
        <v>92330</v>
      </c>
      <c r="AF182" s="873" t="s">
        <v>1807</v>
      </c>
      <c r="AG182" s="1090"/>
      <c r="AH182" s="873" t="str">
        <f t="shared" si="6"/>
        <v>2.3.2.02.02.009..2201033.92330</v>
      </c>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row>
    <row r="183" spans="1:114" s="4" customFormat="1" ht="98.25" hidden="1" customHeight="1" x14ac:dyDescent="0.2">
      <c r="A183" s="1098">
        <v>314</v>
      </c>
      <c r="B183" s="990" t="s">
        <v>266</v>
      </c>
      <c r="C183" s="792">
        <v>1</v>
      </c>
      <c r="D183" s="702" t="s">
        <v>1412</v>
      </c>
      <c r="E183" s="1000" t="s">
        <v>1540</v>
      </c>
      <c r="F183" s="792">
        <v>6</v>
      </c>
      <c r="G183" s="792" t="s">
        <v>1395</v>
      </c>
      <c r="H183" s="992" t="s">
        <v>1537</v>
      </c>
      <c r="I183" s="1183">
        <v>664449.19616694376</v>
      </c>
      <c r="J183" s="1268"/>
      <c r="K183" s="1268"/>
      <c r="L183" s="1268"/>
      <c r="M183" s="961">
        <v>20</v>
      </c>
      <c r="N183" s="997" t="s">
        <v>1538</v>
      </c>
      <c r="O183" s="1269"/>
      <c r="P183" s="1269"/>
      <c r="Q183" s="1269"/>
      <c r="R183" s="1269"/>
      <c r="S183" s="1269"/>
      <c r="T183" s="1269"/>
      <c r="U183" s="57">
        <v>22</v>
      </c>
      <c r="V183" s="1262" t="s">
        <v>266</v>
      </c>
      <c r="W183" s="1098">
        <v>2201</v>
      </c>
      <c r="X183" s="819" t="s">
        <v>152</v>
      </c>
      <c r="Y183" s="1250" t="s">
        <v>2291</v>
      </c>
      <c r="Z183" s="702" t="s">
        <v>2290</v>
      </c>
      <c r="AA183" s="792">
        <v>2201032</v>
      </c>
      <c r="AB183" s="842" t="s">
        <v>676</v>
      </c>
      <c r="AC183" s="1096" t="s">
        <v>633</v>
      </c>
      <c r="AD183" s="842" t="s">
        <v>663</v>
      </c>
      <c r="AE183" s="872">
        <v>92102</v>
      </c>
      <c r="AF183" s="873" t="s">
        <v>1804</v>
      </c>
      <c r="AG183" s="1092"/>
      <c r="AH183" s="873" t="str">
        <f>CONCATENATE(E183,".",AA183,".",AE183)</f>
        <v>2.3.2.02.02.009..2201032.92102</v>
      </c>
    </row>
    <row r="184" spans="1:114" s="4" customFormat="1" ht="51.75" hidden="1" customHeight="1" x14ac:dyDescent="0.2">
      <c r="A184" s="1098">
        <v>314</v>
      </c>
      <c r="B184" s="990" t="s">
        <v>266</v>
      </c>
      <c r="C184" s="792">
        <v>1</v>
      </c>
      <c r="D184" s="702" t="s">
        <v>1412</v>
      </c>
      <c r="E184" s="1000" t="s">
        <v>1540</v>
      </c>
      <c r="F184" s="792">
        <v>6</v>
      </c>
      <c r="G184" s="792" t="s">
        <v>1395</v>
      </c>
      <c r="H184" s="992" t="s">
        <v>1537</v>
      </c>
      <c r="I184" s="1183">
        <v>4126079.0369842402</v>
      </c>
      <c r="J184" s="1268"/>
      <c r="K184" s="1268"/>
      <c r="L184" s="1268"/>
      <c r="M184" s="961">
        <v>20</v>
      </c>
      <c r="N184" s="997" t="s">
        <v>1538</v>
      </c>
      <c r="O184" s="1269"/>
      <c r="P184" s="1269"/>
      <c r="Q184" s="1269"/>
      <c r="R184" s="1269"/>
      <c r="S184" s="1269"/>
      <c r="T184" s="1269"/>
      <c r="U184" s="57">
        <v>22</v>
      </c>
      <c r="V184" s="1262" t="s">
        <v>266</v>
      </c>
      <c r="W184" s="1098">
        <v>2201</v>
      </c>
      <c r="X184" s="819" t="s">
        <v>152</v>
      </c>
      <c r="Y184" s="1250" t="s">
        <v>2291</v>
      </c>
      <c r="Z184" s="702" t="s">
        <v>2290</v>
      </c>
      <c r="AA184" s="792">
        <v>2201032</v>
      </c>
      <c r="AB184" s="842" t="s">
        <v>676</v>
      </c>
      <c r="AC184" s="1096" t="s">
        <v>633</v>
      </c>
      <c r="AD184" s="842" t="s">
        <v>663</v>
      </c>
      <c r="AE184" s="872">
        <v>92200</v>
      </c>
      <c r="AF184" s="873" t="s">
        <v>1805</v>
      </c>
      <c r="AG184" s="1092"/>
      <c r="AH184" s="873" t="str">
        <f>CONCATENATE(E184,".",AA184,".",AE184)</f>
        <v>2.3.2.02.02.009..2201032.92200</v>
      </c>
    </row>
    <row r="185" spans="1:114" s="4" customFormat="1" ht="71.25" hidden="1" customHeight="1" x14ac:dyDescent="0.2">
      <c r="A185" s="1098">
        <v>314</v>
      </c>
      <c r="B185" s="990" t="s">
        <v>266</v>
      </c>
      <c r="C185" s="792">
        <v>1</v>
      </c>
      <c r="D185" s="702" t="s">
        <v>1412</v>
      </c>
      <c r="E185" s="1000" t="s">
        <v>1540</v>
      </c>
      <c r="F185" s="792">
        <v>6</v>
      </c>
      <c r="G185" s="792" t="s">
        <v>1395</v>
      </c>
      <c r="H185" s="992" t="s">
        <v>1537</v>
      </c>
      <c r="I185" s="1183">
        <v>3750692.9595311633</v>
      </c>
      <c r="J185" s="1268"/>
      <c r="K185" s="1268"/>
      <c r="L185" s="1268"/>
      <c r="M185" s="961">
        <v>20</v>
      </c>
      <c r="N185" s="997" t="s">
        <v>1538</v>
      </c>
      <c r="O185" s="1269"/>
      <c r="P185" s="1269"/>
      <c r="Q185" s="1269"/>
      <c r="R185" s="1269"/>
      <c r="S185" s="1269"/>
      <c r="T185" s="1269"/>
      <c r="U185" s="57">
        <v>22</v>
      </c>
      <c r="V185" s="1262" t="s">
        <v>266</v>
      </c>
      <c r="W185" s="1098">
        <v>2201</v>
      </c>
      <c r="X185" s="819" t="s">
        <v>152</v>
      </c>
      <c r="Y185" s="1250" t="s">
        <v>2291</v>
      </c>
      <c r="Z185" s="702" t="s">
        <v>2290</v>
      </c>
      <c r="AA185" s="792">
        <v>2201032</v>
      </c>
      <c r="AB185" s="842" t="s">
        <v>676</v>
      </c>
      <c r="AC185" s="1096" t="s">
        <v>633</v>
      </c>
      <c r="AD185" s="842" t="s">
        <v>663</v>
      </c>
      <c r="AE185" s="872">
        <v>92310</v>
      </c>
      <c r="AF185" s="873" t="s">
        <v>1806</v>
      </c>
      <c r="AG185" s="1092"/>
      <c r="AH185" s="873" t="str">
        <f>CONCATENATE(E185,".",AA185,".",AE185)</f>
        <v>2.3.2.02.02.009..2201032.92310</v>
      </c>
    </row>
    <row r="186" spans="1:114" s="4" customFormat="1" ht="91.5" hidden="1" customHeight="1" x14ac:dyDescent="0.2">
      <c r="A186" s="1098">
        <v>314</v>
      </c>
      <c r="B186" s="990" t="s">
        <v>266</v>
      </c>
      <c r="C186" s="792">
        <v>1</v>
      </c>
      <c r="D186" s="702" t="s">
        <v>1412</v>
      </c>
      <c r="E186" s="1000" t="s">
        <v>1540</v>
      </c>
      <c r="F186" s="792">
        <v>6</v>
      </c>
      <c r="G186" s="792" t="s">
        <v>1395</v>
      </c>
      <c r="H186" s="992" t="s">
        <v>1537</v>
      </c>
      <c r="I186" s="1183">
        <v>1458778.8073176527</v>
      </c>
      <c r="J186" s="1268"/>
      <c r="K186" s="1268"/>
      <c r="L186" s="1268"/>
      <c r="M186" s="961">
        <v>20</v>
      </c>
      <c r="N186" s="997" t="s">
        <v>1538</v>
      </c>
      <c r="O186" s="1269"/>
      <c r="P186" s="1269"/>
      <c r="Q186" s="1269"/>
      <c r="R186" s="1269"/>
      <c r="S186" s="1269"/>
      <c r="T186" s="1269"/>
      <c r="U186" s="57">
        <v>22</v>
      </c>
      <c r="V186" s="1262" t="s">
        <v>266</v>
      </c>
      <c r="W186" s="1098">
        <v>2201</v>
      </c>
      <c r="X186" s="819" t="s">
        <v>152</v>
      </c>
      <c r="Y186" s="1250" t="s">
        <v>2291</v>
      </c>
      <c r="Z186" s="702" t="s">
        <v>2290</v>
      </c>
      <c r="AA186" s="792">
        <v>2201032</v>
      </c>
      <c r="AB186" s="842" t="s">
        <v>676</v>
      </c>
      <c r="AC186" s="1096" t="s">
        <v>633</v>
      </c>
      <c r="AD186" s="842" t="s">
        <v>663</v>
      </c>
      <c r="AE186" s="872">
        <v>92330</v>
      </c>
      <c r="AF186" s="873" t="s">
        <v>1807</v>
      </c>
      <c r="AG186" s="1092"/>
      <c r="AH186" s="873" t="str">
        <f>CONCATENATE(E186,".",AA186,".",AE186)</f>
        <v>2.3.2.02.02.009..2201032.92330</v>
      </c>
    </row>
    <row r="187" spans="1:114" ht="89.25" hidden="1" customHeight="1" x14ac:dyDescent="0.2">
      <c r="A187" s="820">
        <v>314</v>
      </c>
      <c r="B187" s="868" t="s">
        <v>266</v>
      </c>
      <c r="C187" s="793">
        <v>1</v>
      </c>
      <c r="D187" s="791" t="s">
        <v>1412</v>
      </c>
      <c r="E187" s="830" t="s">
        <v>1540</v>
      </c>
      <c r="F187" s="793">
        <v>6</v>
      </c>
      <c r="G187" s="793" t="s">
        <v>1395</v>
      </c>
      <c r="H187" s="860" t="s">
        <v>1537</v>
      </c>
      <c r="I187" s="1183">
        <v>16611229.904173596</v>
      </c>
      <c r="J187" s="1086"/>
      <c r="K187" s="1086"/>
      <c r="L187" s="1086"/>
      <c r="M187" s="961">
        <v>20</v>
      </c>
      <c r="N187" s="1177" t="s">
        <v>1538</v>
      </c>
      <c r="O187" s="1087"/>
      <c r="P187" s="1087"/>
      <c r="Q187" s="1087"/>
      <c r="R187" s="1087"/>
      <c r="S187" s="1087"/>
      <c r="T187" s="1087"/>
      <c r="U187" s="1088">
        <v>22</v>
      </c>
      <c r="V187" s="1089" t="s">
        <v>266</v>
      </c>
      <c r="W187" s="820">
        <v>2201</v>
      </c>
      <c r="X187" s="857" t="s">
        <v>152</v>
      </c>
      <c r="Y187" s="1250" t="s">
        <v>2292</v>
      </c>
      <c r="Z187" s="791" t="s">
        <v>2288</v>
      </c>
      <c r="AA187" s="792">
        <v>2201028</v>
      </c>
      <c r="AB187" s="713" t="s">
        <v>642</v>
      </c>
      <c r="AC187" s="1271" t="s">
        <v>633</v>
      </c>
      <c r="AD187" s="713" t="s">
        <v>634</v>
      </c>
      <c r="AE187" s="872">
        <v>92102</v>
      </c>
      <c r="AF187" s="873" t="s">
        <v>1804</v>
      </c>
      <c r="AG187" s="1090"/>
      <c r="AH187" s="873" t="str">
        <f t="shared" si="6"/>
        <v>2.3.2.02.02.009..2201028.92102</v>
      </c>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row>
    <row r="188" spans="1:114" ht="96.75" hidden="1" customHeight="1" x14ac:dyDescent="0.2">
      <c r="A188" s="820">
        <v>314</v>
      </c>
      <c r="B188" s="868" t="s">
        <v>266</v>
      </c>
      <c r="C188" s="793">
        <v>1</v>
      </c>
      <c r="D188" s="791" t="s">
        <v>1412</v>
      </c>
      <c r="E188" s="830" t="s">
        <v>1540</v>
      </c>
      <c r="F188" s="793">
        <v>6</v>
      </c>
      <c r="G188" s="793" t="s">
        <v>1395</v>
      </c>
      <c r="H188" s="860" t="s">
        <v>1537</v>
      </c>
      <c r="I188" s="1183">
        <v>103151975.92460601</v>
      </c>
      <c r="J188" s="1086"/>
      <c r="K188" s="1086"/>
      <c r="L188" s="1086"/>
      <c r="M188" s="961">
        <v>20</v>
      </c>
      <c r="N188" s="1177" t="s">
        <v>1538</v>
      </c>
      <c r="O188" s="1087"/>
      <c r="P188" s="1087"/>
      <c r="Q188" s="1087"/>
      <c r="R188" s="1087"/>
      <c r="S188" s="1087"/>
      <c r="T188" s="1087"/>
      <c r="U188" s="1088">
        <v>22</v>
      </c>
      <c r="V188" s="1089" t="s">
        <v>266</v>
      </c>
      <c r="W188" s="820">
        <v>2201</v>
      </c>
      <c r="X188" s="857" t="s">
        <v>152</v>
      </c>
      <c r="Y188" s="1250" t="s">
        <v>2292</v>
      </c>
      <c r="Z188" s="791" t="s">
        <v>2288</v>
      </c>
      <c r="AA188" s="792">
        <v>2201028</v>
      </c>
      <c r="AB188" s="713" t="s">
        <v>642</v>
      </c>
      <c r="AC188" s="1271" t="s">
        <v>633</v>
      </c>
      <c r="AD188" s="713" t="s">
        <v>634</v>
      </c>
      <c r="AE188" s="872">
        <v>92200</v>
      </c>
      <c r="AF188" s="873" t="s">
        <v>1805</v>
      </c>
      <c r="AG188" s="1090"/>
      <c r="AH188" s="873" t="str">
        <f t="shared" si="6"/>
        <v>2.3.2.02.02.009..2201028.92200</v>
      </c>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row>
    <row r="189" spans="1:114" ht="78" hidden="1" customHeight="1" x14ac:dyDescent="0.2">
      <c r="A189" s="820">
        <v>314</v>
      </c>
      <c r="B189" s="868" t="s">
        <v>266</v>
      </c>
      <c r="C189" s="793">
        <v>1</v>
      </c>
      <c r="D189" s="791" t="s">
        <v>1412</v>
      </c>
      <c r="E189" s="830" t="s">
        <v>1540</v>
      </c>
      <c r="F189" s="793">
        <v>6</v>
      </c>
      <c r="G189" s="793" t="s">
        <v>1395</v>
      </c>
      <c r="H189" s="860" t="s">
        <v>1537</v>
      </c>
      <c r="I189" s="1183">
        <v>93767323.988279089</v>
      </c>
      <c r="J189" s="1086"/>
      <c r="K189" s="1086"/>
      <c r="L189" s="1086"/>
      <c r="M189" s="961">
        <v>20</v>
      </c>
      <c r="N189" s="1177" t="s">
        <v>1538</v>
      </c>
      <c r="O189" s="1087"/>
      <c r="P189" s="1087"/>
      <c r="Q189" s="1087"/>
      <c r="R189" s="1087"/>
      <c r="S189" s="1087"/>
      <c r="T189" s="1087"/>
      <c r="U189" s="1088">
        <v>22</v>
      </c>
      <c r="V189" s="1089" t="s">
        <v>266</v>
      </c>
      <c r="W189" s="820">
        <v>2201</v>
      </c>
      <c r="X189" s="857" t="s">
        <v>152</v>
      </c>
      <c r="Y189" s="1250" t="s">
        <v>2292</v>
      </c>
      <c r="Z189" s="791" t="s">
        <v>2288</v>
      </c>
      <c r="AA189" s="792">
        <v>2201028</v>
      </c>
      <c r="AB189" s="713" t="s">
        <v>642</v>
      </c>
      <c r="AC189" s="1271" t="s">
        <v>633</v>
      </c>
      <c r="AD189" s="713" t="s">
        <v>634</v>
      </c>
      <c r="AE189" s="872">
        <v>92310</v>
      </c>
      <c r="AF189" s="873" t="s">
        <v>1806</v>
      </c>
      <c r="AG189" s="1090"/>
      <c r="AH189" s="873" t="str">
        <f t="shared" si="6"/>
        <v>2.3.2.02.02.009..2201028.92310</v>
      </c>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row>
    <row r="190" spans="1:114" ht="55.5" hidden="1" customHeight="1" x14ac:dyDescent="0.2">
      <c r="A190" s="820">
        <v>314</v>
      </c>
      <c r="B190" s="868" t="s">
        <v>266</v>
      </c>
      <c r="C190" s="793">
        <v>1</v>
      </c>
      <c r="D190" s="791" t="s">
        <v>1412</v>
      </c>
      <c r="E190" s="830" t="s">
        <v>1540</v>
      </c>
      <c r="F190" s="793">
        <v>6</v>
      </c>
      <c r="G190" s="793" t="s">
        <v>1395</v>
      </c>
      <c r="H190" s="860" t="s">
        <v>1537</v>
      </c>
      <c r="I190" s="1183">
        <v>36469470.182941318</v>
      </c>
      <c r="J190" s="1086"/>
      <c r="K190" s="1086"/>
      <c r="L190" s="1086"/>
      <c r="M190" s="961">
        <v>20</v>
      </c>
      <c r="N190" s="1177" t="s">
        <v>1538</v>
      </c>
      <c r="O190" s="1087"/>
      <c r="P190" s="1087"/>
      <c r="Q190" s="1087"/>
      <c r="R190" s="1087"/>
      <c r="S190" s="1087"/>
      <c r="T190" s="1087"/>
      <c r="U190" s="1088">
        <v>22</v>
      </c>
      <c r="V190" s="1089" t="s">
        <v>266</v>
      </c>
      <c r="W190" s="820">
        <v>2201</v>
      </c>
      <c r="X190" s="857" t="s">
        <v>152</v>
      </c>
      <c r="Y190" s="1250" t="s">
        <v>2292</v>
      </c>
      <c r="Z190" s="791" t="s">
        <v>2288</v>
      </c>
      <c r="AA190" s="792">
        <v>2201028</v>
      </c>
      <c r="AB190" s="713" t="s">
        <v>642</v>
      </c>
      <c r="AC190" s="1271" t="s">
        <v>633</v>
      </c>
      <c r="AD190" s="713" t="s">
        <v>634</v>
      </c>
      <c r="AE190" s="872">
        <v>92330</v>
      </c>
      <c r="AF190" s="873" t="s">
        <v>1807</v>
      </c>
      <c r="AG190" s="1090"/>
      <c r="AH190" s="873" t="str">
        <f t="shared" si="6"/>
        <v>2.3.2.02.02.009..2201028.92330</v>
      </c>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row>
    <row r="191" spans="1:114" ht="195.75" hidden="1" customHeight="1" x14ac:dyDescent="0.2">
      <c r="A191" s="820">
        <v>314</v>
      </c>
      <c r="B191" s="868" t="s">
        <v>266</v>
      </c>
      <c r="C191" s="793">
        <v>1</v>
      </c>
      <c r="D191" s="791" t="s">
        <v>1412</v>
      </c>
      <c r="E191" s="1000" t="s">
        <v>1591</v>
      </c>
      <c r="F191" s="792">
        <v>6</v>
      </c>
      <c r="G191" s="792" t="s">
        <v>1395</v>
      </c>
      <c r="H191" s="791" t="s">
        <v>1598</v>
      </c>
      <c r="I191" s="1183">
        <f>12990000000-150000000</f>
        <v>12840000000</v>
      </c>
      <c r="J191" s="1086"/>
      <c r="K191" s="1086"/>
      <c r="L191" s="1086"/>
      <c r="M191" s="961">
        <v>81</v>
      </c>
      <c r="N191" s="997" t="s">
        <v>1810</v>
      </c>
      <c r="O191" s="1087"/>
      <c r="P191" s="1087"/>
      <c r="Q191" s="1087"/>
      <c r="R191" s="1087"/>
      <c r="S191" s="1087"/>
      <c r="T191" s="1087"/>
      <c r="U191" s="1088">
        <v>22</v>
      </c>
      <c r="V191" s="1089" t="s">
        <v>266</v>
      </c>
      <c r="W191" s="820">
        <v>2201</v>
      </c>
      <c r="X191" s="857" t="s">
        <v>152</v>
      </c>
      <c r="Y191" s="1250" t="s">
        <v>2292</v>
      </c>
      <c r="Z191" s="791" t="s">
        <v>2288</v>
      </c>
      <c r="AA191" s="792">
        <v>2201028</v>
      </c>
      <c r="AB191" s="842" t="s">
        <v>642</v>
      </c>
      <c r="AC191" s="1271" t="s">
        <v>633</v>
      </c>
      <c r="AD191" s="713" t="s">
        <v>634</v>
      </c>
      <c r="AE191" s="872">
        <v>63320</v>
      </c>
      <c r="AF191" s="873" t="s">
        <v>1948</v>
      </c>
      <c r="AG191" s="1090"/>
      <c r="AH191" s="873" t="str">
        <f t="shared" si="6"/>
        <v>2.3.2.02.02.006..2201028.63320</v>
      </c>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row>
    <row r="192" spans="1:114" ht="145.5" hidden="1" customHeight="1" x14ac:dyDescent="0.2">
      <c r="A192" s="820">
        <v>314</v>
      </c>
      <c r="B192" s="868" t="s">
        <v>266</v>
      </c>
      <c r="C192" s="793">
        <v>1</v>
      </c>
      <c r="D192" s="791" t="s">
        <v>1412</v>
      </c>
      <c r="E192" s="1000" t="s">
        <v>1591</v>
      </c>
      <c r="F192" s="792">
        <v>6</v>
      </c>
      <c r="G192" s="792" t="s">
        <v>1395</v>
      </c>
      <c r="H192" s="791" t="s">
        <v>1598</v>
      </c>
      <c r="I192" s="1183">
        <v>150000000</v>
      </c>
      <c r="J192" s="1086"/>
      <c r="K192" s="1086"/>
      <c r="L192" s="1086"/>
      <c r="M192" s="961">
        <v>21</v>
      </c>
      <c r="N192" s="997" t="s">
        <v>1949</v>
      </c>
      <c r="O192" s="1087"/>
      <c r="P192" s="1087"/>
      <c r="Q192" s="1087"/>
      <c r="R192" s="1087"/>
      <c r="S192" s="1087"/>
      <c r="T192" s="1087"/>
      <c r="U192" s="1088">
        <v>22</v>
      </c>
      <c r="V192" s="1089" t="s">
        <v>266</v>
      </c>
      <c r="W192" s="820">
        <v>2201</v>
      </c>
      <c r="X192" s="857" t="s">
        <v>152</v>
      </c>
      <c r="Y192" s="1250" t="s">
        <v>2292</v>
      </c>
      <c r="Z192" s="791" t="s">
        <v>2288</v>
      </c>
      <c r="AA192" s="792">
        <v>2201028</v>
      </c>
      <c r="AB192" s="842" t="s">
        <v>642</v>
      </c>
      <c r="AC192" s="1271" t="s">
        <v>633</v>
      </c>
      <c r="AD192" s="713" t="s">
        <v>634</v>
      </c>
      <c r="AE192" s="872">
        <v>63320</v>
      </c>
      <c r="AF192" s="873" t="s">
        <v>1948</v>
      </c>
      <c r="AG192" s="1090"/>
      <c r="AH192" s="873" t="str">
        <f t="shared" si="6"/>
        <v>2.3.2.02.02.006..2201028.63320</v>
      </c>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row>
    <row r="193" spans="1:114" ht="133.5" hidden="1" customHeight="1" x14ac:dyDescent="0.2">
      <c r="A193" s="820">
        <v>314</v>
      </c>
      <c r="B193" s="868" t="s">
        <v>266</v>
      </c>
      <c r="C193" s="793">
        <v>1</v>
      </c>
      <c r="D193" s="791" t="s">
        <v>1412</v>
      </c>
      <c r="E193" s="1000" t="s">
        <v>1591</v>
      </c>
      <c r="F193" s="792">
        <v>6</v>
      </c>
      <c r="G193" s="792" t="s">
        <v>1395</v>
      </c>
      <c r="H193" s="992" t="s">
        <v>1598</v>
      </c>
      <c r="I193" s="1183">
        <f>273600000+106400000</f>
        <v>380000000</v>
      </c>
      <c r="J193" s="1086"/>
      <c r="K193" s="1086"/>
      <c r="L193" s="1086"/>
      <c r="M193" s="961">
        <v>20</v>
      </c>
      <c r="N193" s="997" t="s">
        <v>1538</v>
      </c>
      <c r="O193" s="1087"/>
      <c r="P193" s="1087"/>
      <c r="Q193" s="1087"/>
      <c r="R193" s="1087"/>
      <c r="S193" s="1087"/>
      <c r="T193" s="1087"/>
      <c r="U193" s="1088">
        <v>22</v>
      </c>
      <c r="V193" s="1089" t="s">
        <v>266</v>
      </c>
      <c r="W193" s="820">
        <v>2201</v>
      </c>
      <c r="X193" s="857" t="s">
        <v>152</v>
      </c>
      <c r="Y193" s="1250" t="s">
        <v>2292</v>
      </c>
      <c r="Z193" s="791" t="s">
        <v>2288</v>
      </c>
      <c r="AA193" s="792">
        <v>2201029</v>
      </c>
      <c r="AB193" s="842" t="s">
        <v>644</v>
      </c>
      <c r="AC193" s="1271" t="s">
        <v>633</v>
      </c>
      <c r="AD193" s="713" t="s">
        <v>634</v>
      </c>
      <c r="AE193" s="872">
        <v>64114</v>
      </c>
      <c r="AF193" s="873" t="s">
        <v>1953</v>
      </c>
      <c r="AG193" s="1090"/>
      <c r="AH193" s="873" t="str">
        <f t="shared" si="6"/>
        <v>2.3.2.02.02.006..2201029.64114</v>
      </c>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row>
    <row r="194" spans="1:114" ht="99.75" hidden="1" customHeight="1" x14ac:dyDescent="0.2">
      <c r="A194" s="820">
        <v>314</v>
      </c>
      <c r="B194" s="868" t="s">
        <v>266</v>
      </c>
      <c r="C194" s="793">
        <v>1</v>
      </c>
      <c r="D194" s="791" t="s">
        <v>1412</v>
      </c>
      <c r="E194" s="1448" t="s">
        <v>1545</v>
      </c>
      <c r="F194" s="930">
        <v>6</v>
      </c>
      <c r="G194" s="930" t="s">
        <v>1395</v>
      </c>
      <c r="H194" s="1465" t="s">
        <v>1547</v>
      </c>
      <c r="I194" s="1466">
        <v>30000000</v>
      </c>
      <c r="J194" s="1086"/>
      <c r="K194" s="1086"/>
      <c r="L194" s="1086"/>
      <c r="M194" s="1015">
        <v>20</v>
      </c>
      <c r="N194" s="1467" t="s">
        <v>1538</v>
      </c>
      <c r="O194" s="1087"/>
      <c r="P194" s="1087"/>
      <c r="Q194" s="1087"/>
      <c r="R194" s="1087"/>
      <c r="S194" s="1087"/>
      <c r="T194" s="1087"/>
      <c r="U194" s="1088">
        <v>22</v>
      </c>
      <c r="V194" s="1089" t="s">
        <v>266</v>
      </c>
      <c r="W194" s="820">
        <v>2201</v>
      </c>
      <c r="X194" s="857" t="s">
        <v>152</v>
      </c>
      <c r="Y194" s="1250" t="s">
        <v>2294</v>
      </c>
      <c r="Z194" s="791" t="s">
        <v>2293</v>
      </c>
      <c r="AA194" s="930">
        <v>2201062</v>
      </c>
      <c r="AB194" s="1007" t="s">
        <v>1811</v>
      </c>
      <c r="AC194" s="1271" t="s">
        <v>633</v>
      </c>
      <c r="AD194" s="713" t="s">
        <v>634</v>
      </c>
      <c r="AE194" s="1464" t="s">
        <v>1554</v>
      </c>
      <c r="AF194" s="1429" t="s">
        <v>1546</v>
      </c>
      <c r="AG194" s="1090"/>
      <c r="AH194" s="873" t="str">
        <f t="shared" si="6"/>
        <v>2.3.2.02.02.005..2201062.54129.</v>
      </c>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row>
    <row r="195" spans="1:114" ht="117.75" hidden="1" customHeight="1" x14ac:dyDescent="0.2">
      <c r="A195" s="820">
        <v>314</v>
      </c>
      <c r="B195" s="868" t="s">
        <v>266</v>
      </c>
      <c r="C195" s="793">
        <v>1</v>
      </c>
      <c r="D195" s="791" t="s">
        <v>1412</v>
      </c>
      <c r="E195" s="1000" t="s">
        <v>1540</v>
      </c>
      <c r="F195" s="792">
        <v>6</v>
      </c>
      <c r="G195" s="792" t="s">
        <v>1395</v>
      </c>
      <c r="H195" s="992" t="s">
        <v>1537</v>
      </c>
      <c r="I195" s="1183">
        <v>30000000</v>
      </c>
      <c r="J195" s="1086"/>
      <c r="K195" s="1086"/>
      <c r="L195" s="1086"/>
      <c r="M195" s="961">
        <v>20</v>
      </c>
      <c r="N195" s="997" t="s">
        <v>1538</v>
      </c>
      <c r="O195" s="1087"/>
      <c r="P195" s="1087"/>
      <c r="Q195" s="1087"/>
      <c r="R195" s="1087"/>
      <c r="S195" s="1087"/>
      <c r="T195" s="1087"/>
      <c r="U195" s="57">
        <v>22</v>
      </c>
      <c r="V195" s="1262" t="s">
        <v>266</v>
      </c>
      <c r="W195" s="1098">
        <v>2201</v>
      </c>
      <c r="X195" s="819" t="s">
        <v>152</v>
      </c>
      <c r="Y195" s="1250" t="s">
        <v>2294</v>
      </c>
      <c r="Z195" s="702" t="s">
        <v>2293</v>
      </c>
      <c r="AA195" s="792">
        <v>2201063</v>
      </c>
      <c r="AB195" s="842" t="s">
        <v>646</v>
      </c>
      <c r="AC195" s="1096" t="s">
        <v>633</v>
      </c>
      <c r="AD195" s="842" t="s">
        <v>634</v>
      </c>
      <c r="AE195" s="1464">
        <v>91121</v>
      </c>
      <c r="AF195" s="1473" t="s">
        <v>1892</v>
      </c>
      <c r="AG195" s="1090"/>
      <c r="AH195" s="873" t="str">
        <f t="shared" si="6"/>
        <v>2.3.2.02.02.009..2201063.91121</v>
      </c>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row>
    <row r="196" spans="1:114" ht="127.5" hidden="1" customHeight="1" x14ac:dyDescent="0.2">
      <c r="A196" s="820">
        <v>314</v>
      </c>
      <c r="B196" s="868" t="s">
        <v>266</v>
      </c>
      <c r="C196" s="793">
        <v>1</v>
      </c>
      <c r="D196" s="791" t="s">
        <v>1412</v>
      </c>
      <c r="E196" s="1151" t="s">
        <v>1540</v>
      </c>
      <c r="F196" s="786">
        <v>6</v>
      </c>
      <c r="G196" s="786" t="s">
        <v>1395</v>
      </c>
      <c r="H196" s="992" t="s">
        <v>1537</v>
      </c>
      <c r="I196" s="1183">
        <v>1827235.2894590956</v>
      </c>
      <c r="J196" s="1086"/>
      <c r="K196" s="1086"/>
      <c r="L196" s="1086"/>
      <c r="M196" s="955">
        <v>25</v>
      </c>
      <c r="N196" s="1072" t="s">
        <v>1808</v>
      </c>
      <c r="O196" s="1087"/>
      <c r="P196" s="1087"/>
      <c r="Q196" s="1087"/>
      <c r="R196" s="1087"/>
      <c r="S196" s="1087"/>
      <c r="T196" s="1087"/>
      <c r="U196" s="1088">
        <v>22</v>
      </c>
      <c r="V196" s="1089" t="s">
        <v>266</v>
      </c>
      <c r="W196" s="820">
        <v>2201</v>
      </c>
      <c r="X196" s="857" t="s">
        <v>152</v>
      </c>
      <c r="Y196" s="1250" t="s">
        <v>2299</v>
      </c>
      <c r="Z196" s="791" t="s">
        <v>2298</v>
      </c>
      <c r="AA196" s="786">
        <v>2201055</v>
      </c>
      <c r="AB196" s="1188" t="s">
        <v>670</v>
      </c>
      <c r="AC196" s="1271" t="s">
        <v>633</v>
      </c>
      <c r="AD196" s="842" t="s">
        <v>634</v>
      </c>
      <c r="AE196" s="1413">
        <v>92102</v>
      </c>
      <c r="AF196" s="959" t="s">
        <v>1804</v>
      </c>
      <c r="AG196" s="1092"/>
      <c r="AH196" s="873" t="str">
        <f>CONCATENATE(E196,".",AA196,".",AE196)</f>
        <v>2.3.2.02.02.009..2201055.92102</v>
      </c>
      <c r="AI196" s="1"/>
      <c r="AK196" s="1474" t="s">
        <v>2322</v>
      </c>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row>
    <row r="197" spans="1:114" s="4" customFormat="1" ht="103.5" hidden="1" customHeight="1" x14ac:dyDescent="0.2">
      <c r="A197" s="1098">
        <v>314</v>
      </c>
      <c r="B197" s="990" t="s">
        <v>266</v>
      </c>
      <c r="C197" s="792">
        <v>1</v>
      </c>
      <c r="D197" s="702" t="s">
        <v>1412</v>
      </c>
      <c r="E197" s="1151" t="s">
        <v>1540</v>
      </c>
      <c r="F197" s="786">
        <v>6</v>
      </c>
      <c r="G197" s="786" t="s">
        <v>1395</v>
      </c>
      <c r="H197" s="992" t="s">
        <v>1537</v>
      </c>
      <c r="I197" s="1183">
        <v>11346717.351706661</v>
      </c>
      <c r="J197" s="1268"/>
      <c r="K197" s="1268"/>
      <c r="L197" s="1268"/>
      <c r="M197" s="955">
        <v>25</v>
      </c>
      <c r="N197" s="1072" t="s">
        <v>1808</v>
      </c>
      <c r="O197" s="1269"/>
      <c r="P197" s="1269"/>
      <c r="Q197" s="1269"/>
      <c r="R197" s="1269"/>
      <c r="S197" s="1269"/>
      <c r="T197" s="1269"/>
      <c r="U197" s="57">
        <v>22</v>
      </c>
      <c r="V197" s="1262" t="s">
        <v>266</v>
      </c>
      <c r="W197" s="1098">
        <v>2201</v>
      </c>
      <c r="X197" s="819" t="s">
        <v>152</v>
      </c>
      <c r="Y197" s="1250" t="s">
        <v>2296</v>
      </c>
      <c r="Z197" s="702" t="s">
        <v>2295</v>
      </c>
      <c r="AA197" s="786">
        <v>2201055</v>
      </c>
      <c r="AB197" s="1188" t="s">
        <v>670</v>
      </c>
      <c r="AC197" s="1096" t="s">
        <v>633</v>
      </c>
      <c r="AD197" s="842" t="s">
        <v>634</v>
      </c>
      <c r="AE197" s="1413">
        <v>92200</v>
      </c>
      <c r="AF197" s="959" t="s">
        <v>1805</v>
      </c>
      <c r="AG197" s="1092"/>
      <c r="AH197" s="873" t="str">
        <f t="shared" ref="AH197:AH203" si="7">CONCATENATE(E197,".",AA197,".",AE197)</f>
        <v>2.3.2.02.02.009..2201055.92200</v>
      </c>
      <c r="AK197" s="1474" t="s">
        <v>2322</v>
      </c>
    </row>
    <row r="198" spans="1:114" s="4" customFormat="1" ht="103.5" hidden="1" customHeight="1" x14ac:dyDescent="0.2">
      <c r="A198" s="1098">
        <v>314</v>
      </c>
      <c r="B198" s="990" t="s">
        <v>266</v>
      </c>
      <c r="C198" s="792">
        <v>1</v>
      </c>
      <c r="D198" s="702" t="s">
        <v>1412</v>
      </c>
      <c r="E198" s="1243" t="s">
        <v>1540</v>
      </c>
      <c r="F198" s="1241">
        <v>6</v>
      </c>
      <c r="G198" s="1241" t="s">
        <v>1395</v>
      </c>
      <c r="H198" s="992" t="s">
        <v>1537</v>
      </c>
      <c r="I198" s="1183">
        <v>10314405.6387107</v>
      </c>
      <c r="J198" s="1268"/>
      <c r="K198" s="1268"/>
      <c r="L198" s="1268"/>
      <c r="M198" s="1247">
        <v>25</v>
      </c>
      <c r="N198" s="1248" t="s">
        <v>1808</v>
      </c>
      <c r="O198" s="1269"/>
      <c r="P198" s="1269"/>
      <c r="Q198" s="1269"/>
      <c r="R198" s="1269"/>
      <c r="S198" s="1269"/>
      <c r="T198" s="1269"/>
      <c r="U198" s="57">
        <v>22</v>
      </c>
      <c r="V198" s="1262" t="s">
        <v>266</v>
      </c>
      <c r="W198" s="1098">
        <v>2201</v>
      </c>
      <c r="X198" s="819" t="s">
        <v>152</v>
      </c>
      <c r="Y198" s="1250" t="s">
        <v>2296</v>
      </c>
      <c r="Z198" s="702" t="s">
        <v>1434</v>
      </c>
      <c r="AA198" s="1241">
        <v>2201055</v>
      </c>
      <c r="AB198" s="1242" t="s">
        <v>670</v>
      </c>
      <c r="AC198" s="1096" t="s">
        <v>633</v>
      </c>
      <c r="AD198" s="842" t="s">
        <v>634</v>
      </c>
      <c r="AE198" s="1217">
        <v>92310</v>
      </c>
      <c r="AF198" s="1403" t="s">
        <v>1806</v>
      </c>
      <c r="AG198" s="1092"/>
      <c r="AH198" s="873" t="str">
        <f t="shared" si="7"/>
        <v>2.3.2.02.02.009..2201055.92310</v>
      </c>
    </row>
    <row r="199" spans="1:114" s="4" customFormat="1" ht="103.5" hidden="1" customHeight="1" x14ac:dyDescent="0.2">
      <c r="A199" s="1098">
        <v>314</v>
      </c>
      <c r="B199" s="990" t="s">
        <v>266</v>
      </c>
      <c r="C199" s="792">
        <v>1</v>
      </c>
      <c r="D199" s="702" t="s">
        <v>1412</v>
      </c>
      <c r="E199" s="1243" t="s">
        <v>1540</v>
      </c>
      <c r="F199" s="1241">
        <v>6</v>
      </c>
      <c r="G199" s="1241" t="s">
        <v>1395</v>
      </c>
      <c r="H199" s="992" t="s">
        <v>1537</v>
      </c>
      <c r="I199" s="1183">
        <v>4011641.7201235453</v>
      </c>
      <c r="J199" s="1268"/>
      <c r="K199" s="1268"/>
      <c r="L199" s="1268"/>
      <c r="M199" s="1247">
        <v>25</v>
      </c>
      <c r="N199" s="1248" t="s">
        <v>1808</v>
      </c>
      <c r="O199" s="1269"/>
      <c r="P199" s="1269"/>
      <c r="Q199" s="1269"/>
      <c r="R199" s="1269"/>
      <c r="S199" s="1269"/>
      <c r="T199" s="1269"/>
      <c r="U199" s="57">
        <v>22</v>
      </c>
      <c r="V199" s="1262" t="s">
        <v>266</v>
      </c>
      <c r="W199" s="1098">
        <v>2201</v>
      </c>
      <c r="X199" s="819" t="s">
        <v>152</v>
      </c>
      <c r="Y199" s="1250" t="s">
        <v>2296</v>
      </c>
      <c r="Z199" s="702" t="s">
        <v>1434</v>
      </c>
      <c r="AA199" s="1241">
        <v>2201055</v>
      </c>
      <c r="AB199" s="1242" t="s">
        <v>670</v>
      </c>
      <c r="AC199" s="1096" t="s">
        <v>633</v>
      </c>
      <c r="AD199" s="842" t="s">
        <v>634</v>
      </c>
      <c r="AE199" s="1217">
        <v>92330</v>
      </c>
      <c r="AF199" s="1403" t="s">
        <v>1807</v>
      </c>
      <c r="AG199" s="1092"/>
      <c r="AH199" s="873" t="str">
        <f t="shared" si="7"/>
        <v>2.3.2.02.02.009..2201055.92330</v>
      </c>
    </row>
    <row r="200" spans="1:114" s="4" customFormat="1" ht="78" hidden="1" customHeight="1" x14ac:dyDescent="0.2">
      <c r="A200" s="1098">
        <v>314</v>
      </c>
      <c r="B200" s="990" t="s">
        <v>266</v>
      </c>
      <c r="C200" s="792">
        <v>1</v>
      </c>
      <c r="D200" s="702" t="s">
        <v>1412</v>
      </c>
      <c r="E200" s="1000" t="s">
        <v>1540</v>
      </c>
      <c r="F200" s="792">
        <v>6</v>
      </c>
      <c r="G200" s="792" t="s">
        <v>1395</v>
      </c>
      <c r="H200" s="992" t="s">
        <v>1537</v>
      </c>
      <c r="I200" s="1183">
        <v>664449.19616694376</v>
      </c>
      <c r="J200" s="1268"/>
      <c r="K200" s="1268"/>
      <c r="L200" s="1268"/>
      <c r="M200" s="961">
        <v>20</v>
      </c>
      <c r="N200" s="997" t="s">
        <v>1538</v>
      </c>
      <c r="O200" s="1269"/>
      <c r="P200" s="1269"/>
      <c r="Q200" s="1269"/>
      <c r="R200" s="1269"/>
      <c r="S200" s="1269"/>
      <c r="T200" s="1269"/>
      <c r="U200" s="57">
        <v>22</v>
      </c>
      <c r="V200" s="1262" t="s">
        <v>266</v>
      </c>
      <c r="W200" s="1098">
        <v>2201</v>
      </c>
      <c r="X200" s="819" t="s">
        <v>152</v>
      </c>
      <c r="Y200" s="1250" t="s">
        <v>2296</v>
      </c>
      <c r="Z200" s="702" t="s">
        <v>1434</v>
      </c>
      <c r="AA200" s="792">
        <v>2201067</v>
      </c>
      <c r="AB200" s="842" t="s">
        <v>689</v>
      </c>
      <c r="AC200" s="1096" t="s">
        <v>633</v>
      </c>
      <c r="AD200" s="842" t="s">
        <v>634</v>
      </c>
      <c r="AE200" s="872">
        <v>92102</v>
      </c>
      <c r="AF200" s="873" t="s">
        <v>1804</v>
      </c>
      <c r="AG200" s="1092"/>
      <c r="AH200" s="873" t="str">
        <f t="shared" si="7"/>
        <v>2.3.2.02.02.009..2201067.92102</v>
      </c>
    </row>
    <row r="201" spans="1:114" s="4" customFormat="1" ht="78" hidden="1" customHeight="1" x14ac:dyDescent="0.2">
      <c r="A201" s="1098">
        <v>314</v>
      </c>
      <c r="B201" s="990" t="s">
        <v>266</v>
      </c>
      <c r="C201" s="792">
        <v>1</v>
      </c>
      <c r="D201" s="702" t="s">
        <v>1412</v>
      </c>
      <c r="E201" s="1000" t="s">
        <v>1540</v>
      </c>
      <c r="F201" s="792">
        <v>6</v>
      </c>
      <c r="G201" s="792" t="s">
        <v>1395</v>
      </c>
      <c r="H201" s="992" t="s">
        <v>1537</v>
      </c>
      <c r="I201" s="1183">
        <v>4126079.0369842402</v>
      </c>
      <c r="J201" s="1268"/>
      <c r="K201" s="1268"/>
      <c r="L201" s="1268"/>
      <c r="M201" s="961">
        <v>20</v>
      </c>
      <c r="N201" s="997" t="s">
        <v>1538</v>
      </c>
      <c r="O201" s="1269"/>
      <c r="P201" s="1269"/>
      <c r="Q201" s="1269"/>
      <c r="R201" s="1269"/>
      <c r="S201" s="1269"/>
      <c r="T201" s="1269"/>
      <c r="U201" s="57">
        <v>22</v>
      </c>
      <c r="V201" s="1262" t="s">
        <v>266</v>
      </c>
      <c r="W201" s="1098">
        <v>2201</v>
      </c>
      <c r="X201" s="819" t="s">
        <v>152</v>
      </c>
      <c r="Y201" s="1250" t="s">
        <v>2296</v>
      </c>
      <c r="Z201" s="702" t="s">
        <v>1434</v>
      </c>
      <c r="AA201" s="792">
        <v>2201067</v>
      </c>
      <c r="AB201" s="842" t="s">
        <v>689</v>
      </c>
      <c r="AC201" s="1096" t="s">
        <v>633</v>
      </c>
      <c r="AD201" s="842" t="s">
        <v>634</v>
      </c>
      <c r="AE201" s="872">
        <v>92200</v>
      </c>
      <c r="AF201" s="873" t="s">
        <v>1805</v>
      </c>
      <c r="AG201" s="1092"/>
      <c r="AH201" s="873" t="str">
        <f t="shared" si="7"/>
        <v>2.3.2.02.02.009..2201067.92200</v>
      </c>
    </row>
    <row r="202" spans="1:114" s="4" customFormat="1" ht="78" hidden="1" customHeight="1" x14ac:dyDescent="0.2">
      <c r="A202" s="1098">
        <v>314</v>
      </c>
      <c r="B202" s="990" t="s">
        <v>266</v>
      </c>
      <c r="C202" s="792">
        <v>1</v>
      </c>
      <c r="D202" s="702" t="s">
        <v>1412</v>
      </c>
      <c r="E202" s="1000" t="s">
        <v>1540</v>
      </c>
      <c r="F202" s="792">
        <v>6</v>
      </c>
      <c r="G202" s="792" t="s">
        <v>1395</v>
      </c>
      <c r="H202" s="992" t="s">
        <v>1537</v>
      </c>
      <c r="I202" s="1183">
        <v>3750692.9595311633</v>
      </c>
      <c r="J202" s="1268"/>
      <c r="K202" s="1268"/>
      <c r="L202" s="1268"/>
      <c r="M202" s="961">
        <v>20</v>
      </c>
      <c r="N202" s="997" t="s">
        <v>1538</v>
      </c>
      <c r="O202" s="1269"/>
      <c r="P202" s="1269"/>
      <c r="Q202" s="1269"/>
      <c r="R202" s="1269"/>
      <c r="S202" s="1269"/>
      <c r="T202" s="1269"/>
      <c r="U202" s="57">
        <v>22</v>
      </c>
      <c r="V202" s="1262" t="s">
        <v>266</v>
      </c>
      <c r="W202" s="1098">
        <v>2201</v>
      </c>
      <c r="X202" s="819" t="s">
        <v>152</v>
      </c>
      <c r="Y202" s="1250" t="s">
        <v>2296</v>
      </c>
      <c r="Z202" s="702" t="s">
        <v>1434</v>
      </c>
      <c r="AA202" s="792">
        <v>2201067</v>
      </c>
      <c r="AB202" s="842" t="s">
        <v>689</v>
      </c>
      <c r="AC202" s="1096" t="s">
        <v>633</v>
      </c>
      <c r="AD202" s="842" t="s">
        <v>634</v>
      </c>
      <c r="AE202" s="872">
        <v>92310</v>
      </c>
      <c r="AF202" s="873" t="s">
        <v>1806</v>
      </c>
      <c r="AG202" s="1092"/>
      <c r="AH202" s="873" t="str">
        <f t="shared" si="7"/>
        <v>2.3.2.02.02.009..2201067.92310</v>
      </c>
    </row>
    <row r="203" spans="1:114" s="4" customFormat="1" ht="78" hidden="1" customHeight="1" x14ac:dyDescent="0.2">
      <c r="A203" s="1098">
        <v>314</v>
      </c>
      <c r="B203" s="990" t="s">
        <v>266</v>
      </c>
      <c r="C203" s="792">
        <v>1</v>
      </c>
      <c r="D203" s="702" t="s">
        <v>1412</v>
      </c>
      <c r="E203" s="1000" t="s">
        <v>1540</v>
      </c>
      <c r="F203" s="792">
        <v>6</v>
      </c>
      <c r="G203" s="792" t="s">
        <v>1395</v>
      </c>
      <c r="H203" s="992" t="s">
        <v>1537</v>
      </c>
      <c r="I203" s="1183">
        <v>1458778.8073176527</v>
      </c>
      <c r="J203" s="1268"/>
      <c r="K203" s="1268"/>
      <c r="L203" s="1268"/>
      <c r="M203" s="961">
        <v>20</v>
      </c>
      <c r="N203" s="997" t="s">
        <v>1538</v>
      </c>
      <c r="O203" s="1269"/>
      <c r="P203" s="1269"/>
      <c r="Q203" s="1269"/>
      <c r="R203" s="1269"/>
      <c r="S203" s="1269"/>
      <c r="T203" s="1269"/>
      <c r="U203" s="57">
        <v>22</v>
      </c>
      <c r="V203" s="1262" t="s">
        <v>266</v>
      </c>
      <c r="W203" s="1098">
        <v>2201</v>
      </c>
      <c r="X203" s="819" t="s">
        <v>152</v>
      </c>
      <c r="Y203" s="1250" t="s">
        <v>2296</v>
      </c>
      <c r="Z203" s="702" t="s">
        <v>1434</v>
      </c>
      <c r="AA203" s="792">
        <v>2201067</v>
      </c>
      <c r="AB203" s="842" t="s">
        <v>689</v>
      </c>
      <c r="AC203" s="1096" t="s">
        <v>633</v>
      </c>
      <c r="AD203" s="842" t="s">
        <v>634</v>
      </c>
      <c r="AE203" s="872">
        <v>92330</v>
      </c>
      <c r="AF203" s="873" t="s">
        <v>1807</v>
      </c>
      <c r="AG203" s="1092"/>
      <c r="AH203" s="873" t="str">
        <f t="shared" si="7"/>
        <v>2.3.2.02.02.009..2201067.92330</v>
      </c>
    </row>
    <row r="204" spans="1:114" ht="64.5" hidden="1" customHeight="1" x14ac:dyDescent="0.2">
      <c r="A204" s="820">
        <v>314</v>
      </c>
      <c r="B204" s="868" t="s">
        <v>266</v>
      </c>
      <c r="C204" s="793">
        <v>1</v>
      </c>
      <c r="D204" s="791" t="s">
        <v>1412</v>
      </c>
      <c r="E204" s="1243" t="s">
        <v>1880</v>
      </c>
      <c r="F204" s="1241">
        <v>9</v>
      </c>
      <c r="G204" s="1241" t="s">
        <v>1395</v>
      </c>
      <c r="H204" s="1244" t="s">
        <v>1812</v>
      </c>
      <c r="I204" s="1183">
        <v>1328898.3923338875</v>
      </c>
      <c r="J204" s="1086"/>
      <c r="K204" s="1086"/>
      <c r="L204" s="1086"/>
      <c r="M204" s="1245">
        <v>20</v>
      </c>
      <c r="N204" s="997" t="s">
        <v>1538</v>
      </c>
      <c r="O204" s="1087"/>
      <c r="P204" s="1087"/>
      <c r="Q204" s="1087"/>
      <c r="R204" s="1087"/>
      <c r="S204" s="1087"/>
      <c r="T204" s="1087"/>
      <c r="U204" s="1088">
        <v>22</v>
      </c>
      <c r="V204" s="1089" t="s">
        <v>266</v>
      </c>
      <c r="W204" s="820">
        <v>2201</v>
      </c>
      <c r="X204" s="857" t="s">
        <v>152</v>
      </c>
      <c r="Y204" s="1250" t="s">
        <v>2294</v>
      </c>
      <c r="Z204" s="791" t="s">
        <v>2297</v>
      </c>
      <c r="AA204" s="1241">
        <v>2201069</v>
      </c>
      <c r="AB204" s="1242" t="s">
        <v>649</v>
      </c>
      <c r="AC204" s="1271" t="s">
        <v>633</v>
      </c>
      <c r="AD204" s="713" t="s">
        <v>634</v>
      </c>
      <c r="AE204" s="1217">
        <v>92102</v>
      </c>
      <c r="AF204" s="873" t="s">
        <v>1804</v>
      </c>
      <c r="AG204" s="1090"/>
      <c r="AH204" s="873" t="str">
        <f t="shared" si="6"/>
        <v>2.3.2.01.01.004.01.01.04..2201069.92102</v>
      </c>
      <c r="AI204" s="1"/>
      <c r="AJ204" s="1"/>
      <c r="AK204" s="1475" t="s">
        <v>2323</v>
      </c>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row>
    <row r="205" spans="1:114" ht="62.25" hidden="1" customHeight="1" x14ac:dyDescent="0.2">
      <c r="A205" s="820">
        <v>314</v>
      </c>
      <c r="B205" s="868" t="s">
        <v>266</v>
      </c>
      <c r="C205" s="793">
        <v>1</v>
      </c>
      <c r="D205" s="791" t="s">
        <v>1412</v>
      </c>
      <c r="E205" s="1243" t="s">
        <v>1880</v>
      </c>
      <c r="F205" s="1241">
        <v>9</v>
      </c>
      <c r="G205" s="1241" t="s">
        <v>1395</v>
      </c>
      <c r="H205" s="1244" t="s">
        <v>1812</v>
      </c>
      <c r="I205" s="1183">
        <v>8252158.0739684803</v>
      </c>
      <c r="J205" s="1086"/>
      <c r="K205" s="1086"/>
      <c r="L205" s="1086"/>
      <c r="M205" s="1245">
        <v>20</v>
      </c>
      <c r="N205" s="997" t="s">
        <v>1538</v>
      </c>
      <c r="O205" s="1087"/>
      <c r="P205" s="1087"/>
      <c r="Q205" s="1087"/>
      <c r="R205" s="1087"/>
      <c r="S205" s="1087"/>
      <c r="T205" s="1087"/>
      <c r="U205" s="1088">
        <v>22</v>
      </c>
      <c r="V205" s="1089" t="s">
        <v>266</v>
      </c>
      <c r="W205" s="820">
        <v>2201</v>
      </c>
      <c r="X205" s="857" t="s">
        <v>152</v>
      </c>
      <c r="Y205" s="1250" t="s">
        <v>2294</v>
      </c>
      <c r="Z205" s="791" t="s">
        <v>2297</v>
      </c>
      <c r="AA205" s="1241">
        <v>2201069</v>
      </c>
      <c r="AB205" s="1242" t="s">
        <v>649</v>
      </c>
      <c r="AC205" s="1271" t="s">
        <v>633</v>
      </c>
      <c r="AD205" s="713" t="s">
        <v>634</v>
      </c>
      <c r="AE205" s="1217">
        <v>92200</v>
      </c>
      <c r="AF205" s="873" t="s">
        <v>1805</v>
      </c>
      <c r="AG205" s="1090"/>
      <c r="AH205" s="873" t="str">
        <f t="shared" si="6"/>
        <v>2.3.2.01.01.004.01.01.04..2201069.92200</v>
      </c>
      <c r="AI205" s="1"/>
      <c r="AJ205" s="1"/>
      <c r="AK205" s="959" t="s">
        <v>2324</v>
      </c>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row>
    <row r="206" spans="1:114" ht="62.25" hidden="1" customHeight="1" x14ac:dyDescent="0.2">
      <c r="A206" s="820">
        <v>314</v>
      </c>
      <c r="B206" s="868" t="s">
        <v>266</v>
      </c>
      <c r="C206" s="793">
        <v>1</v>
      </c>
      <c r="D206" s="791" t="s">
        <v>1412</v>
      </c>
      <c r="E206" s="1243" t="s">
        <v>1880</v>
      </c>
      <c r="F206" s="1241">
        <v>9</v>
      </c>
      <c r="G206" s="1241" t="s">
        <v>1395</v>
      </c>
      <c r="H206" s="1244" t="s">
        <v>1812</v>
      </c>
      <c r="I206" s="1183">
        <v>7501385.9190623267</v>
      </c>
      <c r="J206" s="1086"/>
      <c r="K206" s="1086"/>
      <c r="L206" s="1086"/>
      <c r="M206" s="1245">
        <v>20</v>
      </c>
      <c r="N206" s="997" t="s">
        <v>1538</v>
      </c>
      <c r="O206" s="1087"/>
      <c r="P206" s="1087"/>
      <c r="Q206" s="1087"/>
      <c r="R206" s="1087"/>
      <c r="S206" s="1087"/>
      <c r="T206" s="1087"/>
      <c r="U206" s="1088">
        <v>22</v>
      </c>
      <c r="V206" s="1089" t="s">
        <v>266</v>
      </c>
      <c r="W206" s="820">
        <v>2201</v>
      </c>
      <c r="X206" s="857" t="s">
        <v>152</v>
      </c>
      <c r="Y206" s="1250" t="s">
        <v>2294</v>
      </c>
      <c r="Z206" s="791" t="s">
        <v>2297</v>
      </c>
      <c r="AA206" s="1241">
        <v>2201069</v>
      </c>
      <c r="AB206" s="1242" t="s">
        <v>649</v>
      </c>
      <c r="AC206" s="1271" t="s">
        <v>633</v>
      </c>
      <c r="AD206" s="713" t="s">
        <v>634</v>
      </c>
      <c r="AE206" s="1217">
        <v>92310</v>
      </c>
      <c r="AF206" s="873" t="s">
        <v>1806</v>
      </c>
      <c r="AG206" s="1090"/>
      <c r="AH206" s="873" t="str">
        <f t="shared" si="6"/>
        <v>2.3.2.01.01.004.01.01.04..2201069.92310</v>
      </c>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row>
    <row r="207" spans="1:114" ht="55.5" hidden="1" customHeight="1" x14ac:dyDescent="0.2">
      <c r="A207" s="820">
        <v>314</v>
      </c>
      <c r="B207" s="868" t="s">
        <v>266</v>
      </c>
      <c r="C207" s="793">
        <v>1</v>
      </c>
      <c r="D207" s="791" t="s">
        <v>1412</v>
      </c>
      <c r="E207" s="1243" t="s">
        <v>1880</v>
      </c>
      <c r="F207" s="1241">
        <v>9</v>
      </c>
      <c r="G207" s="1241" t="s">
        <v>1395</v>
      </c>
      <c r="H207" s="1244" t="s">
        <v>1812</v>
      </c>
      <c r="I207" s="1183">
        <v>2917557.6146353055</v>
      </c>
      <c r="J207" s="1086"/>
      <c r="K207" s="1086"/>
      <c r="L207" s="1086"/>
      <c r="M207" s="1245">
        <v>20</v>
      </c>
      <c r="N207" s="997" t="s">
        <v>1538</v>
      </c>
      <c r="O207" s="1087"/>
      <c r="P207" s="1087"/>
      <c r="Q207" s="1087"/>
      <c r="R207" s="1087"/>
      <c r="S207" s="1087"/>
      <c r="T207" s="1087"/>
      <c r="U207" s="1088">
        <v>22</v>
      </c>
      <c r="V207" s="1089" t="s">
        <v>266</v>
      </c>
      <c r="W207" s="820">
        <v>2201</v>
      </c>
      <c r="X207" s="857" t="s">
        <v>152</v>
      </c>
      <c r="Y207" s="1250" t="s">
        <v>2294</v>
      </c>
      <c r="Z207" s="791" t="s">
        <v>2297</v>
      </c>
      <c r="AA207" s="1241">
        <v>2201069</v>
      </c>
      <c r="AB207" s="1242" t="s">
        <v>649</v>
      </c>
      <c r="AC207" s="1271" t="s">
        <v>633</v>
      </c>
      <c r="AD207" s="713" t="s">
        <v>634</v>
      </c>
      <c r="AE207" s="1217">
        <v>92330</v>
      </c>
      <c r="AF207" s="873" t="s">
        <v>1807</v>
      </c>
      <c r="AG207" s="1090"/>
      <c r="AH207" s="873" t="str">
        <f t="shared" si="6"/>
        <v>2.3.2.01.01.004.01.01.04..2201069.92330</v>
      </c>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row>
    <row r="208" spans="1:114" ht="85.5" hidden="1" customHeight="1" x14ac:dyDescent="0.2">
      <c r="A208" s="820">
        <v>314</v>
      </c>
      <c r="B208" s="868" t="s">
        <v>266</v>
      </c>
      <c r="C208" s="793">
        <v>1</v>
      </c>
      <c r="D208" s="791" t="s">
        <v>1412</v>
      </c>
      <c r="E208" s="1243" t="s">
        <v>1880</v>
      </c>
      <c r="F208" s="1241">
        <v>9</v>
      </c>
      <c r="G208" s="1241" t="s">
        <v>1395</v>
      </c>
      <c r="H208" s="1244" t="s">
        <v>1812</v>
      </c>
      <c r="I208" s="1183">
        <v>2491684.4856260391</v>
      </c>
      <c r="J208" s="1086"/>
      <c r="K208" s="1086"/>
      <c r="L208" s="1086"/>
      <c r="M208" s="1249">
        <v>25</v>
      </c>
      <c r="N208" s="997" t="s">
        <v>1808</v>
      </c>
      <c r="O208" s="1087"/>
      <c r="P208" s="1087"/>
      <c r="Q208" s="1087"/>
      <c r="R208" s="1087"/>
      <c r="S208" s="1087"/>
      <c r="T208" s="1087"/>
      <c r="U208" s="1088">
        <v>22</v>
      </c>
      <c r="V208" s="1089" t="s">
        <v>266</v>
      </c>
      <c r="W208" s="820">
        <v>2201</v>
      </c>
      <c r="X208" s="857" t="s">
        <v>152</v>
      </c>
      <c r="Y208" s="1250" t="s">
        <v>2294</v>
      </c>
      <c r="Z208" s="791" t="s">
        <v>2297</v>
      </c>
      <c r="AA208" s="1241">
        <v>2201069</v>
      </c>
      <c r="AB208" s="1242" t="s">
        <v>649</v>
      </c>
      <c r="AC208" s="1271" t="s">
        <v>633</v>
      </c>
      <c r="AD208" s="713" t="s">
        <v>634</v>
      </c>
      <c r="AE208" s="1217">
        <v>92102</v>
      </c>
      <c r="AF208" s="873" t="s">
        <v>1804</v>
      </c>
      <c r="AG208" s="1090"/>
      <c r="AH208" s="873" t="str">
        <f t="shared" si="6"/>
        <v>2.3.2.01.01.004.01.01.04..2201069.92102</v>
      </c>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row>
    <row r="209" spans="1:114" ht="85.5" hidden="1" customHeight="1" x14ac:dyDescent="0.2">
      <c r="A209" s="820">
        <v>314</v>
      </c>
      <c r="B209" s="868" t="s">
        <v>266</v>
      </c>
      <c r="C209" s="793">
        <v>1</v>
      </c>
      <c r="D209" s="791" t="s">
        <v>1412</v>
      </c>
      <c r="E209" s="1243" t="s">
        <v>1880</v>
      </c>
      <c r="F209" s="1241">
        <v>9</v>
      </c>
      <c r="G209" s="1241" t="s">
        <v>1395</v>
      </c>
      <c r="H209" s="1244" t="s">
        <v>1812</v>
      </c>
      <c r="I209" s="1183">
        <v>15472796.388690902</v>
      </c>
      <c r="J209" s="1086"/>
      <c r="K209" s="1086"/>
      <c r="L209" s="1086"/>
      <c r="M209" s="1249">
        <v>25</v>
      </c>
      <c r="N209" s="997" t="s">
        <v>1808</v>
      </c>
      <c r="O209" s="1087"/>
      <c r="P209" s="1087"/>
      <c r="Q209" s="1087"/>
      <c r="R209" s="1087"/>
      <c r="S209" s="1087"/>
      <c r="T209" s="1087"/>
      <c r="U209" s="1088">
        <v>22</v>
      </c>
      <c r="V209" s="1089" t="s">
        <v>266</v>
      </c>
      <c r="W209" s="820">
        <v>2201</v>
      </c>
      <c r="X209" s="857" t="s">
        <v>152</v>
      </c>
      <c r="Y209" s="1250" t="s">
        <v>2294</v>
      </c>
      <c r="Z209" s="791" t="s">
        <v>2297</v>
      </c>
      <c r="AA209" s="1241">
        <v>2201069</v>
      </c>
      <c r="AB209" s="1242" t="s">
        <v>649</v>
      </c>
      <c r="AC209" s="1271" t="s">
        <v>633</v>
      </c>
      <c r="AD209" s="713" t="s">
        <v>634</v>
      </c>
      <c r="AE209" s="1217">
        <v>92200</v>
      </c>
      <c r="AF209" s="873" t="s">
        <v>1805</v>
      </c>
      <c r="AG209" s="1090"/>
      <c r="AH209" s="873" t="str">
        <f t="shared" si="6"/>
        <v>2.3.2.01.01.004.01.01.04..2201069.92200</v>
      </c>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row>
    <row r="210" spans="1:114" ht="85.5" hidden="1" customHeight="1" x14ac:dyDescent="0.2">
      <c r="A210" s="820">
        <v>314</v>
      </c>
      <c r="B210" s="868" t="s">
        <v>266</v>
      </c>
      <c r="C210" s="793">
        <v>1</v>
      </c>
      <c r="D210" s="791" t="s">
        <v>1412</v>
      </c>
      <c r="E210" s="1243" t="s">
        <v>1880</v>
      </c>
      <c r="F210" s="1241">
        <v>9</v>
      </c>
      <c r="G210" s="1241" t="s">
        <v>1395</v>
      </c>
      <c r="H210" s="1244" t="s">
        <v>1812</v>
      </c>
      <c r="I210" s="1183">
        <v>14065098.598241862</v>
      </c>
      <c r="J210" s="1086"/>
      <c r="K210" s="1086"/>
      <c r="L210" s="1086"/>
      <c r="M210" s="1249">
        <v>25</v>
      </c>
      <c r="N210" s="997" t="s">
        <v>1808</v>
      </c>
      <c r="O210" s="1087"/>
      <c r="P210" s="1087"/>
      <c r="Q210" s="1087"/>
      <c r="R210" s="1087"/>
      <c r="S210" s="1087"/>
      <c r="T210" s="1087"/>
      <c r="U210" s="1088">
        <v>22</v>
      </c>
      <c r="V210" s="1089" t="s">
        <v>266</v>
      </c>
      <c r="W210" s="820">
        <v>2201</v>
      </c>
      <c r="X210" s="857" t="s">
        <v>152</v>
      </c>
      <c r="Y210" s="1250" t="s">
        <v>2294</v>
      </c>
      <c r="Z210" s="791" t="s">
        <v>2297</v>
      </c>
      <c r="AA210" s="1241">
        <v>2201069</v>
      </c>
      <c r="AB210" s="1242" t="s">
        <v>649</v>
      </c>
      <c r="AC210" s="1271" t="s">
        <v>633</v>
      </c>
      <c r="AD210" s="713" t="s">
        <v>634</v>
      </c>
      <c r="AE210" s="1217">
        <v>92310</v>
      </c>
      <c r="AF210" s="873" t="s">
        <v>1806</v>
      </c>
      <c r="AG210" s="1090"/>
      <c r="AH210" s="873" t="str">
        <f t="shared" si="6"/>
        <v>2.3.2.01.01.004.01.01.04..2201069.92310</v>
      </c>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row>
    <row r="211" spans="1:114" ht="78" hidden="1" customHeight="1" x14ac:dyDescent="0.2">
      <c r="A211" s="820">
        <v>314</v>
      </c>
      <c r="B211" s="868" t="s">
        <v>266</v>
      </c>
      <c r="C211" s="793">
        <v>1</v>
      </c>
      <c r="D211" s="791" t="s">
        <v>1412</v>
      </c>
      <c r="E211" s="1243" t="s">
        <v>1880</v>
      </c>
      <c r="F211" s="1241">
        <v>9</v>
      </c>
      <c r="G211" s="1241" t="s">
        <v>1395</v>
      </c>
      <c r="H211" s="1244" t="s">
        <v>1812</v>
      </c>
      <c r="I211" s="1183">
        <v>5470420.527441198</v>
      </c>
      <c r="J211" s="1086"/>
      <c r="K211" s="1086"/>
      <c r="L211" s="1086"/>
      <c r="M211" s="1249">
        <v>25</v>
      </c>
      <c r="N211" s="997" t="s">
        <v>1808</v>
      </c>
      <c r="O211" s="1087"/>
      <c r="P211" s="1087"/>
      <c r="Q211" s="1087"/>
      <c r="R211" s="1087"/>
      <c r="S211" s="1087"/>
      <c r="T211" s="1087"/>
      <c r="U211" s="1088">
        <v>22</v>
      </c>
      <c r="V211" s="1089" t="s">
        <v>266</v>
      </c>
      <c r="W211" s="820">
        <v>2201</v>
      </c>
      <c r="X211" s="857" t="s">
        <v>152</v>
      </c>
      <c r="Y211" s="1250" t="s">
        <v>2294</v>
      </c>
      <c r="Z211" s="791" t="s">
        <v>2297</v>
      </c>
      <c r="AA211" s="1241">
        <v>2201069</v>
      </c>
      <c r="AB211" s="1242" t="s">
        <v>649</v>
      </c>
      <c r="AC211" s="1271" t="s">
        <v>633</v>
      </c>
      <c r="AD211" s="713" t="s">
        <v>634</v>
      </c>
      <c r="AE211" s="1217">
        <v>92330</v>
      </c>
      <c r="AF211" s="873" t="s">
        <v>1807</v>
      </c>
      <c r="AG211" s="1090"/>
      <c r="AH211" s="873" t="str">
        <f t="shared" si="6"/>
        <v>2.3.2.01.01.004.01.01.04..2201069.92330</v>
      </c>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row>
    <row r="212" spans="1:114" ht="100.5" hidden="1" customHeight="1" x14ac:dyDescent="0.2">
      <c r="A212" s="820">
        <v>314</v>
      </c>
      <c r="B212" s="868" t="s">
        <v>266</v>
      </c>
      <c r="C212" s="793">
        <v>1</v>
      </c>
      <c r="D212" s="791" t="s">
        <v>1412</v>
      </c>
      <c r="E212" s="830" t="s">
        <v>1540</v>
      </c>
      <c r="F212" s="793">
        <v>6</v>
      </c>
      <c r="G212" s="793" t="s">
        <v>1395</v>
      </c>
      <c r="H212" s="860" t="s">
        <v>1537</v>
      </c>
      <c r="I212" s="1183">
        <v>6000000</v>
      </c>
      <c r="J212" s="1086"/>
      <c r="K212" s="1086"/>
      <c r="L212" s="1086"/>
      <c r="M212" s="961">
        <v>20</v>
      </c>
      <c r="N212" s="997" t="s">
        <v>1538</v>
      </c>
      <c r="O212" s="1087"/>
      <c r="P212" s="1087"/>
      <c r="Q212" s="1087"/>
      <c r="R212" s="1087"/>
      <c r="S212" s="1087"/>
      <c r="T212" s="1087"/>
      <c r="U212" s="1088">
        <v>22</v>
      </c>
      <c r="V212" s="1089" t="s">
        <v>266</v>
      </c>
      <c r="W212" s="820">
        <v>2201</v>
      </c>
      <c r="X212" s="857" t="s">
        <v>152</v>
      </c>
      <c r="Y212" s="1250" t="s">
        <v>2299</v>
      </c>
      <c r="Z212" s="791" t="s">
        <v>2298</v>
      </c>
      <c r="AA212" s="792">
        <v>2201018</v>
      </c>
      <c r="AB212" s="713" t="s">
        <v>652</v>
      </c>
      <c r="AC212" s="1271" t="s">
        <v>654</v>
      </c>
      <c r="AD212" s="713" t="s">
        <v>655</v>
      </c>
      <c r="AE212" s="872">
        <v>92102</v>
      </c>
      <c r="AF212" s="873" t="s">
        <v>1804</v>
      </c>
      <c r="AG212" s="1090"/>
      <c r="AH212" s="873" t="str">
        <f t="shared" si="6"/>
        <v>2.3.2.02.02.009..2201018.92102</v>
      </c>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row>
    <row r="213" spans="1:114" ht="78" hidden="1" customHeight="1" x14ac:dyDescent="0.2">
      <c r="A213" s="820">
        <v>314</v>
      </c>
      <c r="B213" s="868" t="s">
        <v>266</v>
      </c>
      <c r="C213" s="793">
        <v>1</v>
      </c>
      <c r="D213" s="791" t="s">
        <v>1412</v>
      </c>
      <c r="E213" s="830" t="s">
        <v>1540</v>
      </c>
      <c r="F213" s="793">
        <v>6</v>
      </c>
      <c r="G213" s="793" t="s">
        <v>1395</v>
      </c>
      <c r="H213" s="860" t="s">
        <v>1537</v>
      </c>
      <c r="I213" s="1183">
        <v>10000000</v>
      </c>
      <c r="K213" s="1086"/>
      <c r="L213" s="1086"/>
      <c r="M213" s="961">
        <v>20</v>
      </c>
      <c r="N213" s="997" t="s">
        <v>1538</v>
      </c>
      <c r="O213" s="1087"/>
      <c r="P213" s="1087"/>
      <c r="Q213" s="1087"/>
      <c r="R213" s="1087"/>
      <c r="S213" s="1087"/>
      <c r="T213" s="1087"/>
      <c r="U213" s="1088">
        <v>22</v>
      </c>
      <c r="V213" s="1089" t="s">
        <v>266</v>
      </c>
      <c r="W213" s="820">
        <v>2201</v>
      </c>
      <c r="X213" s="857" t="s">
        <v>152</v>
      </c>
      <c r="Y213" s="1250" t="s">
        <v>2299</v>
      </c>
      <c r="Z213" s="791" t="s">
        <v>2298</v>
      </c>
      <c r="AA213" s="792">
        <v>2201037</v>
      </c>
      <c r="AB213" s="713" t="s">
        <v>658</v>
      </c>
      <c r="AC213" s="1271" t="s">
        <v>654</v>
      </c>
      <c r="AD213" s="713" t="s">
        <v>655</v>
      </c>
      <c r="AE213" s="872">
        <v>92102</v>
      </c>
      <c r="AF213" s="873" t="s">
        <v>1804</v>
      </c>
      <c r="AG213" s="1090"/>
      <c r="AH213" s="873" t="str">
        <f t="shared" si="6"/>
        <v>2.3.2.02.02.009..2201037.92102</v>
      </c>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row>
    <row r="214" spans="1:114" s="4" customFormat="1" ht="75.75" hidden="1" customHeight="1" x14ac:dyDescent="0.2">
      <c r="A214" s="1098">
        <v>314</v>
      </c>
      <c r="B214" s="990" t="s">
        <v>266</v>
      </c>
      <c r="C214" s="792">
        <v>1</v>
      </c>
      <c r="D214" s="702" t="s">
        <v>1412</v>
      </c>
      <c r="E214" s="1000" t="s">
        <v>1540</v>
      </c>
      <c r="F214" s="792">
        <v>6</v>
      </c>
      <c r="G214" s="792" t="s">
        <v>1395</v>
      </c>
      <c r="H214" s="992" t="s">
        <v>1537</v>
      </c>
      <c r="I214" s="1183">
        <v>1196008.5531004989</v>
      </c>
      <c r="J214" s="1268"/>
      <c r="K214" s="1268"/>
      <c r="L214" s="1268"/>
      <c r="M214" s="961">
        <v>20</v>
      </c>
      <c r="N214" s="997" t="s">
        <v>1538</v>
      </c>
      <c r="O214" s="1269"/>
      <c r="P214" s="1269"/>
      <c r="Q214" s="1269"/>
      <c r="R214" s="1269"/>
      <c r="S214" s="1269"/>
      <c r="T214" s="1269"/>
      <c r="U214" s="57">
        <v>22</v>
      </c>
      <c r="V214" s="1262" t="s">
        <v>266</v>
      </c>
      <c r="W214" s="1098">
        <v>2201</v>
      </c>
      <c r="X214" s="819" t="s">
        <v>152</v>
      </c>
      <c r="Y214" s="1250" t="s">
        <v>2299</v>
      </c>
      <c r="Z214" s="791" t="s">
        <v>2298</v>
      </c>
      <c r="AA214" s="792">
        <v>2201068</v>
      </c>
      <c r="AB214" s="842" t="s">
        <v>264</v>
      </c>
      <c r="AC214" s="1096" t="s">
        <v>662</v>
      </c>
      <c r="AD214" s="842" t="s">
        <v>663</v>
      </c>
      <c r="AE214" s="872">
        <v>92102</v>
      </c>
      <c r="AF214" s="873" t="s">
        <v>1804</v>
      </c>
      <c r="AG214" s="1090"/>
      <c r="AH214" s="873" t="str">
        <f t="shared" ref="AH214:AH225" si="8">CONCATENATE(E214,".",AA214,".",AE214)</f>
        <v>2.3.2.02.02.009..2201068.92102</v>
      </c>
    </row>
    <row r="215" spans="1:114" s="4" customFormat="1" ht="75.75" hidden="1" customHeight="1" x14ac:dyDescent="0.2">
      <c r="A215" s="1098">
        <v>314</v>
      </c>
      <c r="B215" s="990" t="s">
        <v>266</v>
      </c>
      <c r="C215" s="792">
        <v>1</v>
      </c>
      <c r="D215" s="702" t="s">
        <v>1412</v>
      </c>
      <c r="E215" s="1000" t="s">
        <v>1540</v>
      </c>
      <c r="F215" s="792">
        <v>6</v>
      </c>
      <c r="G215" s="792" t="s">
        <v>1395</v>
      </c>
      <c r="H215" s="992" t="s">
        <v>1537</v>
      </c>
      <c r="I215" s="1183">
        <v>7426942.2665716326</v>
      </c>
      <c r="J215" s="1268"/>
      <c r="K215" s="1268"/>
      <c r="L215" s="1268"/>
      <c r="M215" s="961">
        <v>20</v>
      </c>
      <c r="N215" s="997" t="s">
        <v>1538</v>
      </c>
      <c r="O215" s="1269"/>
      <c r="P215" s="1269"/>
      <c r="Q215" s="1269"/>
      <c r="R215" s="1269"/>
      <c r="S215" s="1269"/>
      <c r="T215" s="1269"/>
      <c r="U215" s="57">
        <v>22</v>
      </c>
      <c r="V215" s="1262" t="s">
        <v>266</v>
      </c>
      <c r="W215" s="1098">
        <v>2201</v>
      </c>
      <c r="X215" s="819" t="s">
        <v>152</v>
      </c>
      <c r="Y215" s="1250" t="s">
        <v>2299</v>
      </c>
      <c r="Z215" s="791" t="s">
        <v>2298</v>
      </c>
      <c r="AA215" s="792">
        <v>2201068</v>
      </c>
      <c r="AB215" s="842" t="s">
        <v>264</v>
      </c>
      <c r="AC215" s="1096" t="s">
        <v>662</v>
      </c>
      <c r="AD215" s="842" t="s">
        <v>663</v>
      </c>
      <c r="AE215" s="872">
        <v>92200</v>
      </c>
      <c r="AF215" s="873" t="s">
        <v>1805</v>
      </c>
      <c r="AG215" s="1090"/>
      <c r="AH215" s="873" t="str">
        <f t="shared" si="8"/>
        <v>2.3.2.02.02.009..2201068.92200</v>
      </c>
    </row>
    <row r="216" spans="1:114" s="4" customFormat="1" ht="75.75" hidden="1" customHeight="1" x14ac:dyDescent="0.2">
      <c r="A216" s="1098">
        <v>314</v>
      </c>
      <c r="B216" s="990" t="s">
        <v>266</v>
      </c>
      <c r="C216" s="792">
        <v>1</v>
      </c>
      <c r="D216" s="702" t="s">
        <v>1412</v>
      </c>
      <c r="E216" s="1000" t="s">
        <v>1540</v>
      </c>
      <c r="F216" s="792">
        <v>6</v>
      </c>
      <c r="G216" s="792" t="s">
        <v>1395</v>
      </c>
      <c r="H216" s="992" t="s">
        <v>1537</v>
      </c>
      <c r="I216" s="1183">
        <v>6751247.3271560939</v>
      </c>
      <c r="J216" s="1268"/>
      <c r="K216" s="1268"/>
      <c r="L216" s="1268"/>
      <c r="M216" s="961">
        <v>20</v>
      </c>
      <c r="N216" s="997" t="s">
        <v>1538</v>
      </c>
      <c r="O216" s="1269"/>
      <c r="P216" s="1269"/>
      <c r="Q216" s="1269"/>
      <c r="R216" s="1269"/>
      <c r="S216" s="1269"/>
      <c r="T216" s="1269"/>
      <c r="U216" s="57">
        <v>22</v>
      </c>
      <c r="V216" s="1262" t="s">
        <v>266</v>
      </c>
      <c r="W216" s="1098">
        <v>2201</v>
      </c>
      <c r="X216" s="819" t="s">
        <v>152</v>
      </c>
      <c r="Y216" s="1250" t="s">
        <v>2299</v>
      </c>
      <c r="Z216" s="791" t="s">
        <v>2298</v>
      </c>
      <c r="AA216" s="792">
        <v>2201068</v>
      </c>
      <c r="AB216" s="842" t="s">
        <v>264</v>
      </c>
      <c r="AC216" s="1096" t="s">
        <v>662</v>
      </c>
      <c r="AD216" s="842" t="s">
        <v>663</v>
      </c>
      <c r="AE216" s="872">
        <v>92310</v>
      </c>
      <c r="AF216" s="873" t="s">
        <v>1806</v>
      </c>
      <c r="AG216" s="1090"/>
      <c r="AH216" s="873" t="str">
        <f t="shared" si="8"/>
        <v>2.3.2.02.02.009..2201068.92310</v>
      </c>
    </row>
    <row r="217" spans="1:114" s="4" customFormat="1" ht="75.75" hidden="1" customHeight="1" x14ac:dyDescent="0.2">
      <c r="A217" s="1098">
        <v>314</v>
      </c>
      <c r="B217" s="990" t="s">
        <v>266</v>
      </c>
      <c r="C217" s="792">
        <v>1</v>
      </c>
      <c r="D217" s="702" t="s">
        <v>1412</v>
      </c>
      <c r="E217" s="1000" t="s">
        <v>1540</v>
      </c>
      <c r="F217" s="792">
        <v>6</v>
      </c>
      <c r="G217" s="792" t="s">
        <v>1395</v>
      </c>
      <c r="H217" s="992" t="s">
        <v>1537</v>
      </c>
      <c r="I217" s="1183">
        <v>2625801.8531717751</v>
      </c>
      <c r="J217" s="1268"/>
      <c r="K217" s="1268"/>
      <c r="L217" s="1268"/>
      <c r="M217" s="961">
        <v>20</v>
      </c>
      <c r="N217" s="997" t="s">
        <v>1538</v>
      </c>
      <c r="O217" s="1269"/>
      <c r="P217" s="1269"/>
      <c r="Q217" s="1269"/>
      <c r="R217" s="1269"/>
      <c r="S217" s="1269"/>
      <c r="T217" s="1269"/>
      <c r="U217" s="57">
        <v>22</v>
      </c>
      <c r="V217" s="1262" t="s">
        <v>266</v>
      </c>
      <c r="W217" s="1098">
        <v>2201</v>
      </c>
      <c r="X217" s="819" t="s">
        <v>152</v>
      </c>
      <c r="Y217" s="1250" t="s">
        <v>2299</v>
      </c>
      <c r="Z217" s="791" t="s">
        <v>2298</v>
      </c>
      <c r="AA217" s="792">
        <v>2201068</v>
      </c>
      <c r="AB217" s="842" t="s">
        <v>264</v>
      </c>
      <c r="AC217" s="1096" t="s">
        <v>662</v>
      </c>
      <c r="AD217" s="842" t="s">
        <v>663</v>
      </c>
      <c r="AE217" s="872">
        <v>92330</v>
      </c>
      <c r="AF217" s="873" t="s">
        <v>1807</v>
      </c>
      <c r="AG217" s="1090"/>
      <c r="AH217" s="873" t="str">
        <f t="shared" si="8"/>
        <v>2.3.2.02.02.009..2201068.92330</v>
      </c>
    </row>
    <row r="218" spans="1:114" ht="94.5" hidden="1" customHeight="1" x14ac:dyDescent="0.2">
      <c r="A218" s="820">
        <v>314</v>
      </c>
      <c r="B218" s="868" t="s">
        <v>266</v>
      </c>
      <c r="C218" s="793">
        <v>1</v>
      </c>
      <c r="D218" s="791" t="s">
        <v>1412</v>
      </c>
      <c r="E218" s="1151" t="s">
        <v>1596</v>
      </c>
      <c r="F218" s="786">
        <v>6</v>
      </c>
      <c r="G218" s="786" t="s">
        <v>1395</v>
      </c>
      <c r="H218" s="1046" t="s">
        <v>1599</v>
      </c>
      <c r="I218" s="1183">
        <v>1196008.5531004989</v>
      </c>
      <c r="J218" s="1086"/>
      <c r="K218" s="1086"/>
      <c r="L218" s="1086"/>
      <c r="M218" s="1245">
        <v>20</v>
      </c>
      <c r="N218" s="1246" t="s">
        <v>1538</v>
      </c>
      <c r="O218" s="1087"/>
      <c r="P218" s="1087"/>
      <c r="Q218" s="1087"/>
      <c r="R218" s="1087"/>
      <c r="S218" s="1087"/>
      <c r="T218" s="1087"/>
      <c r="U218" s="1088">
        <v>22</v>
      </c>
      <c r="V218" s="1089" t="s">
        <v>266</v>
      </c>
      <c r="W218" s="820">
        <v>2201</v>
      </c>
      <c r="X218" s="857" t="s">
        <v>152</v>
      </c>
      <c r="Y218" s="1250" t="s">
        <v>2299</v>
      </c>
      <c r="Z218" s="791" t="s">
        <v>2298</v>
      </c>
      <c r="AA218" s="1241">
        <v>2201026</v>
      </c>
      <c r="AB218" s="1242" t="s">
        <v>639</v>
      </c>
      <c r="AC218" s="1271" t="s">
        <v>662</v>
      </c>
      <c r="AD218" s="713" t="s">
        <v>1473</v>
      </c>
      <c r="AE218" s="1413">
        <v>92102</v>
      </c>
      <c r="AF218" s="873" t="s">
        <v>1804</v>
      </c>
      <c r="AG218" s="1090"/>
      <c r="AH218" s="873" t="str">
        <f t="shared" si="8"/>
        <v>2.3.2.02.01.003..2201026.92102</v>
      </c>
      <c r="AI218" s="1"/>
      <c r="AJ218" s="1"/>
      <c r="AK218" s="1474" t="s">
        <v>2325</v>
      </c>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row>
    <row r="219" spans="1:114" ht="88.5" hidden="1" customHeight="1" x14ac:dyDescent="0.2">
      <c r="A219" s="820">
        <v>314</v>
      </c>
      <c r="B219" s="868" t="s">
        <v>266</v>
      </c>
      <c r="C219" s="793">
        <v>1</v>
      </c>
      <c r="D219" s="791" t="s">
        <v>1412</v>
      </c>
      <c r="E219" s="1151" t="s">
        <v>1596</v>
      </c>
      <c r="F219" s="786">
        <v>6</v>
      </c>
      <c r="G219" s="786" t="s">
        <v>1395</v>
      </c>
      <c r="H219" s="1046" t="s">
        <v>1599</v>
      </c>
      <c r="I219" s="1085">
        <v>7426942.2665716326</v>
      </c>
      <c r="J219" s="861" t="s">
        <v>1597</v>
      </c>
      <c r="K219" s="1088">
        <v>22</v>
      </c>
      <c r="L219" s="1088"/>
      <c r="M219" s="1245">
        <v>20</v>
      </c>
      <c r="N219" s="1246" t="s">
        <v>1538</v>
      </c>
      <c r="O219" s="857" t="s">
        <v>152</v>
      </c>
      <c r="P219" s="1087"/>
      <c r="Q219" s="1087"/>
      <c r="R219" s="1087"/>
      <c r="S219" s="1087"/>
      <c r="T219" s="1087"/>
      <c r="U219" s="1088">
        <v>22</v>
      </c>
      <c r="V219" s="1089" t="s">
        <v>266</v>
      </c>
      <c r="W219" s="820">
        <v>2201</v>
      </c>
      <c r="X219" s="857" t="s">
        <v>152</v>
      </c>
      <c r="Y219" s="1250" t="s">
        <v>2299</v>
      </c>
      <c r="Z219" s="791" t="s">
        <v>2298</v>
      </c>
      <c r="AA219" s="1241">
        <v>2201026</v>
      </c>
      <c r="AB219" s="1242" t="s">
        <v>639</v>
      </c>
      <c r="AC219" s="1271" t="s">
        <v>662</v>
      </c>
      <c r="AD219" s="713" t="s">
        <v>1473</v>
      </c>
      <c r="AE219" s="1413">
        <v>92200</v>
      </c>
      <c r="AF219" s="873" t="s">
        <v>1805</v>
      </c>
      <c r="AG219" s="1090"/>
      <c r="AH219" s="873" t="str">
        <f t="shared" si="8"/>
        <v>2.3.2.02.01.003..2201026.92200</v>
      </c>
      <c r="AI219" s="1"/>
      <c r="AJ219" s="1"/>
      <c r="AK219" s="1474" t="s">
        <v>2325</v>
      </c>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row>
    <row r="220" spans="1:114" ht="99" hidden="1" customHeight="1" x14ac:dyDescent="0.2">
      <c r="A220" s="820">
        <v>314</v>
      </c>
      <c r="B220" s="868" t="s">
        <v>266</v>
      </c>
      <c r="C220" s="793">
        <v>1</v>
      </c>
      <c r="D220" s="791" t="s">
        <v>1412</v>
      </c>
      <c r="E220" s="1151" t="s">
        <v>1596</v>
      </c>
      <c r="F220" s="786">
        <v>6</v>
      </c>
      <c r="G220" s="786" t="s">
        <v>1395</v>
      </c>
      <c r="H220" s="1046" t="s">
        <v>1599</v>
      </c>
      <c r="I220" s="1085">
        <v>6751247.3271560939</v>
      </c>
      <c r="J220" s="820">
        <v>2201</v>
      </c>
      <c r="K220" s="1086"/>
      <c r="L220" s="1086"/>
      <c r="M220" s="1245">
        <v>20</v>
      </c>
      <c r="N220" s="1246" t="s">
        <v>1538</v>
      </c>
      <c r="O220" s="1087"/>
      <c r="P220" s="1087"/>
      <c r="Q220" s="1087"/>
      <c r="R220" s="1087"/>
      <c r="S220" s="1087"/>
      <c r="T220" s="1087"/>
      <c r="U220" s="1088">
        <v>22</v>
      </c>
      <c r="V220" s="1089" t="s">
        <v>266</v>
      </c>
      <c r="W220" s="820">
        <v>2201</v>
      </c>
      <c r="X220" s="857" t="s">
        <v>152</v>
      </c>
      <c r="Y220" s="1250" t="s">
        <v>2299</v>
      </c>
      <c r="Z220" s="791" t="s">
        <v>2298</v>
      </c>
      <c r="AA220" s="1241">
        <v>2201026</v>
      </c>
      <c r="AB220" s="1242" t="s">
        <v>639</v>
      </c>
      <c r="AC220" s="1271" t="s">
        <v>662</v>
      </c>
      <c r="AD220" s="713" t="s">
        <v>1473</v>
      </c>
      <c r="AE220" s="1413">
        <v>92310</v>
      </c>
      <c r="AF220" s="873" t="s">
        <v>1806</v>
      </c>
      <c r="AG220" s="1090"/>
      <c r="AH220" s="873" t="str">
        <f t="shared" si="8"/>
        <v>2.3.2.02.01.003..2201026.92310</v>
      </c>
      <c r="AI220" s="1"/>
      <c r="AJ220" s="1"/>
      <c r="AK220" s="1474" t="s">
        <v>2325</v>
      </c>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row>
    <row r="221" spans="1:114" ht="117" hidden="1" customHeight="1" x14ac:dyDescent="0.2">
      <c r="A221" s="820">
        <v>314</v>
      </c>
      <c r="B221" s="868" t="s">
        <v>266</v>
      </c>
      <c r="C221" s="793">
        <v>1</v>
      </c>
      <c r="D221" s="791" t="s">
        <v>1412</v>
      </c>
      <c r="E221" s="1151" t="s">
        <v>1596</v>
      </c>
      <c r="F221" s="786">
        <v>6</v>
      </c>
      <c r="G221" s="786" t="s">
        <v>1395</v>
      </c>
      <c r="H221" s="1046" t="s">
        <v>1599</v>
      </c>
      <c r="I221" s="1085">
        <v>2625801.8531717751</v>
      </c>
      <c r="J221" s="1086"/>
      <c r="K221" s="1086"/>
      <c r="L221" s="1086"/>
      <c r="M221" s="1245">
        <v>20</v>
      </c>
      <c r="N221" s="1246" t="s">
        <v>1538</v>
      </c>
      <c r="O221" s="1087"/>
      <c r="P221" s="1087"/>
      <c r="Q221" s="1087"/>
      <c r="R221" s="1087"/>
      <c r="S221" s="1087"/>
      <c r="T221" s="1087"/>
      <c r="U221" s="1088">
        <v>22</v>
      </c>
      <c r="V221" s="1089" t="s">
        <v>266</v>
      </c>
      <c r="W221" s="820">
        <v>2201</v>
      </c>
      <c r="X221" s="857" t="s">
        <v>152</v>
      </c>
      <c r="Y221" s="1250" t="s">
        <v>2299</v>
      </c>
      <c r="Z221" s="791" t="s">
        <v>2298</v>
      </c>
      <c r="AA221" s="1241">
        <v>2201026</v>
      </c>
      <c r="AB221" s="1242" t="s">
        <v>639</v>
      </c>
      <c r="AC221" s="1271" t="s">
        <v>662</v>
      </c>
      <c r="AD221" s="713" t="s">
        <v>1473</v>
      </c>
      <c r="AE221" s="1413">
        <v>92330</v>
      </c>
      <c r="AF221" s="873" t="s">
        <v>1807</v>
      </c>
      <c r="AG221" s="1090"/>
      <c r="AH221" s="873" t="str">
        <f t="shared" si="8"/>
        <v>2.3.2.02.01.003..2201026.92330</v>
      </c>
      <c r="AI221" s="1"/>
      <c r="AJ221" s="1"/>
      <c r="AK221" s="1474" t="s">
        <v>2325</v>
      </c>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row>
    <row r="222" spans="1:114" ht="96" hidden="1" customHeight="1" x14ac:dyDescent="0.2">
      <c r="A222" s="820">
        <v>314</v>
      </c>
      <c r="B222" s="868" t="s">
        <v>266</v>
      </c>
      <c r="C222" s="793">
        <v>1</v>
      </c>
      <c r="D222" s="791" t="s">
        <v>1412</v>
      </c>
      <c r="E222" s="1151" t="s">
        <v>1596</v>
      </c>
      <c r="F222" s="786">
        <v>6</v>
      </c>
      <c r="G222" s="786" t="s">
        <v>1395</v>
      </c>
      <c r="H222" s="1046" t="s">
        <v>1599</v>
      </c>
      <c r="I222" s="1183">
        <v>1661122.9904173596</v>
      </c>
      <c r="J222" s="1086"/>
      <c r="K222" s="1086"/>
      <c r="L222" s="1086"/>
      <c r="M222" s="1247">
        <v>25</v>
      </c>
      <c r="N222" s="1248" t="s">
        <v>1808</v>
      </c>
      <c r="O222" s="1087"/>
      <c r="P222" s="1087"/>
      <c r="Q222" s="1087"/>
      <c r="R222" s="1087"/>
      <c r="S222" s="1087"/>
      <c r="T222" s="1087"/>
      <c r="U222" s="1088">
        <v>22</v>
      </c>
      <c r="V222" s="1089" t="s">
        <v>266</v>
      </c>
      <c r="W222" s="820">
        <v>2201</v>
      </c>
      <c r="X222" s="857" t="s">
        <v>152</v>
      </c>
      <c r="Y222" s="1250" t="s">
        <v>2299</v>
      </c>
      <c r="Z222" s="791" t="s">
        <v>2298</v>
      </c>
      <c r="AA222" s="1241">
        <v>2201026</v>
      </c>
      <c r="AB222" s="1242" t="s">
        <v>639</v>
      </c>
      <c r="AC222" s="1271" t="s">
        <v>662</v>
      </c>
      <c r="AD222" s="713" t="s">
        <v>1473</v>
      </c>
      <c r="AE222" s="1413">
        <v>92102</v>
      </c>
      <c r="AF222" s="873" t="s">
        <v>1804</v>
      </c>
      <c r="AG222" s="1090"/>
      <c r="AH222" s="873" t="str">
        <f t="shared" si="8"/>
        <v>2.3.2.02.01.003..2201026.92102</v>
      </c>
      <c r="AI222" s="1"/>
      <c r="AJ222" s="1"/>
      <c r="AK222" s="1474" t="s">
        <v>2325</v>
      </c>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row>
    <row r="223" spans="1:114" ht="69.75" hidden="1" customHeight="1" x14ac:dyDescent="0.2">
      <c r="A223" s="820">
        <v>314</v>
      </c>
      <c r="B223" s="868" t="s">
        <v>266</v>
      </c>
      <c r="C223" s="793">
        <v>1</v>
      </c>
      <c r="D223" s="791" t="s">
        <v>1412</v>
      </c>
      <c r="E223" s="1151" t="s">
        <v>1596</v>
      </c>
      <c r="F223" s="786">
        <v>6</v>
      </c>
      <c r="G223" s="786" t="s">
        <v>1395</v>
      </c>
      <c r="H223" s="1046" t="s">
        <v>1599</v>
      </c>
      <c r="I223" s="1183">
        <v>10315197.592460601</v>
      </c>
      <c r="J223" s="1086"/>
      <c r="K223" s="1086"/>
      <c r="L223" s="1086"/>
      <c r="M223" s="1247">
        <v>25</v>
      </c>
      <c r="N223" s="1248" t="s">
        <v>1808</v>
      </c>
      <c r="O223" s="1087"/>
      <c r="P223" s="1087"/>
      <c r="Q223" s="1087"/>
      <c r="R223" s="1087"/>
      <c r="S223" s="1087"/>
      <c r="T223" s="1087"/>
      <c r="U223" s="1088">
        <v>22</v>
      </c>
      <c r="V223" s="1089" t="s">
        <v>266</v>
      </c>
      <c r="W223" s="820">
        <v>2201</v>
      </c>
      <c r="X223" s="857" t="s">
        <v>152</v>
      </c>
      <c r="Y223" s="1250" t="s">
        <v>2299</v>
      </c>
      <c r="Z223" s="791" t="s">
        <v>2298</v>
      </c>
      <c r="AA223" s="1241">
        <v>2201026</v>
      </c>
      <c r="AB223" s="1242" t="s">
        <v>639</v>
      </c>
      <c r="AC223" s="1271" t="s">
        <v>662</v>
      </c>
      <c r="AD223" s="713" t="s">
        <v>1473</v>
      </c>
      <c r="AE223" s="1413">
        <v>92200</v>
      </c>
      <c r="AF223" s="873" t="s">
        <v>1805</v>
      </c>
      <c r="AG223" s="1090"/>
      <c r="AH223" s="873" t="str">
        <f t="shared" si="8"/>
        <v>2.3.2.02.01.003..2201026.92200</v>
      </c>
      <c r="AI223" s="1"/>
      <c r="AJ223" s="1"/>
      <c r="AK223" s="1474" t="s">
        <v>2325</v>
      </c>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row>
    <row r="224" spans="1:114" ht="73.5" hidden="1" customHeight="1" x14ac:dyDescent="0.2">
      <c r="A224" s="820">
        <v>314</v>
      </c>
      <c r="B224" s="868" t="s">
        <v>266</v>
      </c>
      <c r="C224" s="793">
        <v>1</v>
      </c>
      <c r="D224" s="791" t="s">
        <v>1412</v>
      </c>
      <c r="E224" s="1151" t="s">
        <v>1596</v>
      </c>
      <c r="F224" s="786">
        <v>6</v>
      </c>
      <c r="G224" s="786" t="s">
        <v>1395</v>
      </c>
      <c r="H224" s="1046" t="s">
        <v>1599</v>
      </c>
      <c r="I224" s="1183">
        <v>9376732.3988279086</v>
      </c>
      <c r="J224" s="861" t="s">
        <v>1809</v>
      </c>
      <c r="K224" s="1086"/>
      <c r="L224" s="1086"/>
      <c r="M224" s="1247">
        <v>25</v>
      </c>
      <c r="N224" s="1248" t="s">
        <v>1808</v>
      </c>
      <c r="O224" s="1087"/>
      <c r="P224" s="1087"/>
      <c r="Q224" s="1087"/>
      <c r="R224" s="1087"/>
      <c r="S224" s="1087"/>
      <c r="T224" s="1087"/>
      <c r="U224" s="1088">
        <v>22</v>
      </c>
      <c r="V224" s="1089" t="s">
        <v>266</v>
      </c>
      <c r="W224" s="820">
        <v>2201</v>
      </c>
      <c r="X224" s="857" t="s">
        <v>152</v>
      </c>
      <c r="Y224" s="1250" t="s">
        <v>2299</v>
      </c>
      <c r="Z224" s="791" t="s">
        <v>2298</v>
      </c>
      <c r="AA224" s="1241">
        <v>2201026</v>
      </c>
      <c r="AB224" s="1242" t="s">
        <v>639</v>
      </c>
      <c r="AC224" s="1271" t="s">
        <v>662</v>
      </c>
      <c r="AD224" s="713" t="s">
        <v>1473</v>
      </c>
      <c r="AE224" s="1413">
        <v>92310</v>
      </c>
      <c r="AF224" s="873" t="s">
        <v>1806</v>
      </c>
      <c r="AG224" s="1090"/>
      <c r="AH224" s="873" t="str">
        <f t="shared" si="8"/>
        <v>2.3.2.02.01.003..2201026.92310</v>
      </c>
      <c r="AI224" s="1"/>
      <c r="AJ224" s="1"/>
      <c r="AK224" s="1474" t="s">
        <v>2325</v>
      </c>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row>
    <row r="225" spans="1:114" ht="84.75" hidden="1" customHeight="1" x14ac:dyDescent="0.2">
      <c r="A225" s="820">
        <v>314</v>
      </c>
      <c r="B225" s="868" t="s">
        <v>266</v>
      </c>
      <c r="C225" s="793">
        <v>1</v>
      </c>
      <c r="D225" s="791" t="s">
        <v>1412</v>
      </c>
      <c r="E225" s="1151" t="s">
        <v>1596</v>
      </c>
      <c r="F225" s="786">
        <v>6</v>
      </c>
      <c r="G225" s="786" t="s">
        <v>1395</v>
      </c>
      <c r="H225" s="1046" t="s">
        <v>1599</v>
      </c>
      <c r="I225" s="1183">
        <v>3646947.0182941318</v>
      </c>
      <c r="J225" s="1086"/>
      <c r="K225" s="1086"/>
      <c r="L225" s="1086"/>
      <c r="M225" s="1247">
        <v>25</v>
      </c>
      <c r="N225" s="1248" t="s">
        <v>1808</v>
      </c>
      <c r="O225" s="1087"/>
      <c r="P225" s="1087"/>
      <c r="Q225" s="1087"/>
      <c r="R225" s="1087"/>
      <c r="S225" s="1087"/>
      <c r="T225" s="1087"/>
      <c r="U225" s="1088">
        <v>22</v>
      </c>
      <c r="V225" s="1089" t="s">
        <v>266</v>
      </c>
      <c r="W225" s="820">
        <v>2201</v>
      </c>
      <c r="X225" s="857" t="s">
        <v>152</v>
      </c>
      <c r="Y225" s="1250" t="s">
        <v>2299</v>
      </c>
      <c r="Z225" s="791" t="s">
        <v>2298</v>
      </c>
      <c r="AA225" s="1241">
        <v>2201026</v>
      </c>
      <c r="AB225" s="1242" t="s">
        <v>639</v>
      </c>
      <c r="AC225" s="1271" t="s">
        <v>662</v>
      </c>
      <c r="AD225" s="713" t="s">
        <v>1473</v>
      </c>
      <c r="AE225" s="1413">
        <v>92330</v>
      </c>
      <c r="AF225" s="873" t="s">
        <v>1807</v>
      </c>
      <c r="AG225" s="1090"/>
      <c r="AH225" s="873" t="str">
        <f t="shared" si="8"/>
        <v>2.3.2.02.01.003..2201026.92330</v>
      </c>
      <c r="AI225" s="1"/>
      <c r="AJ225" s="1"/>
      <c r="AK225" s="1474" t="s">
        <v>2325</v>
      </c>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row>
    <row r="226" spans="1:114" ht="78" hidden="1" customHeight="1" x14ac:dyDescent="0.2">
      <c r="A226" s="820">
        <v>314</v>
      </c>
      <c r="B226" s="868" t="s">
        <v>266</v>
      </c>
      <c r="C226" s="793">
        <v>1</v>
      </c>
      <c r="D226" s="791" t="s">
        <v>1412</v>
      </c>
      <c r="E226" s="830" t="s">
        <v>1540</v>
      </c>
      <c r="F226" s="793">
        <v>6</v>
      </c>
      <c r="G226" s="793" t="s">
        <v>1395</v>
      </c>
      <c r="H226" s="860" t="s">
        <v>1537</v>
      </c>
      <c r="I226" s="1183">
        <v>1328898.3923338875</v>
      </c>
      <c r="J226" s="1086"/>
      <c r="K226" s="1086"/>
      <c r="L226" s="1086"/>
      <c r="M226" s="961">
        <v>20</v>
      </c>
      <c r="N226" s="997" t="s">
        <v>1538</v>
      </c>
      <c r="O226" s="1087"/>
      <c r="P226" s="1087"/>
      <c r="Q226" s="1087"/>
      <c r="R226" s="1087"/>
      <c r="S226" s="1087"/>
      <c r="T226" s="1087"/>
      <c r="U226" s="1088">
        <v>22</v>
      </c>
      <c r="V226" s="1089" t="s">
        <v>266</v>
      </c>
      <c r="W226" s="820">
        <v>2201</v>
      </c>
      <c r="X226" s="857" t="s">
        <v>152</v>
      </c>
      <c r="Y226" s="1250" t="s">
        <v>2301</v>
      </c>
      <c r="Z226" s="791" t="s">
        <v>2300</v>
      </c>
      <c r="AA226" s="792">
        <v>2201073</v>
      </c>
      <c r="AB226" s="713" t="s">
        <v>660</v>
      </c>
      <c r="AC226" s="1271" t="s">
        <v>662</v>
      </c>
      <c r="AD226" s="901" t="s">
        <v>1473</v>
      </c>
      <c r="AE226" s="872">
        <v>92102</v>
      </c>
      <c r="AF226" s="873" t="s">
        <v>1804</v>
      </c>
      <c r="AG226" s="1092"/>
      <c r="AH226" s="873" t="str">
        <f t="shared" si="6"/>
        <v>2.3.2.02.02.009..2201073.92102</v>
      </c>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row>
    <row r="227" spans="1:114" ht="78" hidden="1" customHeight="1" x14ac:dyDescent="0.2">
      <c r="A227" s="820">
        <v>314</v>
      </c>
      <c r="B227" s="868" t="s">
        <v>266</v>
      </c>
      <c r="C227" s="793">
        <v>1</v>
      </c>
      <c r="D227" s="791" t="s">
        <v>1412</v>
      </c>
      <c r="E227" s="830" t="s">
        <v>1394</v>
      </c>
      <c r="F227" s="793">
        <v>6</v>
      </c>
      <c r="G227" s="793" t="s">
        <v>1395</v>
      </c>
      <c r="H227" s="860" t="s">
        <v>1537</v>
      </c>
      <c r="I227" s="1183">
        <v>8252158.0739684803</v>
      </c>
      <c r="J227" s="1086"/>
      <c r="K227" s="1086"/>
      <c r="L227" s="1086"/>
      <c r="M227" s="961">
        <v>20</v>
      </c>
      <c r="N227" s="997" t="s">
        <v>1538</v>
      </c>
      <c r="O227" s="1087"/>
      <c r="P227" s="1087"/>
      <c r="Q227" s="1087"/>
      <c r="R227" s="1087"/>
      <c r="S227" s="1087"/>
      <c r="T227" s="1087"/>
      <c r="U227" s="1088">
        <v>22</v>
      </c>
      <c r="V227" s="1089" t="s">
        <v>266</v>
      </c>
      <c r="W227" s="820">
        <v>2201</v>
      </c>
      <c r="X227" s="857" t="s">
        <v>152</v>
      </c>
      <c r="Y227" s="1250" t="s">
        <v>2301</v>
      </c>
      <c r="Z227" s="791" t="s">
        <v>2300</v>
      </c>
      <c r="AA227" s="792">
        <v>2201073</v>
      </c>
      <c r="AB227" s="713" t="s">
        <v>660</v>
      </c>
      <c r="AC227" s="1271" t="s">
        <v>662</v>
      </c>
      <c r="AD227" s="901" t="s">
        <v>1473</v>
      </c>
      <c r="AE227" s="872">
        <v>92200</v>
      </c>
      <c r="AF227" s="873" t="s">
        <v>1805</v>
      </c>
      <c r="AG227" s="1092"/>
      <c r="AH227" s="873" t="str">
        <f t="shared" si="6"/>
        <v>2.3.2.02.02.009.2201073.92200</v>
      </c>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row>
    <row r="228" spans="1:114" ht="78" hidden="1" customHeight="1" x14ac:dyDescent="0.2">
      <c r="A228" s="820">
        <v>314</v>
      </c>
      <c r="B228" s="868" t="s">
        <v>266</v>
      </c>
      <c r="C228" s="793">
        <v>1</v>
      </c>
      <c r="D228" s="791" t="s">
        <v>1412</v>
      </c>
      <c r="E228" s="830" t="s">
        <v>1540</v>
      </c>
      <c r="F228" s="793">
        <v>6</v>
      </c>
      <c r="G228" s="793" t="s">
        <v>1395</v>
      </c>
      <c r="H228" s="860" t="s">
        <v>1537</v>
      </c>
      <c r="I228" s="1183">
        <v>7501385.9190623267</v>
      </c>
      <c r="J228" s="1086"/>
      <c r="K228" s="1086"/>
      <c r="L228" s="1086"/>
      <c r="M228" s="961">
        <v>20</v>
      </c>
      <c r="N228" s="997" t="s">
        <v>1538</v>
      </c>
      <c r="O228" s="1087"/>
      <c r="P228" s="1087"/>
      <c r="Q228" s="1087"/>
      <c r="R228" s="1087"/>
      <c r="S228" s="1087"/>
      <c r="T228" s="1087"/>
      <c r="U228" s="1088">
        <v>22</v>
      </c>
      <c r="V228" s="1089" t="s">
        <v>266</v>
      </c>
      <c r="W228" s="820">
        <v>2201</v>
      </c>
      <c r="X228" s="857" t="s">
        <v>152</v>
      </c>
      <c r="Y228" s="1250" t="s">
        <v>2301</v>
      </c>
      <c r="Z228" s="791" t="s">
        <v>2300</v>
      </c>
      <c r="AA228" s="792">
        <v>2201073</v>
      </c>
      <c r="AB228" s="713" t="s">
        <v>660</v>
      </c>
      <c r="AC228" s="1271" t="s">
        <v>662</v>
      </c>
      <c r="AD228" s="901" t="s">
        <v>1473</v>
      </c>
      <c r="AE228" s="872">
        <v>92310</v>
      </c>
      <c r="AF228" s="873" t="s">
        <v>1806</v>
      </c>
      <c r="AG228" s="1092"/>
      <c r="AH228" s="873" t="str">
        <f t="shared" si="6"/>
        <v>2.3.2.02.02.009..2201073.92310</v>
      </c>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row>
    <row r="229" spans="1:114" ht="78" hidden="1" customHeight="1" x14ac:dyDescent="0.2">
      <c r="A229" s="820">
        <v>314</v>
      </c>
      <c r="B229" s="868" t="s">
        <v>266</v>
      </c>
      <c r="C229" s="793">
        <v>1</v>
      </c>
      <c r="D229" s="791" t="s">
        <v>1412</v>
      </c>
      <c r="E229" s="830" t="s">
        <v>1540</v>
      </c>
      <c r="F229" s="793">
        <v>6</v>
      </c>
      <c r="G229" s="793" t="s">
        <v>1395</v>
      </c>
      <c r="H229" s="860" t="s">
        <v>1537</v>
      </c>
      <c r="I229" s="1183">
        <v>2917557.6146353055</v>
      </c>
      <c r="J229" s="1086"/>
      <c r="K229" s="1086"/>
      <c r="L229" s="1086"/>
      <c r="M229" s="961">
        <v>20</v>
      </c>
      <c r="N229" s="997" t="s">
        <v>1538</v>
      </c>
      <c r="O229" s="1087"/>
      <c r="P229" s="1087"/>
      <c r="Q229" s="1087"/>
      <c r="R229" s="1087"/>
      <c r="S229" s="1087"/>
      <c r="T229" s="1087"/>
      <c r="U229" s="1088">
        <v>22</v>
      </c>
      <c r="V229" s="1089" t="s">
        <v>266</v>
      </c>
      <c r="W229" s="820">
        <v>2201</v>
      </c>
      <c r="X229" s="857" t="s">
        <v>152</v>
      </c>
      <c r="Y229" s="1250" t="s">
        <v>2301</v>
      </c>
      <c r="Z229" s="791" t="s">
        <v>2300</v>
      </c>
      <c r="AA229" s="792">
        <v>2201073</v>
      </c>
      <c r="AB229" s="713" t="s">
        <v>660</v>
      </c>
      <c r="AC229" s="1271" t="s">
        <v>662</v>
      </c>
      <c r="AD229" s="901" t="s">
        <v>1473</v>
      </c>
      <c r="AE229" s="872">
        <v>92330</v>
      </c>
      <c r="AF229" s="873" t="s">
        <v>1807</v>
      </c>
      <c r="AG229" s="1092"/>
      <c r="AH229" s="873" t="str">
        <f t="shared" si="6"/>
        <v>2.3.2.02.02.009..2201073.92330</v>
      </c>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row>
    <row r="230" spans="1:114" ht="78" hidden="1" customHeight="1" x14ac:dyDescent="0.2">
      <c r="A230" s="820">
        <v>314</v>
      </c>
      <c r="B230" s="868" t="s">
        <v>266</v>
      </c>
      <c r="C230" s="793">
        <v>1</v>
      </c>
      <c r="D230" s="791" t="s">
        <v>1412</v>
      </c>
      <c r="E230" s="830" t="s">
        <v>1540</v>
      </c>
      <c r="F230" s="793">
        <v>6</v>
      </c>
      <c r="G230" s="793" t="s">
        <v>1395</v>
      </c>
      <c r="H230" s="860" t="s">
        <v>1537</v>
      </c>
      <c r="I230" s="1183">
        <v>1328898.3923338875</v>
      </c>
      <c r="J230" s="1086"/>
      <c r="K230" s="1086"/>
      <c r="L230" s="1086"/>
      <c r="M230" s="961">
        <v>20</v>
      </c>
      <c r="N230" s="997" t="s">
        <v>1538</v>
      </c>
      <c r="O230" s="1087"/>
      <c r="P230" s="1087"/>
      <c r="Q230" s="1087"/>
      <c r="R230" s="1087"/>
      <c r="S230" s="1087"/>
      <c r="T230" s="1087"/>
      <c r="U230" s="1088">
        <v>22</v>
      </c>
      <c r="V230" s="1089" t="s">
        <v>266</v>
      </c>
      <c r="W230" s="820">
        <v>2201</v>
      </c>
      <c r="X230" s="857" t="s">
        <v>152</v>
      </c>
      <c r="Y230" s="1250" t="s">
        <v>2299</v>
      </c>
      <c r="Z230" s="791" t="s">
        <v>2298</v>
      </c>
      <c r="AA230" s="792">
        <v>2201074</v>
      </c>
      <c r="AB230" s="713" t="s">
        <v>665</v>
      </c>
      <c r="AC230" s="1271" t="s">
        <v>662</v>
      </c>
      <c r="AD230" s="901" t="s">
        <v>1473</v>
      </c>
      <c r="AE230" s="872">
        <v>92102</v>
      </c>
      <c r="AF230" s="873" t="s">
        <v>1804</v>
      </c>
      <c r="AG230" s="1092"/>
      <c r="AH230" s="873" t="str">
        <f t="shared" si="6"/>
        <v>2.3.2.02.02.009..2201074.92102</v>
      </c>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row>
    <row r="231" spans="1:114" ht="78" hidden="1" customHeight="1" x14ac:dyDescent="0.2">
      <c r="A231" s="820">
        <v>314</v>
      </c>
      <c r="B231" s="868" t="s">
        <v>266</v>
      </c>
      <c r="C231" s="793">
        <v>1</v>
      </c>
      <c r="D231" s="791" t="s">
        <v>1412</v>
      </c>
      <c r="E231" s="830" t="s">
        <v>1540</v>
      </c>
      <c r="F231" s="793">
        <v>6</v>
      </c>
      <c r="G231" s="793" t="s">
        <v>1395</v>
      </c>
      <c r="H231" s="860" t="s">
        <v>1537</v>
      </c>
      <c r="I231" s="1183">
        <v>8252158.0739684803</v>
      </c>
      <c r="J231" s="1086"/>
      <c r="K231" s="1086"/>
      <c r="L231" s="1086"/>
      <c r="M231" s="961">
        <v>20</v>
      </c>
      <c r="N231" s="997" t="s">
        <v>1538</v>
      </c>
      <c r="O231" s="1087"/>
      <c r="P231" s="1087"/>
      <c r="Q231" s="1087"/>
      <c r="R231" s="1087"/>
      <c r="S231" s="1087"/>
      <c r="T231" s="1087"/>
      <c r="U231" s="1088">
        <v>22</v>
      </c>
      <c r="V231" s="1089" t="s">
        <v>266</v>
      </c>
      <c r="W231" s="820">
        <v>2201</v>
      </c>
      <c r="X231" s="857" t="s">
        <v>152</v>
      </c>
      <c r="Y231" s="1250" t="s">
        <v>2299</v>
      </c>
      <c r="Z231" s="791" t="s">
        <v>2298</v>
      </c>
      <c r="AA231" s="792">
        <v>2201074</v>
      </c>
      <c r="AB231" s="713" t="s">
        <v>665</v>
      </c>
      <c r="AC231" s="1271" t="s">
        <v>662</v>
      </c>
      <c r="AD231" s="901" t="s">
        <v>1473</v>
      </c>
      <c r="AE231" s="872">
        <v>92200</v>
      </c>
      <c r="AF231" s="873" t="s">
        <v>1805</v>
      </c>
      <c r="AG231" s="1092"/>
      <c r="AH231" s="873" t="str">
        <f t="shared" si="6"/>
        <v>2.3.2.02.02.009..2201074.92200</v>
      </c>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row>
    <row r="232" spans="1:114" ht="78" hidden="1" customHeight="1" x14ac:dyDescent="0.2">
      <c r="A232" s="820">
        <v>314</v>
      </c>
      <c r="B232" s="868" t="s">
        <v>266</v>
      </c>
      <c r="C232" s="793">
        <v>1</v>
      </c>
      <c r="D232" s="791" t="s">
        <v>1412</v>
      </c>
      <c r="E232" s="830" t="s">
        <v>1540</v>
      </c>
      <c r="F232" s="793">
        <v>6</v>
      </c>
      <c r="G232" s="793" t="s">
        <v>1395</v>
      </c>
      <c r="H232" s="860" t="s">
        <v>1537</v>
      </c>
      <c r="I232" s="1183">
        <v>7501385.9190623267</v>
      </c>
      <c r="J232" s="1086"/>
      <c r="K232" s="1086"/>
      <c r="L232" s="1086"/>
      <c r="M232" s="961">
        <v>20</v>
      </c>
      <c r="N232" s="997" t="s">
        <v>1538</v>
      </c>
      <c r="O232" s="1087"/>
      <c r="P232" s="1087"/>
      <c r="Q232" s="1087"/>
      <c r="R232" s="1087"/>
      <c r="S232" s="1087"/>
      <c r="T232" s="1087"/>
      <c r="U232" s="1088">
        <v>22</v>
      </c>
      <c r="V232" s="1089" t="s">
        <v>266</v>
      </c>
      <c r="W232" s="820">
        <v>2201</v>
      </c>
      <c r="X232" s="857" t="s">
        <v>152</v>
      </c>
      <c r="Y232" s="1250" t="s">
        <v>2299</v>
      </c>
      <c r="Z232" s="791" t="s">
        <v>2298</v>
      </c>
      <c r="AA232" s="792">
        <v>2201074</v>
      </c>
      <c r="AB232" s="713" t="s">
        <v>665</v>
      </c>
      <c r="AC232" s="1271" t="s">
        <v>662</v>
      </c>
      <c r="AD232" s="901" t="s">
        <v>1473</v>
      </c>
      <c r="AE232" s="872">
        <v>92310</v>
      </c>
      <c r="AF232" s="873" t="s">
        <v>1806</v>
      </c>
      <c r="AG232" s="1092"/>
      <c r="AH232" s="873" t="str">
        <f t="shared" si="6"/>
        <v>2.3.2.02.02.009..2201074.92310</v>
      </c>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row>
    <row r="233" spans="1:114" ht="78" hidden="1" customHeight="1" x14ac:dyDescent="0.2">
      <c r="A233" s="820">
        <v>314</v>
      </c>
      <c r="B233" s="868" t="s">
        <v>266</v>
      </c>
      <c r="C233" s="793">
        <v>1</v>
      </c>
      <c r="D233" s="791" t="s">
        <v>1412</v>
      </c>
      <c r="E233" s="830" t="s">
        <v>1540</v>
      </c>
      <c r="F233" s="793">
        <v>6</v>
      </c>
      <c r="G233" s="793" t="s">
        <v>1395</v>
      </c>
      <c r="H233" s="860" t="s">
        <v>1537</v>
      </c>
      <c r="I233" s="1183">
        <v>2917557.6146353055</v>
      </c>
      <c r="J233" s="1086"/>
      <c r="K233" s="1086"/>
      <c r="L233" s="1086"/>
      <c r="M233" s="961">
        <v>20</v>
      </c>
      <c r="N233" s="997" t="s">
        <v>1538</v>
      </c>
      <c r="O233" s="1087"/>
      <c r="P233" s="1087"/>
      <c r="Q233" s="1087"/>
      <c r="R233" s="1087"/>
      <c r="S233" s="1087"/>
      <c r="T233" s="1087"/>
      <c r="U233" s="1088">
        <v>22</v>
      </c>
      <c r="V233" s="1089" t="s">
        <v>266</v>
      </c>
      <c r="W233" s="820">
        <v>2201</v>
      </c>
      <c r="X233" s="857" t="s">
        <v>152</v>
      </c>
      <c r="Y233" s="1250" t="s">
        <v>2299</v>
      </c>
      <c r="Z233" s="791" t="s">
        <v>2298</v>
      </c>
      <c r="AA233" s="792">
        <v>2201074</v>
      </c>
      <c r="AB233" s="713" t="s">
        <v>665</v>
      </c>
      <c r="AC233" s="1271" t="s">
        <v>662</v>
      </c>
      <c r="AD233" s="901" t="s">
        <v>1473</v>
      </c>
      <c r="AE233" s="872">
        <v>92330</v>
      </c>
      <c r="AF233" s="873" t="s">
        <v>1807</v>
      </c>
      <c r="AG233" s="1092"/>
      <c r="AH233" s="873" t="str">
        <f t="shared" si="6"/>
        <v>2.3.2.02.02.009..2201074.92330</v>
      </c>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row>
    <row r="234" spans="1:114" ht="96" hidden="1" customHeight="1" x14ac:dyDescent="0.2">
      <c r="A234" s="820">
        <v>314</v>
      </c>
      <c r="B234" s="868" t="s">
        <v>266</v>
      </c>
      <c r="C234" s="793">
        <v>1</v>
      </c>
      <c r="D234" s="791" t="s">
        <v>1412</v>
      </c>
      <c r="E234" s="830" t="s">
        <v>1540</v>
      </c>
      <c r="F234" s="793">
        <v>6</v>
      </c>
      <c r="G234" s="793" t="s">
        <v>1395</v>
      </c>
      <c r="H234" s="860" t="s">
        <v>1537</v>
      </c>
      <c r="I234" s="1183">
        <v>20000000</v>
      </c>
      <c r="J234" s="1086"/>
      <c r="K234" s="1086"/>
      <c r="L234" s="1086"/>
      <c r="M234" s="961">
        <v>20</v>
      </c>
      <c r="N234" s="997" t="s">
        <v>1538</v>
      </c>
      <c r="O234" s="1087"/>
      <c r="P234" s="1087"/>
      <c r="Q234" s="1087"/>
      <c r="R234" s="1087"/>
      <c r="S234" s="1087"/>
      <c r="T234" s="1087"/>
      <c r="U234" s="1088">
        <v>22</v>
      </c>
      <c r="V234" s="1089" t="s">
        <v>266</v>
      </c>
      <c r="W234" s="820">
        <v>2201</v>
      </c>
      <c r="X234" s="857" t="s">
        <v>152</v>
      </c>
      <c r="Y234" s="1250" t="s">
        <v>2299</v>
      </c>
      <c r="Z234" s="791" t="s">
        <v>2298</v>
      </c>
      <c r="AA234" s="792">
        <v>2201010</v>
      </c>
      <c r="AB234" s="713" t="s">
        <v>667</v>
      </c>
      <c r="AC234" s="1271" t="s">
        <v>662</v>
      </c>
      <c r="AD234" s="901" t="s">
        <v>1473</v>
      </c>
      <c r="AE234" s="872">
        <v>92102</v>
      </c>
      <c r="AF234" s="873" t="s">
        <v>1804</v>
      </c>
      <c r="AG234" s="1092"/>
      <c r="AH234" s="873" t="str">
        <f t="shared" si="6"/>
        <v>2.3.2.02.02.009..2201010.92102</v>
      </c>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row>
    <row r="235" spans="1:114" ht="110.25" hidden="1" customHeight="1" x14ac:dyDescent="0.2">
      <c r="A235" s="820">
        <v>314</v>
      </c>
      <c r="B235" s="868" t="s">
        <v>266</v>
      </c>
      <c r="C235" s="793">
        <v>1</v>
      </c>
      <c r="D235" s="791" t="s">
        <v>1412</v>
      </c>
      <c r="E235" s="830" t="s">
        <v>1540</v>
      </c>
      <c r="F235" s="793">
        <v>6</v>
      </c>
      <c r="G235" s="793" t="s">
        <v>1395</v>
      </c>
      <c r="H235" s="860" t="s">
        <v>1537</v>
      </c>
      <c r="I235" s="1183">
        <v>114683931.25841451</v>
      </c>
      <c r="J235" s="1086"/>
      <c r="K235" s="1086"/>
      <c r="L235" s="1086"/>
      <c r="M235" s="961">
        <v>25</v>
      </c>
      <c r="N235" s="997" t="s">
        <v>1808</v>
      </c>
      <c r="O235" s="1087"/>
      <c r="P235" s="1087"/>
      <c r="Q235" s="1087"/>
      <c r="R235" s="1087"/>
      <c r="S235" s="1087"/>
      <c r="T235" s="1087"/>
      <c r="U235" s="1088">
        <v>22</v>
      </c>
      <c r="V235" s="1089" t="s">
        <v>266</v>
      </c>
      <c r="W235" s="820">
        <v>2201</v>
      </c>
      <c r="X235" s="857" t="s">
        <v>152</v>
      </c>
      <c r="Y235" s="1250" t="s">
        <v>2299</v>
      </c>
      <c r="Z235" s="791" t="s">
        <v>2298</v>
      </c>
      <c r="AA235" s="792">
        <v>2201030</v>
      </c>
      <c r="AB235" s="713" t="s">
        <v>673</v>
      </c>
      <c r="AC235" s="1271" t="s">
        <v>662</v>
      </c>
      <c r="AD235" s="901" t="s">
        <v>1473</v>
      </c>
      <c r="AE235" s="872">
        <v>92102</v>
      </c>
      <c r="AF235" s="873" t="s">
        <v>1804</v>
      </c>
      <c r="AG235" s="1092"/>
      <c r="AH235" s="873" t="str">
        <f t="shared" si="6"/>
        <v>2.3.2.02.02.009..2201030.92102</v>
      </c>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row>
    <row r="236" spans="1:114" ht="50.25" hidden="1" customHeight="1" x14ac:dyDescent="0.2">
      <c r="A236" s="820">
        <v>314</v>
      </c>
      <c r="B236" s="868" t="s">
        <v>266</v>
      </c>
      <c r="C236" s="793">
        <v>1</v>
      </c>
      <c r="D236" s="791" t="s">
        <v>1412</v>
      </c>
      <c r="E236" s="830" t="s">
        <v>1540</v>
      </c>
      <c r="F236" s="793">
        <v>6</v>
      </c>
      <c r="G236" s="793" t="s">
        <v>1395</v>
      </c>
      <c r="H236" s="860" t="s">
        <v>1537</v>
      </c>
      <c r="I236" s="1183">
        <v>712161241.78347993</v>
      </c>
      <c r="J236" s="1086"/>
      <c r="K236" s="1086"/>
      <c r="L236" s="1086"/>
      <c r="M236" s="961">
        <v>25</v>
      </c>
      <c r="N236" s="997" t="s">
        <v>1808</v>
      </c>
      <c r="O236" s="1087"/>
      <c r="P236" s="1087"/>
      <c r="Q236" s="1087"/>
      <c r="R236" s="1087"/>
      <c r="S236" s="1087"/>
      <c r="T236" s="1087"/>
      <c r="U236" s="1088">
        <v>22</v>
      </c>
      <c r="V236" s="1089" t="s">
        <v>266</v>
      </c>
      <c r="W236" s="820">
        <v>2201</v>
      </c>
      <c r="X236" s="857" t="s">
        <v>152</v>
      </c>
      <c r="Y236" s="1250" t="s">
        <v>2299</v>
      </c>
      <c r="Z236" s="791" t="s">
        <v>2298</v>
      </c>
      <c r="AA236" s="792">
        <v>2201030</v>
      </c>
      <c r="AB236" s="713" t="s">
        <v>673</v>
      </c>
      <c r="AC236" s="1271" t="s">
        <v>662</v>
      </c>
      <c r="AD236" s="901" t="s">
        <v>1473</v>
      </c>
      <c r="AE236" s="872">
        <v>92200</v>
      </c>
      <c r="AF236" s="873" t="s">
        <v>1805</v>
      </c>
      <c r="AG236" s="1092"/>
      <c r="AH236" s="873" t="str">
        <f t="shared" si="6"/>
        <v>2.3.2.02.02.009..2201030.92200</v>
      </c>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row>
    <row r="237" spans="1:114" ht="100.5" hidden="1" customHeight="1" x14ac:dyDescent="0.2">
      <c r="A237" s="820">
        <v>314</v>
      </c>
      <c r="B237" s="868" t="s">
        <v>266</v>
      </c>
      <c r="C237" s="793">
        <v>1</v>
      </c>
      <c r="D237" s="791" t="s">
        <v>1412</v>
      </c>
      <c r="E237" s="830" t="s">
        <v>1540</v>
      </c>
      <c r="F237" s="793">
        <v>6</v>
      </c>
      <c r="G237" s="793" t="s">
        <v>1395</v>
      </c>
      <c r="H237" s="860" t="s">
        <v>1537</v>
      </c>
      <c r="I237" s="1183">
        <v>647369604.81507874</v>
      </c>
      <c r="J237" s="1086"/>
      <c r="K237" s="1086"/>
      <c r="L237" s="1086"/>
      <c r="M237" s="961">
        <v>25</v>
      </c>
      <c r="N237" s="997" t="s">
        <v>1808</v>
      </c>
      <c r="O237" s="1087"/>
      <c r="P237" s="1087"/>
      <c r="Q237" s="1087"/>
      <c r="R237" s="1087"/>
      <c r="S237" s="1087"/>
      <c r="T237" s="1087"/>
      <c r="U237" s="1088">
        <v>22</v>
      </c>
      <c r="V237" s="1089" t="s">
        <v>266</v>
      </c>
      <c r="W237" s="820">
        <v>2201</v>
      </c>
      <c r="X237" s="857" t="s">
        <v>152</v>
      </c>
      <c r="Y237" s="1250" t="s">
        <v>2299</v>
      </c>
      <c r="Z237" s="791" t="s">
        <v>2298</v>
      </c>
      <c r="AA237" s="792">
        <v>2201030</v>
      </c>
      <c r="AB237" s="713" t="s">
        <v>673</v>
      </c>
      <c r="AC237" s="1271" t="s">
        <v>662</v>
      </c>
      <c r="AD237" s="901" t="s">
        <v>1473</v>
      </c>
      <c r="AE237" s="872">
        <v>92310</v>
      </c>
      <c r="AF237" s="873" t="s">
        <v>1806</v>
      </c>
      <c r="AG237" s="1092"/>
      <c r="AH237" s="873" t="str">
        <f t="shared" si="6"/>
        <v>2.3.2.02.02.009..2201030.92310</v>
      </c>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row>
    <row r="238" spans="1:114" ht="81" hidden="1" customHeight="1" x14ac:dyDescent="0.2">
      <c r="A238" s="820">
        <v>314</v>
      </c>
      <c r="B238" s="868" t="s">
        <v>266</v>
      </c>
      <c r="C238" s="793">
        <v>1</v>
      </c>
      <c r="D238" s="791" t="s">
        <v>1412</v>
      </c>
      <c r="E238" s="830" t="s">
        <v>1540</v>
      </c>
      <c r="F238" s="793">
        <v>6</v>
      </c>
      <c r="G238" s="793" t="s">
        <v>1395</v>
      </c>
      <c r="H238" s="860" t="s">
        <v>1537</v>
      </c>
      <c r="I238" s="1183">
        <v>251785222.14302686</v>
      </c>
      <c r="J238" s="1086"/>
      <c r="K238" s="1086"/>
      <c r="L238" s="1086"/>
      <c r="M238" s="961">
        <v>25</v>
      </c>
      <c r="N238" s="997" t="s">
        <v>1808</v>
      </c>
      <c r="O238" s="1087"/>
      <c r="P238" s="1087"/>
      <c r="Q238" s="1087"/>
      <c r="R238" s="1087"/>
      <c r="S238" s="1087"/>
      <c r="T238" s="1087"/>
      <c r="U238" s="1088">
        <v>22</v>
      </c>
      <c r="V238" s="1089" t="s">
        <v>266</v>
      </c>
      <c r="W238" s="820">
        <v>2201</v>
      </c>
      <c r="X238" s="857" t="s">
        <v>152</v>
      </c>
      <c r="Y238" s="1250" t="s">
        <v>2299</v>
      </c>
      <c r="Z238" s="791" t="s">
        <v>2298</v>
      </c>
      <c r="AA238" s="792">
        <v>2201030</v>
      </c>
      <c r="AB238" s="713" t="s">
        <v>673</v>
      </c>
      <c r="AC238" s="1271" t="s">
        <v>662</v>
      </c>
      <c r="AD238" s="901" t="s">
        <v>1473</v>
      </c>
      <c r="AE238" s="872">
        <v>92330</v>
      </c>
      <c r="AF238" s="873" t="s">
        <v>1807</v>
      </c>
      <c r="AG238" s="1092"/>
      <c r="AH238" s="873" t="str">
        <f t="shared" si="6"/>
        <v>2.3.2.02.02.009..2201030.92330</v>
      </c>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row>
    <row r="239" spans="1:114" ht="78" hidden="1" customHeight="1" x14ac:dyDescent="0.2">
      <c r="A239" s="820">
        <v>314</v>
      </c>
      <c r="B239" s="868" t="s">
        <v>266</v>
      </c>
      <c r="C239" s="793">
        <v>1</v>
      </c>
      <c r="D239" s="791" t="s">
        <v>1412</v>
      </c>
      <c r="E239" s="830" t="s">
        <v>1540</v>
      </c>
      <c r="F239" s="793">
        <v>6</v>
      </c>
      <c r="G239" s="793" t="s">
        <v>1395</v>
      </c>
      <c r="H239" s="860" t="s">
        <v>1537</v>
      </c>
      <c r="I239" s="1183">
        <v>10000000</v>
      </c>
      <c r="K239" s="1086"/>
      <c r="L239" s="1086"/>
      <c r="M239" s="961">
        <v>20</v>
      </c>
      <c r="N239" s="997" t="s">
        <v>1538</v>
      </c>
      <c r="O239" s="1087"/>
      <c r="P239" s="1087"/>
      <c r="Q239" s="1087"/>
      <c r="R239" s="1087"/>
      <c r="S239" s="1087"/>
      <c r="T239" s="1087"/>
      <c r="U239" s="1088">
        <v>22</v>
      </c>
      <c r="V239" s="1089" t="s">
        <v>266</v>
      </c>
      <c r="W239" s="820">
        <v>2201</v>
      </c>
      <c r="X239" s="857" t="s">
        <v>152</v>
      </c>
      <c r="Y239" s="1250" t="s">
        <v>2299</v>
      </c>
      <c r="Z239" s="791" t="s">
        <v>2298</v>
      </c>
      <c r="AA239" s="792">
        <v>2201035</v>
      </c>
      <c r="AB239" s="713" t="s">
        <v>679</v>
      </c>
      <c r="AC239" s="1271" t="s">
        <v>662</v>
      </c>
      <c r="AD239" s="901" t="s">
        <v>1473</v>
      </c>
      <c r="AE239" s="872">
        <v>92330</v>
      </c>
      <c r="AF239" s="873" t="s">
        <v>1807</v>
      </c>
      <c r="AG239" s="1092"/>
      <c r="AH239" s="873" t="str">
        <f t="shared" ref="AH239:AH298" si="9">CONCATENATE(E239,".",AA239,".",AE239)</f>
        <v>2.3.2.02.02.009..2201035.92330</v>
      </c>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row>
    <row r="240" spans="1:114" ht="78" hidden="1" customHeight="1" x14ac:dyDescent="0.2">
      <c r="A240" s="820">
        <v>314</v>
      </c>
      <c r="B240" s="868" t="s">
        <v>266</v>
      </c>
      <c r="C240" s="793">
        <v>1</v>
      </c>
      <c r="D240" s="791" t="s">
        <v>1412</v>
      </c>
      <c r="E240" s="830" t="s">
        <v>1540</v>
      </c>
      <c r="F240" s="793">
        <v>6</v>
      </c>
      <c r="G240" s="793" t="s">
        <v>1395</v>
      </c>
      <c r="H240" s="860" t="s">
        <v>1537</v>
      </c>
      <c r="I240" s="1183">
        <v>664449.19616694376</v>
      </c>
      <c r="J240" s="1086"/>
      <c r="K240" s="1086"/>
      <c r="L240" s="1086"/>
      <c r="M240" s="961">
        <v>20</v>
      </c>
      <c r="N240" s="997" t="s">
        <v>1538</v>
      </c>
      <c r="O240" s="1087"/>
      <c r="P240" s="1087"/>
      <c r="Q240" s="1087"/>
      <c r="R240" s="1087"/>
      <c r="S240" s="1087"/>
      <c r="T240" s="1087"/>
      <c r="U240" s="1088">
        <v>22</v>
      </c>
      <c r="V240" s="1089" t="s">
        <v>266</v>
      </c>
      <c r="W240" s="820">
        <v>2201</v>
      </c>
      <c r="X240" s="857" t="s">
        <v>152</v>
      </c>
      <c r="Y240" s="1250" t="s">
        <v>2299</v>
      </c>
      <c r="Z240" s="791" t="s">
        <v>2298</v>
      </c>
      <c r="AA240" s="792">
        <v>2201046</v>
      </c>
      <c r="AB240" s="713" t="s">
        <v>681</v>
      </c>
      <c r="AC240" s="1271" t="s">
        <v>662</v>
      </c>
      <c r="AD240" s="901" t="s">
        <v>1473</v>
      </c>
      <c r="AE240" s="872">
        <v>92102</v>
      </c>
      <c r="AF240" s="873" t="s">
        <v>1804</v>
      </c>
      <c r="AG240" s="1092"/>
      <c r="AH240" s="873" t="str">
        <f t="shared" si="9"/>
        <v>2.3.2.02.02.009..2201046.92102</v>
      </c>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row>
    <row r="241" spans="1:114" ht="78" hidden="1" customHeight="1" x14ac:dyDescent="0.2">
      <c r="A241" s="820">
        <v>314</v>
      </c>
      <c r="B241" s="868" t="s">
        <v>266</v>
      </c>
      <c r="C241" s="793">
        <v>1</v>
      </c>
      <c r="D241" s="791" t="s">
        <v>1412</v>
      </c>
      <c r="E241" s="830" t="s">
        <v>1540</v>
      </c>
      <c r="F241" s="793">
        <v>6</v>
      </c>
      <c r="G241" s="793" t="s">
        <v>1395</v>
      </c>
      <c r="H241" s="860" t="s">
        <v>1537</v>
      </c>
      <c r="I241" s="1183">
        <v>4126079.0369842402</v>
      </c>
      <c r="J241" s="1086"/>
      <c r="K241" s="1086"/>
      <c r="L241" s="1086"/>
      <c r="M241" s="961">
        <v>20</v>
      </c>
      <c r="N241" s="997" t="s">
        <v>1538</v>
      </c>
      <c r="O241" s="1087"/>
      <c r="P241" s="1087"/>
      <c r="Q241" s="1087"/>
      <c r="R241" s="1087"/>
      <c r="S241" s="1087"/>
      <c r="T241" s="1087"/>
      <c r="U241" s="1088">
        <v>22</v>
      </c>
      <c r="V241" s="1089" t="s">
        <v>266</v>
      </c>
      <c r="W241" s="820">
        <v>2201</v>
      </c>
      <c r="X241" s="857" t="s">
        <v>152</v>
      </c>
      <c r="Y241" s="1250" t="s">
        <v>2299</v>
      </c>
      <c r="Z241" s="791" t="s">
        <v>2298</v>
      </c>
      <c r="AA241" s="792">
        <v>2201046</v>
      </c>
      <c r="AB241" s="713" t="s">
        <v>681</v>
      </c>
      <c r="AC241" s="1271" t="s">
        <v>662</v>
      </c>
      <c r="AD241" s="901" t="s">
        <v>1473</v>
      </c>
      <c r="AE241" s="872">
        <v>92200</v>
      </c>
      <c r="AF241" s="873" t="s">
        <v>1805</v>
      </c>
      <c r="AG241" s="1092"/>
      <c r="AH241" s="873" t="str">
        <f t="shared" si="9"/>
        <v>2.3.2.02.02.009..2201046.92200</v>
      </c>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row>
    <row r="242" spans="1:114" ht="86.25" hidden="1" customHeight="1" x14ac:dyDescent="0.2">
      <c r="A242" s="820">
        <v>314</v>
      </c>
      <c r="B242" s="868" t="s">
        <v>266</v>
      </c>
      <c r="C242" s="793">
        <v>1</v>
      </c>
      <c r="D242" s="791" t="s">
        <v>1412</v>
      </c>
      <c r="E242" s="830" t="s">
        <v>1540</v>
      </c>
      <c r="F242" s="793">
        <v>6</v>
      </c>
      <c r="G242" s="793" t="s">
        <v>1395</v>
      </c>
      <c r="H242" s="860" t="s">
        <v>1537</v>
      </c>
      <c r="I242" s="1183">
        <v>3750692.9595311633</v>
      </c>
      <c r="J242" s="1086"/>
      <c r="K242" s="1086"/>
      <c r="L242" s="1086"/>
      <c r="M242" s="961">
        <v>20</v>
      </c>
      <c r="N242" s="997" t="s">
        <v>1538</v>
      </c>
      <c r="O242" s="1087"/>
      <c r="P242" s="1087"/>
      <c r="Q242" s="1087"/>
      <c r="R242" s="1087"/>
      <c r="S242" s="1087"/>
      <c r="T242" s="1087"/>
      <c r="U242" s="1088">
        <v>22</v>
      </c>
      <c r="V242" s="1089" t="s">
        <v>266</v>
      </c>
      <c r="W242" s="820">
        <v>2201</v>
      </c>
      <c r="X242" s="857" t="s">
        <v>152</v>
      </c>
      <c r="Y242" s="1250" t="s">
        <v>2299</v>
      </c>
      <c r="Z242" s="791" t="s">
        <v>2298</v>
      </c>
      <c r="AA242" s="792">
        <v>2201046</v>
      </c>
      <c r="AB242" s="713" t="s">
        <v>681</v>
      </c>
      <c r="AC242" s="1271" t="s">
        <v>662</v>
      </c>
      <c r="AD242" s="901" t="s">
        <v>1473</v>
      </c>
      <c r="AE242" s="872">
        <v>92310</v>
      </c>
      <c r="AF242" s="873" t="s">
        <v>1806</v>
      </c>
      <c r="AG242" s="1092"/>
      <c r="AH242" s="873" t="str">
        <f t="shared" si="9"/>
        <v>2.3.2.02.02.009..2201046.92310</v>
      </c>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row>
    <row r="243" spans="1:114" ht="81" hidden="1" customHeight="1" x14ac:dyDescent="0.2">
      <c r="A243" s="820">
        <v>314</v>
      </c>
      <c r="B243" s="868" t="s">
        <v>266</v>
      </c>
      <c r="C243" s="793">
        <v>1</v>
      </c>
      <c r="D243" s="791" t="s">
        <v>1412</v>
      </c>
      <c r="E243" s="830" t="s">
        <v>1540</v>
      </c>
      <c r="F243" s="793">
        <v>6</v>
      </c>
      <c r="G243" s="793" t="s">
        <v>1395</v>
      </c>
      <c r="H243" s="860" t="s">
        <v>1537</v>
      </c>
      <c r="I243" s="1183">
        <v>1458778.8073176527</v>
      </c>
      <c r="J243" s="1086"/>
      <c r="K243" s="1086"/>
      <c r="L243" s="1086"/>
      <c r="M243" s="961">
        <v>20</v>
      </c>
      <c r="N243" s="997" t="s">
        <v>1538</v>
      </c>
      <c r="O243" s="1087"/>
      <c r="P243" s="1087"/>
      <c r="Q243" s="1087"/>
      <c r="R243" s="1087"/>
      <c r="S243" s="1087"/>
      <c r="T243" s="1087"/>
      <c r="U243" s="1088">
        <v>22</v>
      </c>
      <c r="V243" s="1089" t="s">
        <v>266</v>
      </c>
      <c r="W243" s="820">
        <v>2201</v>
      </c>
      <c r="X243" s="857" t="s">
        <v>152</v>
      </c>
      <c r="Y243" s="1250" t="s">
        <v>2299</v>
      </c>
      <c r="Z243" s="791" t="s">
        <v>2298</v>
      </c>
      <c r="AA243" s="792">
        <v>2201046</v>
      </c>
      <c r="AB243" s="713" t="s">
        <v>681</v>
      </c>
      <c r="AC243" s="1271" t="s">
        <v>662</v>
      </c>
      <c r="AD243" s="901" t="s">
        <v>1473</v>
      </c>
      <c r="AE243" s="872">
        <v>92330</v>
      </c>
      <c r="AF243" s="873" t="s">
        <v>1807</v>
      </c>
      <c r="AG243" s="1092"/>
      <c r="AH243" s="873" t="str">
        <f t="shared" si="9"/>
        <v>2.3.2.02.02.009..2201046.92330</v>
      </c>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row>
    <row r="244" spans="1:114" ht="78" hidden="1" customHeight="1" x14ac:dyDescent="0.2">
      <c r="A244" s="820">
        <v>314</v>
      </c>
      <c r="B244" s="868" t="s">
        <v>266</v>
      </c>
      <c r="C244" s="793">
        <v>1</v>
      </c>
      <c r="D244" s="791" t="s">
        <v>1412</v>
      </c>
      <c r="E244" s="830" t="s">
        <v>1540</v>
      </c>
      <c r="F244" s="793">
        <v>6</v>
      </c>
      <c r="G244" s="793" t="s">
        <v>1395</v>
      </c>
      <c r="H244" s="860" t="s">
        <v>1537</v>
      </c>
      <c r="I244" s="1183">
        <v>664449.19616694376</v>
      </c>
      <c r="K244" s="1086"/>
      <c r="L244" s="1086"/>
      <c r="M244" s="961">
        <v>20</v>
      </c>
      <c r="N244" s="997" t="s">
        <v>1538</v>
      </c>
      <c r="O244" s="1087"/>
      <c r="P244" s="1087"/>
      <c r="Q244" s="1087"/>
      <c r="R244" s="1087"/>
      <c r="S244" s="1087"/>
      <c r="T244" s="1087"/>
      <c r="U244" s="1088">
        <v>22</v>
      </c>
      <c r="V244" s="1089" t="s">
        <v>266</v>
      </c>
      <c r="W244" s="820">
        <v>2201</v>
      </c>
      <c r="X244" s="857" t="s">
        <v>152</v>
      </c>
      <c r="Y244" s="1250" t="s">
        <v>2299</v>
      </c>
      <c r="Z244" s="791" t="s">
        <v>2298</v>
      </c>
      <c r="AA244" s="792">
        <v>2201054</v>
      </c>
      <c r="AB244" s="713" t="s">
        <v>683</v>
      </c>
      <c r="AC244" s="1271" t="s">
        <v>662</v>
      </c>
      <c r="AD244" s="901" t="s">
        <v>1473</v>
      </c>
      <c r="AE244" s="872">
        <v>92102</v>
      </c>
      <c r="AF244" s="873" t="s">
        <v>1804</v>
      </c>
      <c r="AG244" s="1092"/>
      <c r="AH244" s="873" t="str">
        <f t="shared" si="9"/>
        <v>2.3.2.02.02.009..2201054.92102</v>
      </c>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row>
    <row r="245" spans="1:114" ht="45.75" hidden="1" customHeight="1" x14ac:dyDescent="0.2">
      <c r="A245" s="820">
        <v>314</v>
      </c>
      <c r="B245" s="868" t="s">
        <v>266</v>
      </c>
      <c r="C245" s="793">
        <v>1</v>
      </c>
      <c r="D245" s="791" t="s">
        <v>1412</v>
      </c>
      <c r="E245" s="830" t="s">
        <v>1540</v>
      </c>
      <c r="F245" s="793">
        <v>6</v>
      </c>
      <c r="G245" s="793" t="s">
        <v>1395</v>
      </c>
      <c r="H245" s="860" t="s">
        <v>1537</v>
      </c>
      <c r="I245" s="1183">
        <v>4126079.0369842402</v>
      </c>
      <c r="K245" s="1086"/>
      <c r="L245" s="1086"/>
      <c r="M245" s="961">
        <v>20</v>
      </c>
      <c r="N245" s="997" t="s">
        <v>1538</v>
      </c>
      <c r="O245" s="1087"/>
      <c r="P245" s="1087"/>
      <c r="Q245" s="1087"/>
      <c r="R245" s="1087"/>
      <c r="S245" s="1087"/>
      <c r="T245" s="1087"/>
      <c r="U245" s="1088">
        <v>22</v>
      </c>
      <c r="V245" s="1089" t="s">
        <v>266</v>
      </c>
      <c r="W245" s="820">
        <v>2201</v>
      </c>
      <c r="X245" s="857" t="s">
        <v>152</v>
      </c>
      <c r="Y245" s="1250" t="s">
        <v>2299</v>
      </c>
      <c r="Z245" s="791" t="s">
        <v>2298</v>
      </c>
      <c r="AA245" s="792">
        <v>2201054</v>
      </c>
      <c r="AB245" s="713" t="s">
        <v>683</v>
      </c>
      <c r="AC245" s="1271" t="s">
        <v>662</v>
      </c>
      <c r="AD245" s="901" t="s">
        <v>1473</v>
      </c>
      <c r="AE245" s="872">
        <v>92200</v>
      </c>
      <c r="AF245" s="873" t="s">
        <v>1805</v>
      </c>
      <c r="AG245" s="1092"/>
      <c r="AH245" s="873" t="str">
        <f t="shared" si="9"/>
        <v>2.3.2.02.02.009..2201054.92200</v>
      </c>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row>
    <row r="246" spans="1:114" ht="57" hidden="1" customHeight="1" x14ac:dyDescent="0.2">
      <c r="A246" s="820">
        <v>314</v>
      </c>
      <c r="B246" s="868" t="s">
        <v>266</v>
      </c>
      <c r="C246" s="793">
        <v>1</v>
      </c>
      <c r="D246" s="791" t="s">
        <v>1412</v>
      </c>
      <c r="E246" s="830" t="s">
        <v>1540</v>
      </c>
      <c r="F246" s="793">
        <v>6</v>
      </c>
      <c r="G246" s="793" t="s">
        <v>1395</v>
      </c>
      <c r="H246" s="860" t="s">
        <v>1537</v>
      </c>
      <c r="I246" s="1183">
        <v>3750692.9595311633</v>
      </c>
      <c r="K246" s="1086"/>
      <c r="L246" s="1086"/>
      <c r="M246" s="961">
        <v>20</v>
      </c>
      <c r="N246" s="997" t="s">
        <v>1538</v>
      </c>
      <c r="O246" s="1087"/>
      <c r="P246" s="1087"/>
      <c r="Q246" s="1087"/>
      <c r="R246" s="1087"/>
      <c r="S246" s="1087"/>
      <c r="T246" s="1087"/>
      <c r="U246" s="1088">
        <v>22</v>
      </c>
      <c r="V246" s="1089" t="s">
        <v>266</v>
      </c>
      <c r="W246" s="820">
        <v>2201</v>
      </c>
      <c r="X246" s="857" t="s">
        <v>152</v>
      </c>
      <c r="Y246" s="1250" t="s">
        <v>2299</v>
      </c>
      <c r="Z246" s="791" t="s">
        <v>2298</v>
      </c>
      <c r="AA246" s="792">
        <v>2201054</v>
      </c>
      <c r="AB246" s="713" t="s">
        <v>683</v>
      </c>
      <c r="AC246" s="1271" t="s">
        <v>662</v>
      </c>
      <c r="AD246" s="901" t="s">
        <v>1473</v>
      </c>
      <c r="AE246" s="872">
        <v>92310</v>
      </c>
      <c r="AF246" s="873" t="s">
        <v>1806</v>
      </c>
      <c r="AG246" s="1092"/>
      <c r="AH246" s="873" t="str">
        <f t="shared" si="9"/>
        <v>2.3.2.02.02.009..2201054.92310</v>
      </c>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row>
    <row r="247" spans="1:114" ht="72.75" hidden="1" customHeight="1" x14ac:dyDescent="0.2">
      <c r="A247" s="820">
        <v>314</v>
      </c>
      <c r="B247" s="868" t="s">
        <v>266</v>
      </c>
      <c r="C247" s="793">
        <v>1</v>
      </c>
      <c r="D247" s="791" t="s">
        <v>1412</v>
      </c>
      <c r="E247" s="830" t="s">
        <v>1540</v>
      </c>
      <c r="F247" s="793">
        <v>6</v>
      </c>
      <c r="G247" s="793" t="s">
        <v>1395</v>
      </c>
      <c r="H247" s="860" t="s">
        <v>1537</v>
      </c>
      <c r="I247" s="1183">
        <v>1458778.8073176527</v>
      </c>
      <c r="K247" s="1086"/>
      <c r="L247" s="1086"/>
      <c r="M247" s="961">
        <v>20</v>
      </c>
      <c r="N247" s="997" t="s">
        <v>1538</v>
      </c>
      <c r="O247" s="1087"/>
      <c r="P247" s="1087"/>
      <c r="Q247" s="1087"/>
      <c r="R247" s="1087"/>
      <c r="S247" s="1087"/>
      <c r="T247" s="1087"/>
      <c r="U247" s="1088">
        <v>22</v>
      </c>
      <c r="V247" s="1089" t="s">
        <v>266</v>
      </c>
      <c r="W247" s="820">
        <v>2201</v>
      </c>
      <c r="X247" s="857" t="s">
        <v>152</v>
      </c>
      <c r="Y247" s="1250" t="s">
        <v>2299</v>
      </c>
      <c r="Z247" s="791" t="s">
        <v>2298</v>
      </c>
      <c r="AA247" s="792">
        <v>2201054</v>
      </c>
      <c r="AB247" s="713" t="s">
        <v>683</v>
      </c>
      <c r="AC247" s="1271" t="s">
        <v>662</v>
      </c>
      <c r="AD247" s="901" t="s">
        <v>1473</v>
      </c>
      <c r="AE247" s="872">
        <v>92330</v>
      </c>
      <c r="AF247" s="873" t="s">
        <v>1807</v>
      </c>
      <c r="AG247" s="1092"/>
      <c r="AH247" s="873" t="str">
        <f t="shared" si="9"/>
        <v>2.3.2.02.02.009..2201054.92330</v>
      </c>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row>
    <row r="248" spans="1:114" ht="78" hidden="1" customHeight="1" x14ac:dyDescent="0.2">
      <c r="A248" s="820">
        <v>314</v>
      </c>
      <c r="B248" s="868" t="s">
        <v>266</v>
      </c>
      <c r="C248" s="793">
        <v>1</v>
      </c>
      <c r="D248" s="791" t="s">
        <v>1412</v>
      </c>
      <c r="E248" s="830" t="s">
        <v>1540</v>
      </c>
      <c r="F248" s="793">
        <v>6</v>
      </c>
      <c r="G248" s="793" t="s">
        <v>1395</v>
      </c>
      <c r="H248" s="860" t="s">
        <v>1537</v>
      </c>
      <c r="I248" s="1183">
        <v>10000000</v>
      </c>
      <c r="J248" s="1086"/>
      <c r="K248" s="1086"/>
      <c r="L248" s="1086"/>
      <c r="M248" s="961">
        <v>20</v>
      </c>
      <c r="N248" s="997" t="s">
        <v>1538</v>
      </c>
      <c r="O248" s="1087"/>
      <c r="P248" s="1087"/>
      <c r="Q248" s="1087"/>
      <c r="R248" s="1087"/>
      <c r="S248" s="1087"/>
      <c r="T248" s="1087"/>
      <c r="U248" s="1088">
        <v>22</v>
      </c>
      <c r="V248" s="1089" t="s">
        <v>266</v>
      </c>
      <c r="W248" s="820">
        <v>2201</v>
      </c>
      <c r="X248" s="857" t="s">
        <v>152</v>
      </c>
      <c r="Y248" s="1250" t="s">
        <v>2299</v>
      </c>
      <c r="Z248" s="791" t="s">
        <v>2298</v>
      </c>
      <c r="AA248" s="792">
        <v>2201061</v>
      </c>
      <c r="AB248" s="713" t="s">
        <v>685</v>
      </c>
      <c r="AC248" s="1271" t="s">
        <v>662</v>
      </c>
      <c r="AD248" s="901" t="s">
        <v>1473</v>
      </c>
      <c r="AE248" s="872">
        <v>92330</v>
      </c>
      <c r="AF248" s="873" t="s">
        <v>1807</v>
      </c>
      <c r="AG248" s="1092"/>
      <c r="AH248" s="873" t="str">
        <f t="shared" si="9"/>
        <v>2.3.2.02.02.009..2201061.92330</v>
      </c>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row>
    <row r="249" spans="1:114" ht="78" hidden="1" customHeight="1" x14ac:dyDescent="0.2">
      <c r="A249" s="820">
        <v>314</v>
      </c>
      <c r="B249" s="868" t="s">
        <v>266</v>
      </c>
      <c r="C249" s="793">
        <v>1</v>
      </c>
      <c r="D249" s="791" t="s">
        <v>1412</v>
      </c>
      <c r="E249" s="830" t="s">
        <v>1540</v>
      </c>
      <c r="F249" s="793">
        <v>6</v>
      </c>
      <c r="G249" s="793" t="s">
        <v>1395</v>
      </c>
      <c r="H249" s="860" t="s">
        <v>1537</v>
      </c>
      <c r="I249" s="1183">
        <v>10000000</v>
      </c>
      <c r="J249" s="1086"/>
      <c r="K249" s="1086"/>
      <c r="L249" s="1086"/>
      <c r="M249" s="961">
        <v>20</v>
      </c>
      <c r="N249" s="997" t="s">
        <v>1538</v>
      </c>
      <c r="O249" s="1087"/>
      <c r="P249" s="1087"/>
      <c r="Q249" s="1087"/>
      <c r="R249" s="1087"/>
      <c r="S249" s="1087"/>
      <c r="T249" s="1087"/>
      <c r="U249" s="1088">
        <v>22</v>
      </c>
      <c r="V249" s="1089" t="s">
        <v>266</v>
      </c>
      <c r="W249" s="820">
        <v>2201</v>
      </c>
      <c r="X249" s="857" t="s">
        <v>152</v>
      </c>
      <c r="Y249" s="1250" t="s">
        <v>2299</v>
      </c>
      <c r="Z249" s="791" t="s">
        <v>2298</v>
      </c>
      <c r="AA249" s="792">
        <v>2201066</v>
      </c>
      <c r="AB249" s="713" t="s">
        <v>687</v>
      </c>
      <c r="AC249" s="1271" t="s">
        <v>662</v>
      </c>
      <c r="AD249" s="901" t="s">
        <v>1473</v>
      </c>
      <c r="AE249" s="872">
        <v>92330</v>
      </c>
      <c r="AF249" s="873" t="s">
        <v>1807</v>
      </c>
      <c r="AG249" s="1092"/>
      <c r="AH249" s="873" t="str">
        <f t="shared" si="9"/>
        <v>2.3.2.02.02.009..2201066.92330</v>
      </c>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row>
    <row r="250" spans="1:114" ht="78" hidden="1" customHeight="1" x14ac:dyDescent="0.2">
      <c r="A250" s="820">
        <v>314</v>
      </c>
      <c r="B250" s="868" t="s">
        <v>266</v>
      </c>
      <c r="C250" s="793">
        <v>1</v>
      </c>
      <c r="D250" s="791" t="s">
        <v>1412</v>
      </c>
      <c r="E250" s="830" t="s">
        <v>1540</v>
      </c>
      <c r="F250" s="793">
        <v>6</v>
      </c>
      <c r="G250" s="793" t="s">
        <v>1395</v>
      </c>
      <c r="H250" s="860" t="s">
        <v>1537</v>
      </c>
      <c r="I250" s="1183">
        <v>664449.19616694376</v>
      </c>
      <c r="J250" s="1086"/>
      <c r="K250" s="1086"/>
      <c r="L250" s="1086"/>
      <c r="M250" s="961">
        <v>20</v>
      </c>
      <c r="N250" s="997" t="s">
        <v>1538</v>
      </c>
      <c r="O250" s="1087"/>
      <c r="P250" s="1087"/>
      <c r="Q250" s="1087"/>
      <c r="R250" s="1087"/>
      <c r="S250" s="1087"/>
      <c r="T250" s="1087"/>
      <c r="U250" s="1088">
        <v>22</v>
      </c>
      <c r="V250" s="1089" t="s">
        <v>266</v>
      </c>
      <c r="W250" s="820">
        <v>2201</v>
      </c>
      <c r="X250" s="857" t="s">
        <v>152</v>
      </c>
      <c r="Y250" s="1250" t="s">
        <v>2299</v>
      </c>
      <c r="Z250" s="791" t="s">
        <v>2298</v>
      </c>
      <c r="AA250" s="792">
        <v>2201006</v>
      </c>
      <c r="AB250" s="713" t="s">
        <v>692</v>
      </c>
      <c r="AC250" s="1271" t="s">
        <v>694</v>
      </c>
      <c r="AD250" s="791" t="s">
        <v>695</v>
      </c>
      <c r="AE250" s="872">
        <v>92102</v>
      </c>
      <c r="AF250" s="873" t="s">
        <v>1804</v>
      </c>
      <c r="AG250" s="1093"/>
      <c r="AH250" s="873" t="str">
        <f t="shared" si="9"/>
        <v>2.3.2.02.02.009..2201006.92102</v>
      </c>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row>
    <row r="251" spans="1:114" ht="78" hidden="1" customHeight="1" x14ac:dyDescent="0.2">
      <c r="A251" s="820">
        <v>314</v>
      </c>
      <c r="B251" s="868" t="s">
        <v>266</v>
      </c>
      <c r="C251" s="793">
        <v>1</v>
      </c>
      <c r="D251" s="791" t="s">
        <v>1412</v>
      </c>
      <c r="E251" s="830" t="s">
        <v>1540</v>
      </c>
      <c r="F251" s="793">
        <v>6</v>
      </c>
      <c r="G251" s="793" t="s">
        <v>1395</v>
      </c>
      <c r="H251" s="860" t="s">
        <v>1537</v>
      </c>
      <c r="I251" s="1183">
        <v>4126079.0369842402</v>
      </c>
      <c r="J251" s="1086"/>
      <c r="K251" s="1086"/>
      <c r="L251" s="1086"/>
      <c r="M251" s="961">
        <v>20</v>
      </c>
      <c r="N251" s="997" t="s">
        <v>1538</v>
      </c>
      <c r="O251" s="1087"/>
      <c r="P251" s="1087"/>
      <c r="Q251" s="1087"/>
      <c r="R251" s="1087"/>
      <c r="S251" s="1087"/>
      <c r="T251" s="1087"/>
      <c r="U251" s="1088">
        <v>22</v>
      </c>
      <c r="V251" s="1089" t="s">
        <v>266</v>
      </c>
      <c r="W251" s="820">
        <v>2201</v>
      </c>
      <c r="X251" s="857" t="s">
        <v>152</v>
      </c>
      <c r="Y251" s="1250" t="s">
        <v>2299</v>
      </c>
      <c r="Z251" s="791" t="s">
        <v>2298</v>
      </c>
      <c r="AA251" s="792">
        <v>2201006</v>
      </c>
      <c r="AB251" s="713" t="s">
        <v>692</v>
      </c>
      <c r="AC251" s="1271" t="s">
        <v>694</v>
      </c>
      <c r="AD251" s="791" t="s">
        <v>695</v>
      </c>
      <c r="AE251" s="872">
        <v>92200</v>
      </c>
      <c r="AF251" s="873" t="s">
        <v>1805</v>
      </c>
      <c r="AG251" s="1093"/>
      <c r="AH251" s="873" t="str">
        <f t="shared" si="9"/>
        <v>2.3.2.02.02.009..2201006.92200</v>
      </c>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row>
    <row r="252" spans="1:114" ht="78" hidden="1" customHeight="1" x14ac:dyDescent="0.2">
      <c r="A252" s="820">
        <v>314</v>
      </c>
      <c r="B252" s="868" t="s">
        <v>266</v>
      </c>
      <c r="C252" s="793">
        <v>1</v>
      </c>
      <c r="D252" s="791" t="s">
        <v>1412</v>
      </c>
      <c r="E252" s="830" t="s">
        <v>1540</v>
      </c>
      <c r="F252" s="793">
        <v>6</v>
      </c>
      <c r="G252" s="793" t="s">
        <v>1395</v>
      </c>
      <c r="H252" s="860" t="s">
        <v>1537</v>
      </c>
      <c r="I252" s="1183">
        <v>3750692.9595311633</v>
      </c>
      <c r="J252" s="1086"/>
      <c r="K252" s="1086"/>
      <c r="L252" s="1086"/>
      <c r="M252" s="961">
        <v>20</v>
      </c>
      <c r="N252" s="997" t="s">
        <v>1538</v>
      </c>
      <c r="O252" s="1087"/>
      <c r="P252" s="1087"/>
      <c r="Q252" s="1087"/>
      <c r="R252" s="1087"/>
      <c r="S252" s="1087"/>
      <c r="T252" s="1087"/>
      <c r="U252" s="1088">
        <v>22</v>
      </c>
      <c r="V252" s="1089" t="s">
        <v>266</v>
      </c>
      <c r="W252" s="820">
        <v>2201</v>
      </c>
      <c r="X252" s="857" t="s">
        <v>152</v>
      </c>
      <c r="Y252" s="1250" t="s">
        <v>2299</v>
      </c>
      <c r="Z252" s="791" t="s">
        <v>2298</v>
      </c>
      <c r="AA252" s="792">
        <v>2201006</v>
      </c>
      <c r="AB252" s="713" t="s">
        <v>692</v>
      </c>
      <c r="AC252" s="1271" t="s">
        <v>694</v>
      </c>
      <c r="AD252" s="791" t="s">
        <v>695</v>
      </c>
      <c r="AE252" s="872">
        <v>92310</v>
      </c>
      <c r="AF252" s="873" t="s">
        <v>1806</v>
      </c>
      <c r="AG252" s="1093"/>
      <c r="AH252" s="873" t="str">
        <f t="shared" si="9"/>
        <v>2.3.2.02.02.009..2201006.92310</v>
      </c>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row>
    <row r="253" spans="1:114" ht="78" hidden="1" customHeight="1" x14ac:dyDescent="0.2">
      <c r="A253" s="820">
        <v>314</v>
      </c>
      <c r="B253" s="868" t="s">
        <v>266</v>
      </c>
      <c r="C253" s="793">
        <v>1</v>
      </c>
      <c r="D253" s="791" t="s">
        <v>1412</v>
      </c>
      <c r="E253" s="830" t="s">
        <v>1540</v>
      </c>
      <c r="F253" s="793">
        <v>6</v>
      </c>
      <c r="G253" s="793" t="s">
        <v>1395</v>
      </c>
      <c r="H253" s="860" t="s">
        <v>1537</v>
      </c>
      <c r="I253" s="1183">
        <v>1458778.8073176527</v>
      </c>
      <c r="J253" s="1086"/>
      <c r="K253" s="1086"/>
      <c r="L253" s="1086"/>
      <c r="M253" s="961">
        <v>20</v>
      </c>
      <c r="N253" s="997" t="s">
        <v>1538</v>
      </c>
      <c r="O253" s="1087"/>
      <c r="P253" s="1087"/>
      <c r="Q253" s="1087"/>
      <c r="R253" s="1087"/>
      <c r="S253" s="1087"/>
      <c r="T253" s="1087"/>
      <c r="U253" s="1088">
        <v>22</v>
      </c>
      <c r="V253" s="1089" t="s">
        <v>266</v>
      </c>
      <c r="W253" s="820">
        <v>2201</v>
      </c>
      <c r="X253" s="857" t="s">
        <v>152</v>
      </c>
      <c r="Y253" s="1250" t="s">
        <v>2299</v>
      </c>
      <c r="Z253" s="791" t="s">
        <v>2298</v>
      </c>
      <c r="AA253" s="792">
        <v>2201006</v>
      </c>
      <c r="AB253" s="713" t="s">
        <v>692</v>
      </c>
      <c r="AC253" s="1271" t="s">
        <v>694</v>
      </c>
      <c r="AD253" s="791" t="s">
        <v>695</v>
      </c>
      <c r="AE253" s="872">
        <v>92330</v>
      </c>
      <c r="AF253" s="873" t="s">
        <v>1807</v>
      </c>
      <c r="AG253" s="1093"/>
      <c r="AH253" s="873" t="str">
        <f t="shared" si="9"/>
        <v>2.3.2.02.02.009..2201006.92330</v>
      </c>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row>
    <row r="254" spans="1:114" ht="78" hidden="1" customHeight="1" x14ac:dyDescent="0.2">
      <c r="A254" s="820">
        <v>314</v>
      </c>
      <c r="B254" s="868" t="s">
        <v>266</v>
      </c>
      <c r="C254" s="793">
        <v>1</v>
      </c>
      <c r="D254" s="791" t="s">
        <v>1412</v>
      </c>
      <c r="E254" s="830" t="s">
        <v>1540</v>
      </c>
      <c r="F254" s="793">
        <v>6</v>
      </c>
      <c r="G254" s="793" t="s">
        <v>1395</v>
      </c>
      <c r="H254" s="860" t="s">
        <v>1537</v>
      </c>
      <c r="I254" s="1183">
        <v>797339.03540033253</v>
      </c>
      <c r="J254" s="1086"/>
      <c r="K254" s="1086"/>
      <c r="L254" s="1086"/>
      <c r="M254" s="961">
        <v>20</v>
      </c>
      <c r="N254" s="997" t="s">
        <v>1538</v>
      </c>
      <c r="O254" s="1087"/>
      <c r="P254" s="1087"/>
      <c r="Q254" s="1087"/>
      <c r="R254" s="1087"/>
      <c r="S254" s="1087"/>
      <c r="T254" s="1087"/>
      <c r="U254" s="1088">
        <v>22</v>
      </c>
      <c r="V254" s="1089" t="s">
        <v>266</v>
      </c>
      <c r="W254" s="820">
        <v>2201</v>
      </c>
      <c r="X254" s="857" t="s">
        <v>152</v>
      </c>
      <c r="Y254" s="1250" t="s">
        <v>2301</v>
      </c>
      <c r="Z254" s="791" t="s">
        <v>2300</v>
      </c>
      <c r="AA254" s="792">
        <v>2201015</v>
      </c>
      <c r="AB254" s="713" t="s">
        <v>697</v>
      </c>
      <c r="AC254" s="1271" t="s">
        <v>694</v>
      </c>
      <c r="AD254" s="791" t="s">
        <v>695</v>
      </c>
      <c r="AE254" s="872">
        <v>92102</v>
      </c>
      <c r="AF254" s="873" t="s">
        <v>1804</v>
      </c>
      <c r="AG254" s="1093"/>
      <c r="AH254" s="873" t="str">
        <f t="shared" si="9"/>
        <v>2.3.2.02.02.009..2201015.92102</v>
      </c>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row>
    <row r="255" spans="1:114" ht="78" hidden="1" customHeight="1" x14ac:dyDescent="0.2">
      <c r="A255" s="820">
        <v>314</v>
      </c>
      <c r="B255" s="868" t="s">
        <v>266</v>
      </c>
      <c r="C255" s="793">
        <v>1</v>
      </c>
      <c r="D255" s="791" t="s">
        <v>1412</v>
      </c>
      <c r="E255" s="830" t="s">
        <v>1540</v>
      </c>
      <c r="F255" s="793">
        <v>6</v>
      </c>
      <c r="G255" s="793" t="s">
        <v>1395</v>
      </c>
      <c r="H255" s="860" t="s">
        <v>1537</v>
      </c>
      <c r="I255" s="1183">
        <v>4951294.8443810884</v>
      </c>
      <c r="J255" s="1086"/>
      <c r="K255" s="1086"/>
      <c r="L255" s="1086"/>
      <c r="M255" s="961">
        <v>20</v>
      </c>
      <c r="N255" s="997" t="s">
        <v>1538</v>
      </c>
      <c r="O255" s="1087"/>
      <c r="P255" s="1087"/>
      <c r="Q255" s="1087"/>
      <c r="R255" s="1087"/>
      <c r="S255" s="1087"/>
      <c r="T255" s="1087"/>
      <c r="U255" s="1088">
        <v>22</v>
      </c>
      <c r="V255" s="1089" t="s">
        <v>266</v>
      </c>
      <c r="W255" s="820">
        <v>2201</v>
      </c>
      <c r="X255" s="857" t="s">
        <v>152</v>
      </c>
      <c r="Y255" s="1250" t="s">
        <v>2301</v>
      </c>
      <c r="Z255" s="702" t="s">
        <v>2300</v>
      </c>
      <c r="AA255" s="792">
        <v>2201015</v>
      </c>
      <c r="AB255" s="713" t="s">
        <v>697</v>
      </c>
      <c r="AC255" s="1271" t="s">
        <v>694</v>
      </c>
      <c r="AD255" s="791" t="s">
        <v>695</v>
      </c>
      <c r="AE255" s="872">
        <v>92200</v>
      </c>
      <c r="AF255" s="873" t="s">
        <v>1805</v>
      </c>
      <c r="AG255" s="1093"/>
      <c r="AH255" s="873" t="str">
        <f t="shared" si="9"/>
        <v>2.3.2.02.02.009..2201015.92200</v>
      </c>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row>
    <row r="256" spans="1:114" ht="78" hidden="1" customHeight="1" x14ac:dyDescent="0.2">
      <c r="A256" s="820">
        <v>314</v>
      </c>
      <c r="B256" s="868" t="s">
        <v>266</v>
      </c>
      <c r="C256" s="793">
        <v>1</v>
      </c>
      <c r="D256" s="791" t="s">
        <v>1412</v>
      </c>
      <c r="E256" s="830" t="s">
        <v>1540</v>
      </c>
      <c r="F256" s="793">
        <v>6</v>
      </c>
      <c r="G256" s="793" t="s">
        <v>1395</v>
      </c>
      <c r="H256" s="860" t="s">
        <v>1537</v>
      </c>
      <c r="I256" s="1183">
        <v>4500831.5514373956</v>
      </c>
      <c r="J256" s="1086"/>
      <c r="K256" s="1086"/>
      <c r="L256" s="1086"/>
      <c r="M256" s="961">
        <v>20</v>
      </c>
      <c r="N256" s="997" t="s">
        <v>1538</v>
      </c>
      <c r="O256" s="1087"/>
      <c r="P256" s="1087"/>
      <c r="Q256" s="1087"/>
      <c r="R256" s="1087"/>
      <c r="S256" s="1087"/>
      <c r="T256" s="1087"/>
      <c r="U256" s="1088">
        <v>22</v>
      </c>
      <c r="V256" s="1089" t="s">
        <v>266</v>
      </c>
      <c r="W256" s="820">
        <v>2201</v>
      </c>
      <c r="X256" s="857" t="s">
        <v>152</v>
      </c>
      <c r="Y256" s="1250" t="s">
        <v>2301</v>
      </c>
      <c r="Z256" s="702" t="s">
        <v>2300</v>
      </c>
      <c r="AA256" s="792">
        <v>2201015</v>
      </c>
      <c r="AB256" s="713" t="s">
        <v>697</v>
      </c>
      <c r="AC256" s="1271" t="s">
        <v>694</v>
      </c>
      <c r="AD256" s="791" t="s">
        <v>695</v>
      </c>
      <c r="AE256" s="872">
        <v>92310</v>
      </c>
      <c r="AF256" s="873" t="s">
        <v>1806</v>
      </c>
      <c r="AG256" s="1093"/>
      <c r="AH256" s="873" t="str">
        <f t="shared" si="9"/>
        <v>2.3.2.02.02.009..2201015.92310</v>
      </c>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row>
    <row r="257" spans="1:114" ht="78" hidden="1" customHeight="1" x14ac:dyDescent="0.2">
      <c r="A257" s="820">
        <v>314</v>
      </c>
      <c r="B257" s="868" t="s">
        <v>266</v>
      </c>
      <c r="C257" s="793">
        <v>1</v>
      </c>
      <c r="D257" s="791" t="s">
        <v>1412</v>
      </c>
      <c r="E257" s="830" t="s">
        <v>1540</v>
      </c>
      <c r="F257" s="793">
        <v>6</v>
      </c>
      <c r="G257" s="793" t="s">
        <v>1395</v>
      </c>
      <c r="H257" s="860" t="s">
        <v>1537</v>
      </c>
      <c r="I257" s="1183">
        <v>1750534.5687811833</v>
      </c>
      <c r="J257" s="1086"/>
      <c r="K257" s="1086"/>
      <c r="L257" s="1086"/>
      <c r="M257" s="961">
        <v>20</v>
      </c>
      <c r="N257" s="997" t="s">
        <v>1538</v>
      </c>
      <c r="O257" s="1087"/>
      <c r="P257" s="1087"/>
      <c r="Q257" s="1087"/>
      <c r="R257" s="1087"/>
      <c r="S257" s="1087"/>
      <c r="T257" s="1087"/>
      <c r="U257" s="1088">
        <v>22</v>
      </c>
      <c r="V257" s="1089" t="s">
        <v>266</v>
      </c>
      <c r="W257" s="820">
        <v>2201</v>
      </c>
      <c r="X257" s="857" t="s">
        <v>152</v>
      </c>
      <c r="Y257" s="1250" t="s">
        <v>2301</v>
      </c>
      <c r="Z257" s="702" t="s">
        <v>2300</v>
      </c>
      <c r="AA257" s="792">
        <v>2201015</v>
      </c>
      <c r="AB257" s="713" t="s">
        <v>697</v>
      </c>
      <c r="AC257" s="1271" t="s">
        <v>694</v>
      </c>
      <c r="AD257" s="791" t="s">
        <v>695</v>
      </c>
      <c r="AE257" s="872">
        <v>92330</v>
      </c>
      <c r="AF257" s="873" t="s">
        <v>1807</v>
      </c>
      <c r="AG257" s="1093"/>
      <c r="AH257" s="873" t="str">
        <f t="shared" si="9"/>
        <v>2.3.2.02.02.009..2201015.92330</v>
      </c>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row>
    <row r="258" spans="1:114" ht="78" hidden="1" customHeight="1" x14ac:dyDescent="0.2">
      <c r="A258" s="820">
        <v>314</v>
      </c>
      <c r="B258" s="868" t="s">
        <v>266</v>
      </c>
      <c r="C258" s="793">
        <v>1</v>
      </c>
      <c r="D258" s="791" t="s">
        <v>1412</v>
      </c>
      <c r="E258" s="830" t="s">
        <v>1540</v>
      </c>
      <c r="F258" s="793">
        <v>6</v>
      </c>
      <c r="G258" s="793" t="s">
        <v>1395</v>
      </c>
      <c r="H258" s="860" t="s">
        <v>1537</v>
      </c>
      <c r="I258" s="1183">
        <v>664449.19616694376</v>
      </c>
      <c r="J258" s="1086"/>
      <c r="K258" s="1086"/>
      <c r="L258" s="1086"/>
      <c r="M258" s="961">
        <v>20</v>
      </c>
      <c r="N258" s="997" t="s">
        <v>1538</v>
      </c>
      <c r="O258" s="1087"/>
      <c r="P258" s="1087"/>
      <c r="Q258" s="1087"/>
      <c r="R258" s="1087"/>
      <c r="S258" s="1087"/>
      <c r="T258" s="1087"/>
      <c r="U258" s="1088">
        <v>22</v>
      </c>
      <c r="V258" s="1089" t="s">
        <v>266</v>
      </c>
      <c r="W258" s="820">
        <v>2201</v>
      </c>
      <c r="X258" s="857" t="s">
        <v>152</v>
      </c>
      <c r="Y258" s="1250" t="s">
        <v>2299</v>
      </c>
      <c r="Z258" s="702" t="s">
        <v>2298</v>
      </c>
      <c r="AA258" s="792">
        <v>2201042</v>
      </c>
      <c r="AB258" s="713" t="s">
        <v>699</v>
      </c>
      <c r="AC258" s="1271" t="s">
        <v>694</v>
      </c>
      <c r="AD258" s="791" t="s">
        <v>695</v>
      </c>
      <c r="AE258" s="872">
        <v>92102</v>
      </c>
      <c r="AF258" s="873" t="s">
        <v>1804</v>
      </c>
      <c r="AG258" s="1093"/>
      <c r="AH258" s="873" t="str">
        <f t="shared" si="9"/>
        <v>2.3.2.02.02.009..2201042.92102</v>
      </c>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row>
    <row r="259" spans="1:114" ht="78" hidden="1" customHeight="1" x14ac:dyDescent="0.2">
      <c r="A259" s="820">
        <v>314</v>
      </c>
      <c r="B259" s="868" t="s">
        <v>266</v>
      </c>
      <c r="C259" s="793">
        <v>1</v>
      </c>
      <c r="D259" s="791" t="s">
        <v>1412</v>
      </c>
      <c r="E259" s="830" t="s">
        <v>1540</v>
      </c>
      <c r="F259" s="793">
        <v>6</v>
      </c>
      <c r="G259" s="793" t="s">
        <v>1395</v>
      </c>
      <c r="H259" s="860" t="s">
        <v>1537</v>
      </c>
      <c r="I259" s="1183">
        <v>4126079.0369842402</v>
      </c>
      <c r="J259" s="1086"/>
      <c r="K259" s="1086"/>
      <c r="L259" s="1086"/>
      <c r="M259" s="961">
        <v>20</v>
      </c>
      <c r="N259" s="997" t="s">
        <v>1538</v>
      </c>
      <c r="O259" s="1087"/>
      <c r="P259" s="1087"/>
      <c r="Q259" s="1087"/>
      <c r="R259" s="1087"/>
      <c r="S259" s="1087"/>
      <c r="T259" s="1087"/>
      <c r="U259" s="1088">
        <v>22</v>
      </c>
      <c r="V259" s="1089" t="s">
        <v>266</v>
      </c>
      <c r="W259" s="820">
        <v>2201</v>
      </c>
      <c r="X259" s="857" t="s">
        <v>152</v>
      </c>
      <c r="Y259" s="1250" t="s">
        <v>2299</v>
      </c>
      <c r="Z259" s="702" t="s">
        <v>2298</v>
      </c>
      <c r="AA259" s="792">
        <v>2201042</v>
      </c>
      <c r="AB259" s="713" t="s">
        <v>699</v>
      </c>
      <c r="AC259" s="1271" t="s">
        <v>694</v>
      </c>
      <c r="AD259" s="791" t="s">
        <v>695</v>
      </c>
      <c r="AE259" s="872">
        <v>92200</v>
      </c>
      <c r="AF259" s="873" t="s">
        <v>1805</v>
      </c>
      <c r="AG259" s="1093"/>
      <c r="AH259" s="873" t="str">
        <f t="shared" si="9"/>
        <v>2.3.2.02.02.009..2201042.92200</v>
      </c>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row>
    <row r="260" spans="1:114" ht="78" hidden="1" customHeight="1" x14ac:dyDescent="0.2">
      <c r="A260" s="820">
        <v>314</v>
      </c>
      <c r="B260" s="868" t="s">
        <v>266</v>
      </c>
      <c r="C260" s="793">
        <v>1</v>
      </c>
      <c r="D260" s="791" t="s">
        <v>1412</v>
      </c>
      <c r="E260" s="830" t="s">
        <v>1540</v>
      </c>
      <c r="F260" s="793">
        <v>6</v>
      </c>
      <c r="G260" s="793" t="s">
        <v>1395</v>
      </c>
      <c r="H260" s="860" t="s">
        <v>1537</v>
      </c>
      <c r="I260" s="1183">
        <v>3750692.9595311633</v>
      </c>
      <c r="J260" s="1086"/>
      <c r="K260" s="1086"/>
      <c r="L260" s="1086"/>
      <c r="M260" s="961">
        <v>20</v>
      </c>
      <c r="N260" s="997" t="s">
        <v>1538</v>
      </c>
      <c r="O260" s="1087"/>
      <c r="P260" s="1087"/>
      <c r="Q260" s="1087"/>
      <c r="R260" s="1087"/>
      <c r="S260" s="1087"/>
      <c r="T260" s="1087"/>
      <c r="U260" s="1088">
        <v>22</v>
      </c>
      <c r="V260" s="1089" t="s">
        <v>266</v>
      </c>
      <c r="W260" s="820">
        <v>2201</v>
      </c>
      <c r="X260" s="857" t="s">
        <v>152</v>
      </c>
      <c r="Y260" s="1250" t="s">
        <v>2299</v>
      </c>
      <c r="Z260" s="702" t="s">
        <v>2298</v>
      </c>
      <c r="AA260" s="792">
        <v>2201042</v>
      </c>
      <c r="AB260" s="713" t="s">
        <v>699</v>
      </c>
      <c r="AC260" s="1271" t="s">
        <v>694</v>
      </c>
      <c r="AD260" s="791" t="s">
        <v>695</v>
      </c>
      <c r="AE260" s="872">
        <v>92310</v>
      </c>
      <c r="AF260" s="873" t="s">
        <v>1806</v>
      </c>
      <c r="AG260" s="1093"/>
      <c r="AH260" s="873" t="str">
        <f t="shared" si="9"/>
        <v>2.3.2.02.02.009..2201042.92310</v>
      </c>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row>
    <row r="261" spans="1:114" ht="78" hidden="1" customHeight="1" x14ac:dyDescent="0.2">
      <c r="A261" s="820">
        <v>314</v>
      </c>
      <c r="B261" s="868" t="s">
        <v>266</v>
      </c>
      <c r="C261" s="793">
        <v>1</v>
      </c>
      <c r="D261" s="791" t="s">
        <v>1412</v>
      </c>
      <c r="E261" s="830" t="s">
        <v>1540</v>
      </c>
      <c r="F261" s="793">
        <v>6</v>
      </c>
      <c r="G261" s="793" t="s">
        <v>1395</v>
      </c>
      <c r="H261" s="860" t="s">
        <v>1537</v>
      </c>
      <c r="I261" s="1183">
        <v>1458778.8073176527</v>
      </c>
      <c r="J261" s="1086"/>
      <c r="K261" s="1086"/>
      <c r="L261" s="1086"/>
      <c r="M261" s="961">
        <v>20</v>
      </c>
      <c r="N261" s="997" t="s">
        <v>1538</v>
      </c>
      <c r="O261" s="1087"/>
      <c r="P261" s="1087"/>
      <c r="Q261" s="1087"/>
      <c r="R261" s="1087"/>
      <c r="S261" s="1087"/>
      <c r="T261" s="1087"/>
      <c r="U261" s="1088">
        <v>22</v>
      </c>
      <c r="V261" s="1089" t="s">
        <v>266</v>
      </c>
      <c r="W261" s="820">
        <v>2201</v>
      </c>
      <c r="X261" s="857" t="s">
        <v>152</v>
      </c>
      <c r="Y261" s="1250" t="s">
        <v>2299</v>
      </c>
      <c r="Z261" s="702" t="s">
        <v>2298</v>
      </c>
      <c r="AA261" s="792">
        <v>2201042</v>
      </c>
      <c r="AB261" s="713" t="s">
        <v>699</v>
      </c>
      <c r="AC261" s="1271" t="s">
        <v>694</v>
      </c>
      <c r="AD261" s="791" t="s">
        <v>695</v>
      </c>
      <c r="AE261" s="872">
        <v>92330</v>
      </c>
      <c r="AF261" s="873" t="s">
        <v>1807</v>
      </c>
      <c r="AG261" s="1093"/>
      <c r="AH261" s="873" t="str">
        <f t="shared" si="9"/>
        <v>2.3.2.02.02.009..2201042.92330</v>
      </c>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row>
    <row r="262" spans="1:114" ht="78" hidden="1" customHeight="1" x14ac:dyDescent="0.2">
      <c r="A262" s="820">
        <v>314</v>
      </c>
      <c r="B262" s="868" t="s">
        <v>266</v>
      </c>
      <c r="C262" s="793">
        <v>1</v>
      </c>
      <c r="D262" s="791" t="s">
        <v>1412</v>
      </c>
      <c r="E262" s="830" t="s">
        <v>1540</v>
      </c>
      <c r="F262" s="793">
        <v>6</v>
      </c>
      <c r="G262" s="793" t="s">
        <v>1395</v>
      </c>
      <c r="H262" s="860" t="s">
        <v>1537</v>
      </c>
      <c r="I262" s="1183">
        <v>113287092.27132335</v>
      </c>
      <c r="J262" s="1086"/>
      <c r="K262" s="1086"/>
      <c r="L262" s="1086"/>
      <c r="M262" s="1185">
        <v>35</v>
      </c>
      <c r="N262" s="997" t="s">
        <v>1813</v>
      </c>
      <c r="O262" s="1087"/>
      <c r="P262" s="1087"/>
      <c r="Q262" s="1087"/>
      <c r="R262" s="1087"/>
      <c r="S262" s="1087"/>
      <c r="T262" s="1087"/>
      <c r="U262" s="1088">
        <v>22</v>
      </c>
      <c r="V262" s="1089" t="s">
        <v>266</v>
      </c>
      <c r="W262" s="820">
        <v>2201</v>
      </c>
      <c r="X262" s="857" t="s">
        <v>152</v>
      </c>
      <c r="Y262" s="1250" t="s">
        <v>2303</v>
      </c>
      <c r="Z262" s="702" t="s">
        <v>2302</v>
      </c>
      <c r="AA262" s="792">
        <v>2201071</v>
      </c>
      <c r="AB262" s="878" t="s">
        <v>702</v>
      </c>
      <c r="AC262" s="1271" t="s">
        <v>694</v>
      </c>
      <c r="AD262" s="791" t="s">
        <v>695</v>
      </c>
      <c r="AE262" s="872">
        <v>92102</v>
      </c>
      <c r="AF262" s="873" t="s">
        <v>1804</v>
      </c>
      <c r="AG262" s="1093"/>
      <c r="AH262" s="873" t="str">
        <f t="shared" si="9"/>
        <v>2.3.2.02.02.009..2201071.92102</v>
      </c>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row>
    <row r="263" spans="1:114" ht="78" hidden="1" customHeight="1" x14ac:dyDescent="0.2">
      <c r="A263" s="820">
        <v>314</v>
      </c>
      <c r="B263" s="868" t="s">
        <v>266</v>
      </c>
      <c r="C263" s="793">
        <v>1</v>
      </c>
      <c r="D263" s="791" t="s">
        <v>1412</v>
      </c>
      <c r="E263" s="830" t="s">
        <v>1540</v>
      </c>
      <c r="F263" s="793">
        <v>6</v>
      </c>
      <c r="G263" s="793" t="s">
        <v>1395</v>
      </c>
      <c r="H263" s="860" t="s">
        <v>1537</v>
      </c>
      <c r="I263" s="1183">
        <v>703487188.00190079</v>
      </c>
      <c r="J263" s="1086"/>
      <c r="K263" s="1086"/>
      <c r="L263" s="1086"/>
      <c r="M263" s="1185">
        <v>35</v>
      </c>
      <c r="N263" s="997" t="s">
        <v>1813</v>
      </c>
      <c r="O263" s="1087"/>
      <c r="P263" s="1087"/>
      <c r="Q263" s="1087"/>
      <c r="R263" s="1087"/>
      <c r="S263" s="1087"/>
      <c r="T263" s="1087"/>
      <c r="U263" s="1088">
        <v>22</v>
      </c>
      <c r="V263" s="1089" t="s">
        <v>266</v>
      </c>
      <c r="W263" s="820">
        <v>2201</v>
      </c>
      <c r="X263" s="857" t="s">
        <v>152</v>
      </c>
      <c r="Y263" s="1250" t="s">
        <v>2303</v>
      </c>
      <c r="Z263" s="702" t="s">
        <v>2302</v>
      </c>
      <c r="AA263" s="792">
        <v>2201071</v>
      </c>
      <c r="AB263" s="878" t="s">
        <v>702</v>
      </c>
      <c r="AC263" s="1271" t="s">
        <v>694</v>
      </c>
      <c r="AD263" s="791" t="s">
        <v>695</v>
      </c>
      <c r="AE263" s="872">
        <v>92200</v>
      </c>
      <c r="AF263" s="873" t="s">
        <v>1805</v>
      </c>
      <c r="AG263" s="1093"/>
      <c r="AH263" s="873" t="str">
        <f t="shared" si="9"/>
        <v>2.3.2.02.02.009..2201071.92200</v>
      </c>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row>
    <row r="264" spans="1:114" ht="78" hidden="1" customHeight="1" x14ac:dyDescent="0.2">
      <c r="A264" s="820">
        <v>314</v>
      </c>
      <c r="B264" s="868" t="s">
        <v>266</v>
      </c>
      <c r="C264" s="793">
        <v>1</v>
      </c>
      <c r="D264" s="791" t="s">
        <v>1412</v>
      </c>
      <c r="E264" s="830" t="s">
        <v>1540</v>
      </c>
      <c r="F264" s="793">
        <v>6</v>
      </c>
      <c r="G264" s="793" t="s">
        <v>1395</v>
      </c>
      <c r="H264" s="860" t="s">
        <v>1537</v>
      </c>
      <c r="I264" s="1183">
        <v>639484706.79021144</v>
      </c>
      <c r="J264" s="1086"/>
      <c r="K264" s="1086"/>
      <c r="L264" s="1086"/>
      <c r="M264" s="1185">
        <v>35</v>
      </c>
      <c r="N264" s="997" t="s">
        <v>1813</v>
      </c>
      <c r="O264" s="1087"/>
      <c r="P264" s="1087"/>
      <c r="Q264" s="1087"/>
      <c r="R264" s="1087"/>
      <c r="S264" s="1087"/>
      <c r="T264" s="1087"/>
      <c r="U264" s="1088">
        <v>22</v>
      </c>
      <c r="V264" s="1089" t="s">
        <v>266</v>
      </c>
      <c r="W264" s="820">
        <v>2201</v>
      </c>
      <c r="X264" s="857" t="s">
        <v>152</v>
      </c>
      <c r="Y264" s="1250" t="s">
        <v>2303</v>
      </c>
      <c r="Z264" s="702" t="s">
        <v>2302</v>
      </c>
      <c r="AA264" s="792">
        <v>2201071</v>
      </c>
      <c r="AB264" s="878" t="s">
        <v>702</v>
      </c>
      <c r="AC264" s="1271" t="s">
        <v>694</v>
      </c>
      <c r="AD264" s="791" t="s">
        <v>695</v>
      </c>
      <c r="AE264" s="872">
        <v>92310</v>
      </c>
      <c r="AF264" s="873" t="s">
        <v>1806</v>
      </c>
      <c r="AG264" s="1093"/>
      <c r="AH264" s="873" t="str">
        <f t="shared" si="9"/>
        <v>2.3.2.02.02.009..2201071.92310</v>
      </c>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row>
    <row r="265" spans="1:114" ht="78" hidden="1" customHeight="1" x14ac:dyDescent="0.2">
      <c r="A265" s="820">
        <v>314</v>
      </c>
      <c r="B265" s="868" t="s">
        <v>266</v>
      </c>
      <c r="C265" s="793">
        <v>1</v>
      </c>
      <c r="D265" s="791" t="s">
        <v>1412</v>
      </c>
      <c r="E265" s="830" t="s">
        <v>1540</v>
      </c>
      <c r="F265" s="793">
        <v>6</v>
      </c>
      <c r="G265" s="793" t="s">
        <v>1395</v>
      </c>
      <c r="H265" s="860" t="s">
        <v>1537</v>
      </c>
      <c r="I265" s="1183">
        <v>248718502.93656453</v>
      </c>
      <c r="J265" s="1086"/>
      <c r="K265" s="1086"/>
      <c r="L265" s="1086"/>
      <c r="M265" s="1185">
        <v>35</v>
      </c>
      <c r="N265" s="997" t="s">
        <v>1813</v>
      </c>
      <c r="O265" s="1087"/>
      <c r="P265" s="1087"/>
      <c r="Q265" s="1087"/>
      <c r="R265" s="1087"/>
      <c r="S265" s="1087"/>
      <c r="T265" s="1087"/>
      <c r="U265" s="1088">
        <v>22</v>
      </c>
      <c r="V265" s="1089" t="s">
        <v>266</v>
      </c>
      <c r="W265" s="820">
        <v>2201</v>
      </c>
      <c r="X265" s="857" t="s">
        <v>152</v>
      </c>
      <c r="Y265" s="1250" t="s">
        <v>2303</v>
      </c>
      <c r="Z265" s="702" t="s">
        <v>2302</v>
      </c>
      <c r="AA265" s="792">
        <v>2201071</v>
      </c>
      <c r="AB265" s="878" t="s">
        <v>702</v>
      </c>
      <c r="AC265" s="1271" t="s">
        <v>694</v>
      </c>
      <c r="AD265" s="791" t="s">
        <v>695</v>
      </c>
      <c r="AE265" s="872">
        <v>92330</v>
      </c>
      <c r="AF265" s="873" t="s">
        <v>1807</v>
      </c>
      <c r="AG265" s="1093"/>
      <c r="AH265" s="873" t="str">
        <f t="shared" si="9"/>
        <v>2.3.2.02.02.009..2201071.92330</v>
      </c>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row>
    <row r="266" spans="1:114" ht="78" hidden="1" customHeight="1" x14ac:dyDescent="0.2">
      <c r="A266" s="820">
        <v>314</v>
      </c>
      <c r="B266" s="868" t="s">
        <v>266</v>
      </c>
      <c r="C266" s="793">
        <v>1</v>
      </c>
      <c r="D266" s="791" t="s">
        <v>1412</v>
      </c>
      <c r="E266" s="830" t="s">
        <v>1540</v>
      </c>
      <c r="F266" s="793">
        <v>6</v>
      </c>
      <c r="G266" s="793" t="s">
        <v>1395</v>
      </c>
      <c r="H266" s="860" t="s">
        <v>1537</v>
      </c>
      <c r="I266" s="1183">
        <v>125623904.01821493</v>
      </c>
      <c r="J266" s="1086"/>
      <c r="K266" s="1086"/>
      <c r="L266" s="1086"/>
      <c r="M266" s="961">
        <v>20</v>
      </c>
      <c r="N266" s="997" t="s">
        <v>1538</v>
      </c>
      <c r="O266" s="1087"/>
      <c r="P266" s="1087"/>
      <c r="Q266" s="1087"/>
      <c r="R266" s="1087"/>
      <c r="S266" s="1087"/>
      <c r="T266" s="1087"/>
      <c r="U266" s="1088">
        <v>22</v>
      </c>
      <c r="V266" s="1089" t="s">
        <v>266</v>
      </c>
      <c r="W266" s="820">
        <v>2201</v>
      </c>
      <c r="X266" s="857" t="s">
        <v>152</v>
      </c>
      <c r="Y266" s="1250" t="s">
        <v>2303</v>
      </c>
      <c r="Z266" s="702" t="s">
        <v>2302</v>
      </c>
      <c r="AA266" s="792">
        <v>2201071</v>
      </c>
      <c r="AB266" s="878" t="s">
        <v>702</v>
      </c>
      <c r="AC266" s="1271" t="s">
        <v>694</v>
      </c>
      <c r="AD266" s="791" t="s">
        <v>695</v>
      </c>
      <c r="AE266" s="872">
        <v>92102</v>
      </c>
      <c r="AF266" s="873" t="s">
        <v>1804</v>
      </c>
      <c r="AG266" s="1093"/>
      <c r="AH266" s="873" t="str">
        <f t="shared" si="9"/>
        <v>2.3.2.02.02.009..2201071.92102</v>
      </c>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row>
    <row r="267" spans="1:114" ht="78" hidden="1" customHeight="1" x14ac:dyDescent="0.2">
      <c r="A267" s="820">
        <v>314</v>
      </c>
      <c r="B267" s="868" t="s">
        <v>266</v>
      </c>
      <c r="C267" s="793">
        <v>1</v>
      </c>
      <c r="D267" s="791" t="s">
        <v>1412</v>
      </c>
      <c r="E267" s="830" t="s">
        <v>1540</v>
      </c>
      <c r="F267" s="793">
        <v>6</v>
      </c>
      <c r="G267" s="793" t="s">
        <v>1395</v>
      </c>
      <c r="H267" s="860" t="s">
        <v>1537</v>
      </c>
      <c r="I267" s="1183">
        <v>780095995.154827</v>
      </c>
      <c r="J267" s="1086"/>
      <c r="K267" s="1086"/>
      <c r="L267" s="1086"/>
      <c r="M267" s="961">
        <v>20</v>
      </c>
      <c r="N267" s="997" t="s">
        <v>1538</v>
      </c>
      <c r="O267" s="1087"/>
      <c r="P267" s="1087"/>
      <c r="Q267" s="1087"/>
      <c r="R267" s="1087"/>
      <c r="S267" s="1087"/>
      <c r="T267" s="1087"/>
      <c r="U267" s="1088">
        <v>22</v>
      </c>
      <c r="V267" s="1089" t="s">
        <v>266</v>
      </c>
      <c r="W267" s="820">
        <v>2201</v>
      </c>
      <c r="X267" s="857" t="s">
        <v>152</v>
      </c>
      <c r="Y267" s="1250" t="s">
        <v>2303</v>
      </c>
      <c r="Z267" s="702" t="s">
        <v>2302</v>
      </c>
      <c r="AA267" s="792">
        <v>2201071</v>
      </c>
      <c r="AB267" s="878" t="s">
        <v>702</v>
      </c>
      <c r="AC267" s="1271" t="s">
        <v>694</v>
      </c>
      <c r="AD267" s="791" t="s">
        <v>695</v>
      </c>
      <c r="AE267" s="872">
        <v>92200</v>
      </c>
      <c r="AF267" s="873" t="s">
        <v>1805</v>
      </c>
      <c r="AG267" s="1093"/>
      <c r="AH267" s="873" t="str">
        <f t="shared" si="9"/>
        <v>2.3.2.02.02.009..2201071.92200</v>
      </c>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row>
    <row r="268" spans="1:114" ht="78" hidden="1" customHeight="1" x14ac:dyDescent="0.2">
      <c r="A268" s="820">
        <v>314</v>
      </c>
      <c r="B268" s="868" t="s">
        <v>266</v>
      </c>
      <c r="C268" s="793">
        <v>1</v>
      </c>
      <c r="D268" s="791" t="s">
        <v>1412</v>
      </c>
      <c r="E268" s="830" t="s">
        <v>1540</v>
      </c>
      <c r="F268" s="793">
        <v>6</v>
      </c>
      <c r="G268" s="793" t="s">
        <v>1395</v>
      </c>
      <c r="H268" s="860" t="s">
        <v>1537</v>
      </c>
      <c r="I268" s="1183">
        <v>709123729.95264113</v>
      </c>
      <c r="J268" s="1086"/>
      <c r="K268" s="1086"/>
      <c r="L268" s="1086"/>
      <c r="M268" s="961">
        <v>20</v>
      </c>
      <c r="N268" s="997" t="s">
        <v>1538</v>
      </c>
      <c r="O268" s="1087"/>
      <c r="P268" s="1087"/>
      <c r="Q268" s="1087"/>
      <c r="R268" s="1087"/>
      <c r="S268" s="1087"/>
      <c r="T268" s="1087"/>
      <c r="U268" s="1088">
        <v>22</v>
      </c>
      <c r="V268" s="1089" t="s">
        <v>266</v>
      </c>
      <c r="W268" s="820">
        <v>2201</v>
      </c>
      <c r="X268" s="857" t="s">
        <v>152</v>
      </c>
      <c r="Y268" s="1250" t="s">
        <v>2303</v>
      </c>
      <c r="Z268" s="702" t="s">
        <v>2302</v>
      </c>
      <c r="AA268" s="792">
        <v>2201071</v>
      </c>
      <c r="AB268" s="878" t="s">
        <v>702</v>
      </c>
      <c r="AC268" s="1271" t="s">
        <v>694</v>
      </c>
      <c r="AD268" s="791" t="s">
        <v>695</v>
      </c>
      <c r="AE268" s="872">
        <v>92310</v>
      </c>
      <c r="AF268" s="873" t="s">
        <v>1806</v>
      </c>
      <c r="AG268" s="1093"/>
      <c r="AH268" s="873" t="str">
        <f t="shared" si="9"/>
        <v>2.3.2.02.02.009..2201071.92310</v>
      </c>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row>
    <row r="269" spans="1:114" ht="78" hidden="1" customHeight="1" x14ac:dyDescent="0.2">
      <c r="A269" s="820">
        <v>314</v>
      </c>
      <c r="B269" s="868" t="s">
        <v>266</v>
      </c>
      <c r="C269" s="793">
        <v>1</v>
      </c>
      <c r="D269" s="791" t="s">
        <v>1412</v>
      </c>
      <c r="E269" s="830" t="s">
        <v>1540</v>
      </c>
      <c r="F269" s="793">
        <v>6</v>
      </c>
      <c r="G269" s="793" t="s">
        <v>1395</v>
      </c>
      <c r="H269" s="860" t="s">
        <v>1537</v>
      </c>
      <c r="I269" s="1183">
        <v>275803612.87431693</v>
      </c>
      <c r="J269" s="1086"/>
      <c r="K269" s="1086"/>
      <c r="L269" s="1086"/>
      <c r="M269" s="961">
        <v>20</v>
      </c>
      <c r="N269" s="997" t="s">
        <v>1538</v>
      </c>
      <c r="O269" s="1087"/>
      <c r="P269" s="1087"/>
      <c r="Q269" s="1087"/>
      <c r="R269" s="1087"/>
      <c r="S269" s="1087"/>
      <c r="T269" s="1087"/>
      <c r="U269" s="1088">
        <v>22</v>
      </c>
      <c r="V269" s="1089" t="s">
        <v>266</v>
      </c>
      <c r="W269" s="820">
        <v>2201</v>
      </c>
      <c r="X269" s="857" t="s">
        <v>152</v>
      </c>
      <c r="Y269" s="1250" t="s">
        <v>2303</v>
      </c>
      <c r="Z269" s="702" t="s">
        <v>2302</v>
      </c>
      <c r="AA269" s="792">
        <v>2201071</v>
      </c>
      <c r="AB269" s="878" t="s">
        <v>702</v>
      </c>
      <c r="AC269" s="1271" t="s">
        <v>694</v>
      </c>
      <c r="AD269" s="791" t="s">
        <v>695</v>
      </c>
      <c r="AE269" s="872">
        <v>92330</v>
      </c>
      <c r="AF269" s="873" t="s">
        <v>1807</v>
      </c>
      <c r="AG269" s="1093"/>
      <c r="AH269" s="873" t="str">
        <f t="shared" si="9"/>
        <v>2.3.2.02.02.009..2201071.92330</v>
      </c>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row>
    <row r="270" spans="1:114" s="4" customFormat="1" ht="78" hidden="1" customHeight="1" x14ac:dyDescent="0.2">
      <c r="A270" s="1098">
        <v>314</v>
      </c>
      <c r="B270" s="990" t="s">
        <v>266</v>
      </c>
      <c r="C270" s="792">
        <v>1</v>
      </c>
      <c r="D270" s="702" t="s">
        <v>1412</v>
      </c>
      <c r="E270" s="1000" t="s">
        <v>1893</v>
      </c>
      <c r="F270" s="792">
        <v>7</v>
      </c>
      <c r="G270" s="792" t="s">
        <v>1395</v>
      </c>
      <c r="H270" s="992" t="s">
        <v>1815</v>
      </c>
      <c r="I270" s="1183">
        <f>93948000000+(2873000000)+(4689000000)</f>
        <v>101510000000</v>
      </c>
      <c r="J270" s="1091"/>
      <c r="K270" s="1086"/>
      <c r="L270" s="1086"/>
      <c r="M270" s="961">
        <v>25</v>
      </c>
      <c r="N270" s="997" t="s">
        <v>1808</v>
      </c>
      <c r="O270" s="1087"/>
      <c r="P270" s="1087"/>
      <c r="Q270" s="1087"/>
      <c r="R270" s="1087"/>
      <c r="S270" s="1087"/>
      <c r="T270" s="1087"/>
      <c r="U270" s="57">
        <v>22</v>
      </c>
      <c r="V270" s="1262" t="s">
        <v>266</v>
      </c>
      <c r="W270" s="1098">
        <v>2201</v>
      </c>
      <c r="X270" s="819" t="s">
        <v>152</v>
      </c>
      <c r="Y270" s="1250" t="s">
        <v>2303</v>
      </c>
      <c r="Z270" s="702" t="s">
        <v>2302</v>
      </c>
      <c r="AA270" s="792">
        <v>2201071</v>
      </c>
      <c r="AB270" s="1265" t="s">
        <v>702</v>
      </c>
      <c r="AC270" s="1096" t="s">
        <v>694</v>
      </c>
      <c r="AD270" s="702" t="s">
        <v>695</v>
      </c>
      <c r="AE270" s="872">
        <v>91121</v>
      </c>
      <c r="AF270" s="876" t="s">
        <v>1892</v>
      </c>
      <c r="AG270" s="1093"/>
      <c r="AH270" s="873" t="str">
        <f t="shared" si="9"/>
        <v>2.3.1.01.01.001.01..2201071.91121</v>
      </c>
      <c r="AI270" s="1"/>
    </row>
    <row r="271" spans="1:114" s="4" customFormat="1" ht="78" hidden="1" customHeight="1" x14ac:dyDescent="0.2">
      <c r="A271" s="1098">
        <v>314</v>
      </c>
      <c r="B271" s="990" t="s">
        <v>266</v>
      </c>
      <c r="C271" s="792">
        <v>1</v>
      </c>
      <c r="D271" s="702" t="s">
        <v>1412</v>
      </c>
      <c r="E271" s="1000" t="s">
        <v>1814</v>
      </c>
      <c r="F271" s="792">
        <v>7</v>
      </c>
      <c r="G271" s="792" t="s">
        <v>1395</v>
      </c>
      <c r="H271" s="992" t="s">
        <v>1815</v>
      </c>
      <c r="I271" s="1183">
        <v>7490000000</v>
      </c>
      <c r="J271" s="1094"/>
      <c r="K271" s="1086"/>
      <c r="L271" s="1086"/>
      <c r="M271" s="961">
        <v>26</v>
      </c>
      <c r="N271" s="997" t="s">
        <v>1808</v>
      </c>
      <c r="O271" s="1087"/>
      <c r="P271" s="1087"/>
      <c r="Q271" s="1087"/>
      <c r="R271" s="1087"/>
      <c r="S271" s="1087"/>
      <c r="T271" s="1087"/>
      <c r="U271" s="57">
        <v>22</v>
      </c>
      <c r="V271" s="1262" t="s">
        <v>266</v>
      </c>
      <c r="W271" s="1098">
        <v>2201</v>
      </c>
      <c r="X271" s="819" t="s">
        <v>152</v>
      </c>
      <c r="Y271" s="1250" t="s">
        <v>2303</v>
      </c>
      <c r="Z271" s="702" t="s">
        <v>2302</v>
      </c>
      <c r="AA271" s="792">
        <v>2201071</v>
      </c>
      <c r="AB271" s="1265" t="s">
        <v>702</v>
      </c>
      <c r="AC271" s="1096" t="s">
        <v>694</v>
      </c>
      <c r="AD271" s="702" t="s">
        <v>695</v>
      </c>
      <c r="AE271" s="872">
        <v>91121</v>
      </c>
      <c r="AF271" s="876" t="s">
        <v>1892</v>
      </c>
      <c r="AG271" s="1093"/>
      <c r="AH271" s="873" t="str">
        <f t="shared" si="9"/>
        <v>2.3.1.01.01.001.01.2201071.91121</v>
      </c>
      <c r="AI271" s="1"/>
    </row>
    <row r="272" spans="1:114" s="4" customFormat="1" ht="78" hidden="1" customHeight="1" x14ac:dyDescent="0.2">
      <c r="A272" s="1098">
        <v>314</v>
      </c>
      <c r="B272" s="990" t="s">
        <v>266</v>
      </c>
      <c r="C272" s="792">
        <v>1</v>
      </c>
      <c r="D272" s="702" t="s">
        <v>1412</v>
      </c>
      <c r="E272" s="1000" t="s">
        <v>1894</v>
      </c>
      <c r="F272" s="792">
        <v>7</v>
      </c>
      <c r="G272" s="792" t="s">
        <v>1395</v>
      </c>
      <c r="H272" s="992" t="s">
        <v>1816</v>
      </c>
      <c r="I272" s="1183">
        <v>22000000</v>
      </c>
      <c r="J272" s="1094"/>
      <c r="K272" s="1086"/>
      <c r="L272" s="1086"/>
      <c r="M272" s="961">
        <v>25</v>
      </c>
      <c r="N272" s="997" t="s">
        <v>1808</v>
      </c>
      <c r="O272" s="1087"/>
      <c r="P272" s="1087"/>
      <c r="Q272" s="1087"/>
      <c r="R272" s="1087"/>
      <c r="S272" s="1087"/>
      <c r="T272" s="1087"/>
      <c r="U272" s="57">
        <v>22</v>
      </c>
      <c r="V272" s="1262" t="s">
        <v>266</v>
      </c>
      <c r="W272" s="1098">
        <v>2201</v>
      </c>
      <c r="X272" s="819" t="s">
        <v>152</v>
      </c>
      <c r="Y272" s="1250" t="s">
        <v>2303</v>
      </c>
      <c r="Z272" s="702" t="s">
        <v>2302</v>
      </c>
      <c r="AA272" s="792">
        <v>2201071</v>
      </c>
      <c r="AB272" s="1265" t="s">
        <v>702</v>
      </c>
      <c r="AC272" s="1096" t="s">
        <v>694</v>
      </c>
      <c r="AD272" s="702" t="s">
        <v>695</v>
      </c>
      <c r="AE272" s="872">
        <v>91121</v>
      </c>
      <c r="AF272" s="876" t="s">
        <v>1892</v>
      </c>
      <c r="AG272" s="1093"/>
      <c r="AH272" s="873" t="str">
        <f t="shared" si="9"/>
        <v>2.3.1.01.03.001.02..2201071.91121</v>
      </c>
      <c r="AI272" s="1"/>
    </row>
    <row r="273" spans="1:35" s="4" customFormat="1" ht="78" hidden="1" customHeight="1" x14ac:dyDescent="0.2">
      <c r="A273" s="1098">
        <v>314</v>
      </c>
      <c r="B273" s="990" t="s">
        <v>266</v>
      </c>
      <c r="C273" s="792">
        <v>1</v>
      </c>
      <c r="D273" s="702" t="s">
        <v>1412</v>
      </c>
      <c r="E273" s="1000" t="s">
        <v>1895</v>
      </c>
      <c r="F273" s="792">
        <v>7</v>
      </c>
      <c r="G273" s="792" t="s">
        <v>1395</v>
      </c>
      <c r="H273" s="992" t="s">
        <v>1817</v>
      </c>
      <c r="I273" s="1183">
        <v>265000000</v>
      </c>
      <c r="J273" s="1094"/>
      <c r="K273" s="1086"/>
      <c r="L273" s="1086"/>
      <c r="M273" s="961">
        <v>25</v>
      </c>
      <c r="N273" s="997" t="s">
        <v>1808</v>
      </c>
      <c r="O273" s="1087"/>
      <c r="P273" s="1087"/>
      <c r="Q273" s="1087"/>
      <c r="R273" s="1087"/>
      <c r="S273" s="1087"/>
      <c r="T273" s="1087"/>
      <c r="U273" s="57">
        <v>22</v>
      </c>
      <c r="V273" s="1262" t="s">
        <v>266</v>
      </c>
      <c r="W273" s="1098">
        <v>2201</v>
      </c>
      <c r="X273" s="819" t="s">
        <v>152</v>
      </c>
      <c r="Y273" s="1250" t="s">
        <v>2303</v>
      </c>
      <c r="Z273" s="702" t="s">
        <v>2302</v>
      </c>
      <c r="AA273" s="792">
        <v>2201071</v>
      </c>
      <c r="AB273" s="1265" t="s">
        <v>702</v>
      </c>
      <c r="AC273" s="1096" t="s">
        <v>694</v>
      </c>
      <c r="AD273" s="702" t="s">
        <v>695</v>
      </c>
      <c r="AE273" s="872">
        <v>91121</v>
      </c>
      <c r="AF273" s="876" t="s">
        <v>1892</v>
      </c>
      <c r="AG273" s="1093"/>
      <c r="AH273" s="873" t="str">
        <f t="shared" si="9"/>
        <v>2.3.1.01.01.001.09..2201071.91121</v>
      </c>
      <c r="AI273" s="1"/>
    </row>
    <row r="274" spans="1:35" s="4" customFormat="1" ht="78" hidden="1" customHeight="1" x14ac:dyDescent="0.2">
      <c r="A274" s="1098">
        <v>314</v>
      </c>
      <c r="B274" s="990" t="s">
        <v>266</v>
      </c>
      <c r="C274" s="792">
        <v>1</v>
      </c>
      <c r="D274" s="702" t="s">
        <v>1412</v>
      </c>
      <c r="E274" s="1000" t="s">
        <v>1896</v>
      </c>
      <c r="F274" s="792">
        <v>7</v>
      </c>
      <c r="G274" s="792" t="s">
        <v>1395</v>
      </c>
      <c r="H274" s="992" t="s">
        <v>1818</v>
      </c>
      <c r="I274" s="1183">
        <v>4469000000</v>
      </c>
      <c r="J274" s="1094"/>
      <c r="K274" s="1086"/>
      <c r="L274" s="1086"/>
      <c r="M274" s="961">
        <v>25</v>
      </c>
      <c r="N274" s="997" t="s">
        <v>1808</v>
      </c>
      <c r="O274" s="1087"/>
      <c r="P274" s="1087"/>
      <c r="Q274" s="1087"/>
      <c r="R274" s="1087"/>
      <c r="S274" s="1087"/>
      <c r="T274" s="1087"/>
      <c r="U274" s="57">
        <v>22</v>
      </c>
      <c r="V274" s="1262" t="s">
        <v>266</v>
      </c>
      <c r="W274" s="1098">
        <v>2201</v>
      </c>
      <c r="X274" s="819" t="s">
        <v>152</v>
      </c>
      <c r="Y274" s="1250" t="s">
        <v>2303</v>
      </c>
      <c r="Z274" s="702" t="s">
        <v>2302</v>
      </c>
      <c r="AA274" s="792">
        <v>2201071</v>
      </c>
      <c r="AB274" s="1265" t="s">
        <v>702</v>
      </c>
      <c r="AC274" s="1096" t="s">
        <v>694</v>
      </c>
      <c r="AD274" s="702" t="s">
        <v>695</v>
      </c>
      <c r="AE274" s="872">
        <v>91121</v>
      </c>
      <c r="AF274" s="876" t="s">
        <v>1892</v>
      </c>
      <c r="AG274" s="1093"/>
      <c r="AH274" s="873" t="str">
        <f t="shared" si="9"/>
        <v>2.3.1.01.01.001.06..2201071.91121</v>
      </c>
      <c r="AI274" s="1"/>
    </row>
    <row r="275" spans="1:35" s="4" customFormat="1" ht="78" hidden="1" customHeight="1" x14ac:dyDescent="0.2">
      <c r="A275" s="1098">
        <v>314</v>
      </c>
      <c r="B275" s="990" t="s">
        <v>266</v>
      </c>
      <c r="C275" s="792">
        <v>1</v>
      </c>
      <c r="D275" s="702" t="s">
        <v>1412</v>
      </c>
      <c r="E275" s="1000" t="s">
        <v>1897</v>
      </c>
      <c r="F275" s="792">
        <v>8</v>
      </c>
      <c r="G275" s="792" t="s">
        <v>1395</v>
      </c>
      <c r="H275" s="992" t="s">
        <v>1819</v>
      </c>
      <c r="I275" s="1183">
        <v>4440000000</v>
      </c>
      <c r="J275" s="1094"/>
      <c r="K275" s="1086"/>
      <c r="L275" s="1086"/>
      <c r="M275" s="961">
        <v>25</v>
      </c>
      <c r="N275" s="997" t="s">
        <v>1808</v>
      </c>
      <c r="O275" s="1087"/>
      <c r="P275" s="1087"/>
      <c r="Q275" s="1087"/>
      <c r="R275" s="1087"/>
      <c r="S275" s="1087"/>
      <c r="T275" s="1087"/>
      <c r="U275" s="57">
        <v>22</v>
      </c>
      <c r="V275" s="1262" t="s">
        <v>266</v>
      </c>
      <c r="W275" s="1098">
        <v>2201</v>
      </c>
      <c r="X275" s="819" t="s">
        <v>152</v>
      </c>
      <c r="Y275" s="1250" t="s">
        <v>2303</v>
      </c>
      <c r="Z275" s="702" t="s">
        <v>2302</v>
      </c>
      <c r="AA275" s="792">
        <v>2201071</v>
      </c>
      <c r="AB275" s="1265" t="s">
        <v>702</v>
      </c>
      <c r="AC275" s="1096" t="s">
        <v>694</v>
      </c>
      <c r="AD275" s="702" t="s">
        <v>695</v>
      </c>
      <c r="AE275" s="872">
        <v>91121</v>
      </c>
      <c r="AF275" s="876" t="s">
        <v>1892</v>
      </c>
      <c r="AG275" s="1093"/>
      <c r="AH275" s="873" t="str">
        <f t="shared" si="9"/>
        <v>2.3.1.01.01.001.08.02..2201071.91121</v>
      </c>
      <c r="AI275" s="1"/>
    </row>
    <row r="276" spans="1:35" s="4" customFormat="1" ht="78" hidden="1" customHeight="1" x14ac:dyDescent="0.2">
      <c r="A276" s="1098">
        <v>314</v>
      </c>
      <c r="B276" s="990" t="s">
        <v>266</v>
      </c>
      <c r="C276" s="792">
        <v>1</v>
      </c>
      <c r="D276" s="702" t="s">
        <v>1412</v>
      </c>
      <c r="E276" s="1000" t="s">
        <v>1898</v>
      </c>
      <c r="F276" s="792">
        <v>8</v>
      </c>
      <c r="G276" s="792" t="s">
        <v>1395</v>
      </c>
      <c r="H276" s="992" t="s">
        <v>1820</v>
      </c>
      <c r="I276" s="1183">
        <v>9830000000</v>
      </c>
      <c r="J276" s="1094"/>
      <c r="K276" s="1086"/>
      <c r="L276" s="1086"/>
      <c r="M276" s="961">
        <v>25</v>
      </c>
      <c r="N276" s="997" t="s">
        <v>1808</v>
      </c>
      <c r="O276" s="1087"/>
      <c r="P276" s="1087"/>
      <c r="Q276" s="1087"/>
      <c r="R276" s="1087"/>
      <c r="S276" s="1087"/>
      <c r="T276" s="1087"/>
      <c r="U276" s="57">
        <v>22</v>
      </c>
      <c r="V276" s="1262" t="s">
        <v>266</v>
      </c>
      <c r="W276" s="1098">
        <v>2201</v>
      </c>
      <c r="X276" s="819" t="s">
        <v>152</v>
      </c>
      <c r="Y276" s="1250" t="s">
        <v>2303</v>
      </c>
      <c r="Z276" s="702" t="s">
        <v>2302</v>
      </c>
      <c r="AA276" s="792">
        <v>2201071</v>
      </c>
      <c r="AB276" s="1265" t="s">
        <v>702</v>
      </c>
      <c r="AC276" s="1096" t="s">
        <v>694</v>
      </c>
      <c r="AD276" s="702" t="s">
        <v>695</v>
      </c>
      <c r="AE276" s="872">
        <v>91121</v>
      </c>
      <c r="AF276" s="876" t="s">
        <v>1892</v>
      </c>
      <c r="AG276" s="1093"/>
      <c r="AH276" s="873" t="str">
        <f t="shared" si="9"/>
        <v>2.3.1.01.01.001.08.01..2201071.91121</v>
      </c>
      <c r="AI276" s="1"/>
    </row>
    <row r="277" spans="1:35" s="4" customFormat="1" ht="78" hidden="1" customHeight="1" x14ac:dyDescent="0.2">
      <c r="A277" s="1098">
        <v>314</v>
      </c>
      <c r="B277" s="990" t="s">
        <v>266</v>
      </c>
      <c r="C277" s="792">
        <v>1</v>
      </c>
      <c r="D277" s="702" t="s">
        <v>1412</v>
      </c>
      <c r="E277" s="1000" t="s">
        <v>1899</v>
      </c>
      <c r="F277" s="792">
        <v>7</v>
      </c>
      <c r="G277" s="792" t="s">
        <v>1395</v>
      </c>
      <c r="H277" s="992" t="s">
        <v>1821</v>
      </c>
      <c r="I277" s="1183">
        <v>57000000</v>
      </c>
      <c r="J277" s="1094"/>
      <c r="K277" s="1086"/>
      <c r="L277" s="1086"/>
      <c r="M277" s="961">
        <v>25</v>
      </c>
      <c r="N277" s="997" t="s">
        <v>1808</v>
      </c>
      <c r="O277" s="1087"/>
      <c r="P277" s="1087"/>
      <c r="Q277" s="1087"/>
      <c r="R277" s="1087"/>
      <c r="S277" s="1087"/>
      <c r="T277" s="1087"/>
      <c r="U277" s="57">
        <v>22</v>
      </c>
      <c r="V277" s="1262" t="s">
        <v>266</v>
      </c>
      <c r="W277" s="1098">
        <v>2201</v>
      </c>
      <c r="X277" s="819" t="s">
        <v>152</v>
      </c>
      <c r="Y277" s="1250" t="s">
        <v>2303</v>
      </c>
      <c r="Z277" s="702" t="s">
        <v>2302</v>
      </c>
      <c r="AA277" s="792">
        <v>2201071</v>
      </c>
      <c r="AB277" s="1265" t="s">
        <v>702</v>
      </c>
      <c r="AC277" s="1096" t="s">
        <v>694</v>
      </c>
      <c r="AD277" s="702" t="s">
        <v>695</v>
      </c>
      <c r="AE277" s="872">
        <v>91121</v>
      </c>
      <c r="AF277" s="876" t="s">
        <v>1892</v>
      </c>
      <c r="AG277" s="1093"/>
      <c r="AH277" s="873" t="str">
        <f t="shared" si="9"/>
        <v>2.3.1.01.03.001.03..2201071.91121</v>
      </c>
      <c r="AI277" s="1"/>
    </row>
    <row r="278" spans="1:35" s="4" customFormat="1" ht="78" hidden="1" customHeight="1" x14ac:dyDescent="0.2">
      <c r="A278" s="1098">
        <v>314</v>
      </c>
      <c r="B278" s="990" t="s">
        <v>266</v>
      </c>
      <c r="C278" s="792">
        <v>1</v>
      </c>
      <c r="D278" s="702" t="s">
        <v>1412</v>
      </c>
      <c r="E278" s="1000" t="s">
        <v>1900</v>
      </c>
      <c r="F278" s="792">
        <v>6</v>
      </c>
      <c r="G278" s="792" t="s">
        <v>1395</v>
      </c>
      <c r="H278" s="992" t="s">
        <v>1822</v>
      </c>
      <c r="I278" s="1183">
        <v>4578000000</v>
      </c>
      <c r="J278" s="1094"/>
      <c r="K278" s="1086"/>
      <c r="L278" s="1086"/>
      <c r="M278" s="961">
        <v>25</v>
      </c>
      <c r="N278" s="997" t="s">
        <v>1808</v>
      </c>
      <c r="O278" s="1087"/>
      <c r="P278" s="1087"/>
      <c r="Q278" s="1087"/>
      <c r="R278" s="1087"/>
      <c r="S278" s="1087"/>
      <c r="T278" s="1087"/>
      <c r="U278" s="57">
        <v>22</v>
      </c>
      <c r="V278" s="1262" t="s">
        <v>266</v>
      </c>
      <c r="W278" s="1098">
        <v>2201</v>
      </c>
      <c r="X278" s="819" t="s">
        <v>152</v>
      </c>
      <c r="Y278" s="1250" t="s">
        <v>2303</v>
      </c>
      <c r="Z278" s="702" t="s">
        <v>2302</v>
      </c>
      <c r="AA278" s="792">
        <v>2201071</v>
      </c>
      <c r="AB278" s="1265" t="s">
        <v>702</v>
      </c>
      <c r="AC278" s="1096" t="s">
        <v>694</v>
      </c>
      <c r="AD278" s="702" t="s">
        <v>695</v>
      </c>
      <c r="AE278" s="872">
        <v>91121</v>
      </c>
      <c r="AF278" s="876" t="s">
        <v>1892</v>
      </c>
      <c r="AG278" s="1093"/>
      <c r="AH278" s="873" t="str">
        <f t="shared" si="9"/>
        <v>2.3.1.01.02.004..2201071.91121</v>
      </c>
      <c r="AI278" s="1"/>
    </row>
    <row r="279" spans="1:35" s="4" customFormat="1" ht="78" hidden="1" customHeight="1" x14ac:dyDescent="0.2">
      <c r="A279" s="1098">
        <v>314</v>
      </c>
      <c r="B279" s="990" t="s">
        <v>266</v>
      </c>
      <c r="C279" s="792">
        <v>1</v>
      </c>
      <c r="D279" s="702" t="s">
        <v>1412</v>
      </c>
      <c r="E279" s="1000" t="s">
        <v>1901</v>
      </c>
      <c r="F279" s="792">
        <v>6</v>
      </c>
      <c r="G279" s="792" t="s">
        <v>1395</v>
      </c>
      <c r="H279" s="992" t="s">
        <v>1823</v>
      </c>
      <c r="I279" s="1183">
        <f>1797000000+(545000000)</f>
        <v>2342000000</v>
      </c>
      <c r="J279" s="1094"/>
      <c r="K279" s="1086"/>
      <c r="L279" s="1086"/>
      <c r="M279" s="961">
        <v>25</v>
      </c>
      <c r="N279" s="997" t="s">
        <v>1808</v>
      </c>
      <c r="O279" s="1087"/>
      <c r="P279" s="1087"/>
      <c r="Q279" s="1087"/>
      <c r="R279" s="1087"/>
      <c r="S279" s="1087"/>
      <c r="T279" s="1087"/>
      <c r="U279" s="57">
        <v>22</v>
      </c>
      <c r="V279" s="1262" t="s">
        <v>266</v>
      </c>
      <c r="W279" s="1098">
        <v>2201</v>
      </c>
      <c r="X279" s="819" t="s">
        <v>152</v>
      </c>
      <c r="Y279" s="1250" t="s">
        <v>2303</v>
      </c>
      <c r="Z279" s="702" t="s">
        <v>2302</v>
      </c>
      <c r="AA279" s="792">
        <v>2201071</v>
      </c>
      <c r="AB279" s="1265" t="s">
        <v>702</v>
      </c>
      <c r="AC279" s="1096" t="s">
        <v>694</v>
      </c>
      <c r="AD279" s="702" t="s">
        <v>695</v>
      </c>
      <c r="AE279" s="872">
        <v>91121</v>
      </c>
      <c r="AF279" s="876" t="s">
        <v>1892</v>
      </c>
      <c r="AG279" s="1093"/>
      <c r="AH279" s="873" t="str">
        <f t="shared" si="9"/>
        <v>2.3.1.01.02.003..2201071.91121</v>
      </c>
      <c r="AI279" s="1"/>
    </row>
    <row r="280" spans="1:35" s="4" customFormat="1" ht="78" hidden="1" customHeight="1" x14ac:dyDescent="0.2">
      <c r="A280" s="1098">
        <v>314</v>
      </c>
      <c r="B280" s="990" t="s">
        <v>266</v>
      </c>
      <c r="C280" s="792">
        <v>1</v>
      </c>
      <c r="D280" s="702" t="s">
        <v>1412</v>
      </c>
      <c r="E280" s="1000" t="s">
        <v>1901</v>
      </c>
      <c r="F280" s="792">
        <v>6</v>
      </c>
      <c r="G280" s="792" t="s">
        <v>1395</v>
      </c>
      <c r="H280" s="992" t="s">
        <v>1823</v>
      </c>
      <c r="I280" s="1183">
        <v>8738333333.3299999</v>
      </c>
      <c r="J280" s="1094"/>
      <c r="K280" s="1086"/>
      <c r="L280" s="1086"/>
      <c r="M280" s="961">
        <v>26</v>
      </c>
      <c r="N280" s="997" t="s">
        <v>1808</v>
      </c>
      <c r="O280" s="1087"/>
      <c r="P280" s="1087"/>
      <c r="Q280" s="1087"/>
      <c r="R280" s="1087"/>
      <c r="S280" s="1087"/>
      <c r="T280" s="1087"/>
      <c r="U280" s="57">
        <v>22</v>
      </c>
      <c r="V280" s="1262" t="s">
        <v>266</v>
      </c>
      <c r="W280" s="1098">
        <v>2201</v>
      </c>
      <c r="X280" s="819" t="s">
        <v>152</v>
      </c>
      <c r="Y280" s="1250" t="s">
        <v>2303</v>
      </c>
      <c r="Z280" s="702" t="s">
        <v>2302</v>
      </c>
      <c r="AA280" s="792">
        <v>2201071</v>
      </c>
      <c r="AB280" s="1265" t="s">
        <v>702</v>
      </c>
      <c r="AC280" s="1096" t="s">
        <v>694</v>
      </c>
      <c r="AD280" s="702" t="s">
        <v>695</v>
      </c>
      <c r="AE280" s="872">
        <v>91121</v>
      </c>
      <c r="AF280" s="876" t="s">
        <v>1892</v>
      </c>
      <c r="AG280" s="1093"/>
      <c r="AH280" s="873" t="str">
        <f t="shared" si="9"/>
        <v>2.3.1.01.02.003..2201071.91121</v>
      </c>
      <c r="AI280" s="1"/>
    </row>
    <row r="281" spans="1:35" s="4" customFormat="1" ht="78" hidden="1" customHeight="1" x14ac:dyDescent="0.2">
      <c r="A281" s="1098">
        <v>314</v>
      </c>
      <c r="B281" s="990" t="s">
        <v>266</v>
      </c>
      <c r="C281" s="792">
        <v>1</v>
      </c>
      <c r="D281" s="702" t="s">
        <v>1412</v>
      </c>
      <c r="E281" s="1000" t="s">
        <v>1902</v>
      </c>
      <c r="F281" s="792">
        <v>6</v>
      </c>
      <c r="G281" s="792" t="s">
        <v>1395</v>
      </c>
      <c r="H281" s="992" t="s">
        <v>1824</v>
      </c>
      <c r="I281" s="1183">
        <f>953000000</f>
        <v>953000000</v>
      </c>
      <c r="J281" s="1094"/>
      <c r="K281" s="1086"/>
      <c r="L281" s="1086"/>
      <c r="M281" s="961">
        <v>25</v>
      </c>
      <c r="N281" s="997" t="s">
        <v>1808</v>
      </c>
      <c r="O281" s="1087"/>
      <c r="P281" s="1087"/>
      <c r="Q281" s="1087"/>
      <c r="R281" s="1087"/>
      <c r="S281" s="1087"/>
      <c r="T281" s="1087"/>
      <c r="U281" s="57">
        <v>22</v>
      </c>
      <c r="V281" s="1262" t="s">
        <v>266</v>
      </c>
      <c r="W281" s="1098">
        <v>2201</v>
      </c>
      <c r="X281" s="819" t="s">
        <v>152</v>
      </c>
      <c r="Y281" s="1250" t="s">
        <v>2303</v>
      </c>
      <c r="Z281" s="702" t="s">
        <v>2302</v>
      </c>
      <c r="AA281" s="792">
        <v>2201071</v>
      </c>
      <c r="AB281" s="1265" t="s">
        <v>702</v>
      </c>
      <c r="AC281" s="1096" t="s">
        <v>694</v>
      </c>
      <c r="AD281" s="702" t="s">
        <v>695</v>
      </c>
      <c r="AE281" s="872">
        <v>91121</v>
      </c>
      <c r="AF281" s="876" t="s">
        <v>1892</v>
      </c>
      <c r="AG281" s="1093"/>
      <c r="AH281" s="873" t="str">
        <f t="shared" si="9"/>
        <v>2.3.1.01.02.002..2201071.91121</v>
      </c>
      <c r="AI281" s="1"/>
    </row>
    <row r="282" spans="1:35" s="4" customFormat="1" ht="78" hidden="1" customHeight="1" x14ac:dyDescent="0.2">
      <c r="A282" s="1098">
        <v>314</v>
      </c>
      <c r="B282" s="990" t="s">
        <v>266</v>
      </c>
      <c r="C282" s="792">
        <v>1</v>
      </c>
      <c r="D282" s="702" t="s">
        <v>1412</v>
      </c>
      <c r="E282" s="1000" t="s">
        <v>1902</v>
      </c>
      <c r="F282" s="792">
        <v>6</v>
      </c>
      <c r="G282" s="792" t="s">
        <v>1395</v>
      </c>
      <c r="H282" s="992" t="s">
        <v>1824</v>
      </c>
      <c r="I282" s="1183">
        <v>4458333333.3299999</v>
      </c>
      <c r="J282" s="1094"/>
      <c r="K282" s="1086"/>
      <c r="L282" s="1086"/>
      <c r="M282" s="961">
        <v>26</v>
      </c>
      <c r="N282" s="997" t="s">
        <v>1825</v>
      </c>
      <c r="O282" s="1087"/>
      <c r="P282" s="1087"/>
      <c r="Q282" s="1087"/>
      <c r="R282" s="1087"/>
      <c r="S282" s="1087"/>
      <c r="T282" s="1087"/>
      <c r="U282" s="57">
        <v>22</v>
      </c>
      <c r="V282" s="1262" t="s">
        <v>266</v>
      </c>
      <c r="W282" s="1098">
        <v>2201</v>
      </c>
      <c r="X282" s="819" t="s">
        <v>152</v>
      </c>
      <c r="Y282" s="1250" t="s">
        <v>2303</v>
      </c>
      <c r="Z282" s="702" t="s">
        <v>2302</v>
      </c>
      <c r="AA282" s="792">
        <v>2201071</v>
      </c>
      <c r="AB282" s="1265" t="s">
        <v>702</v>
      </c>
      <c r="AC282" s="1096" t="s">
        <v>694</v>
      </c>
      <c r="AD282" s="702" t="s">
        <v>695</v>
      </c>
      <c r="AE282" s="872">
        <v>91121</v>
      </c>
      <c r="AF282" s="876" t="s">
        <v>1892</v>
      </c>
      <c r="AG282" s="1093"/>
      <c r="AH282" s="873" t="str">
        <f t="shared" si="9"/>
        <v>2.3.1.01.02.002..2201071.91121</v>
      </c>
      <c r="AI282" s="1"/>
    </row>
    <row r="283" spans="1:35" s="4" customFormat="1" ht="78" hidden="1" customHeight="1" x14ac:dyDescent="0.2">
      <c r="A283" s="1098">
        <v>314</v>
      </c>
      <c r="B283" s="990" t="s">
        <v>266</v>
      </c>
      <c r="C283" s="792">
        <v>1</v>
      </c>
      <c r="D283" s="702" t="s">
        <v>1412</v>
      </c>
      <c r="E283" s="1000" t="s">
        <v>1903</v>
      </c>
      <c r="F283" s="792">
        <v>6</v>
      </c>
      <c r="G283" s="792" t="s">
        <v>1395</v>
      </c>
      <c r="H283" s="992" t="s">
        <v>1826</v>
      </c>
      <c r="I283" s="1183">
        <f>1344000000</f>
        <v>1344000000</v>
      </c>
      <c r="J283" s="1094"/>
      <c r="K283" s="1086"/>
      <c r="L283" s="1086"/>
      <c r="M283" s="961">
        <v>25</v>
      </c>
      <c r="N283" s="997" t="s">
        <v>1808</v>
      </c>
      <c r="O283" s="1087"/>
      <c r="P283" s="1087"/>
      <c r="Q283" s="1087"/>
      <c r="R283" s="1087"/>
      <c r="S283" s="1087"/>
      <c r="T283" s="1087"/>
      <c r="U283" s="57">
        <v>22</v>
      </c>
      <c r="V283" s="1262" t="s">
        <v>266</v>
      </c>
      <c r="W283" s="1098">
        <v>2201</v>
      </c>
      <c r="X283" s="819" t="s">
        <v>152</v>
      </c>
      <c r="Y283" s="1250" t="s">
        <v>2303</v>
      </c>
      <c r="Z283" s="702" t="s">
        <v>2302</v>
      </c>
      <c r="AA283" s="792">
        <v>2201071</v>
      </c>
      <c r="AB283" s="1265" t="s">
        <v>702</v>
      </c>
      <c r="AC283" s="1096" t="s">
        <v>694</v>
      </c>
      <c r="AD283" s="702" t="s">
        <v>695</v>
      </c>
      <c r="AE283" s="872">
        <v>91121</v>
      </c>
      <c r="AF283" s="876" t="s">
        <v>1892</v>
      </c>
      <c r="AG283" s="1093"/>
      <c r="AH283" s="873" t="str">
        <f t="shared" si="9"/>
        <v>2.3.1.01.02.001..2201071.91121</v>
      </c>
      <c r="AI283" s="1"/>
    </row>
    <row r="284" spans="1:35" s="4" customFormat="1" ht="78" hidden="1" customHeight="1" x14ac:dyDescent="0.2">
      <c r="A284" s="1098">
        <v>314</v>
      </c>
      <c r="B284" s="990" t="s">
        <v>266</v>
      </c>
      <c r="C284" s="792">
        <v>1</v>
      </c>
      <c r="D284" s="702" t="s">
        <v>1412</v>
      </c>
      <c r="E284" s="1000" t="s">
        <v>1903</v>
      </c>
      <c r="F284" s="792">
        <v>6</v>
      </c>
      <c r="G284" s="792" t="s">
        <v>1395</v>
      </c>
      <c r="H284" s="992" t="s">
        <v>1826</v>
      </c>
      <c r="I284" s="1183">
        <v>4458333333.3400002</v>
      </c>
      <c r="J284" s="1094"/>
      <c r="K284" s="1086"/>
      <c r="L284" s="1086"/>
      <c r="M284" s="961">
        <v>26</v>
      </c>
      <c r="N284" s="997" t="s">
        <v>1825</v>
      </c>
      <c r="O284" s="1087"/>
      <c r="P284" s="1087"/>
      <c r="Q284" s="1087"/>
      <c r="R284" s="1087"/>
      <c r="S284" s="1087"/>
      <c r="T284" s="1087"/>
      <c r="U284" s="57">
        <v>22</v>
      </c>
      <c r="V284" s="1262" t="s">
        <v>266</v>
      </c>
      <c r="W284" s="1098">
        <v>2201</v>
      </c>
      <c r="X284" s="819" t="s">
        <v>152</v>
      </c>
      <c r="Y284" s="1250" t="s">
        <v>2303</v>
      </c>
      <c r="Z284" s="702" t="s">
        <v>2302</v>
      </c>
      <c r="AA284" s="792">
        <v>2201071</v>
      </c>
      <c r="AB284" s="1265" t="s">
        <v>702</v>
      </c>
      <c r="AC284" s="1096" t="s">
        <v>694</v>
      </c>
      <c r="AD284" s="702" t="s">
        <v>695</v>
      </c>
      <c r="AE284" s="872">
        <v>91121</v>
      </c>
      <c r="AF284" s="876" t="s">
        <v>1892</v>
      </c>
      <c r="AG284" s="1093"/>
      <c r="AH284" s="873" t="str">
        <f t="shared" si="9"/>
        <v>2.3.1.01.02.001..2201071.91121</v>
      </c>
      <c r="AI284" s="1"/>
    </row>
    <row r="285" spans="1:35" s="4" customFormat="1" ht="78" hidden="1" customHeight="1" x14ac:dyDescent="0.2">
      <c r="A285" s="1098">
        <v>314</v>
      </c>
      <c r="B285" s="990" t="s">
        <v>266</v>
      </c>
      <c r="C285" s="792">
        <v>1</v>
      </c>
      <c r="D285" s="702" t="s">
        <v>1412</v>
      </c>
      <c r="E285" s="1000" t="s">
        <v>1904</v>
      </c>
      <c r="F285" s="792">
        <v>6</v>
      </c>
      <c r="G285" s="792" t="s">
        <v>1395</v>
      </c>
      <c r="H285" s="992" t="s">
        <v>1827</v>
      </c>
      <c r="I285" s="1183">
        <v>60000000</v>
      </c>
      <c r="J285" s="1094"/>
      <c r="K285" s="1086"/>
      <c r="L285" s="1086"/>
      <c r="M285" s="961">
        <v>25</v>
      </c>
      <c r="N285" s="997" t="s">
        <v>1808</v>
      </c>
      <c r="O285" s="1087"/>
      <c r="P285" s="1087"/>
      <c r="Q285" s="1087"/>
      <c r="R285" s="1087"/>
      <c r="S285" s="1087"/>
      <c r="T285" s="1087"/>
      <c r="U285" s="57">
        <v>22</v>
      </c>
      <c r="V285" s="1262" t="s">
        <v>266</v>
      </c>
      <c r="W285" s="1098">
        <v>2201</v>
      </c>
      <c r="X285" s="819" t="s">
        <v>152</v>
      </c>
      <c r="Y285" s="1250" t="s">
        <v>2303</v>
      </c>
      <c r="Z285" s="702" t="s">
        <v>2302</v>
      </c>
      <c r="AA285" s="792">
        <v>2201071</v>
      </c>
      <c r="AB285" s="1265" t="s">
        <v>702</v>
      </c>
      <c r="AC285" s="1096" t="s">
        <v>694</v>
      </c>
      <c r="AD285" s="702" t="s">
        <v>695</v>
      </c>
      <c r="AE285" s="872">
        <v>91121</v>
      </c>
      <c r="AF285" s="876" t="s">
        <v>1892</v>
      </c>
      <c r="AG285" s="1093"/>
      <c r="AH285" s="873" t="str">
        <f t="shared" si="9"/>
        <v>2.3.1.01.02.005..2201071.91121</v>
      </c>
      <c r="AI285" s="1"/>
    </row>
    <row r="286" spans="1:35" s="4" customFormat="1" ht="78" hidden="1" customHeight="1" x14ac:dyDescent="0.2">
      <c r="A286" s="1098">
        <v>314</v>
      </c>
      <c r="B286" s="990" t="s">
        <v>266</v>
      </c>
      <c r="C286" s="792">
        <v>1</v>
      </c>
      <c r="D286" s="702" t="s">
        <v>1412</v>
      </c>
      <c r="E286" s="1000" t="s">
        <v>1905</v>
      </c>
      <c r="F286" s="792">
        <v>6</v>
      </c>
      <c r="G286" s="792" t="s">
        <v>1395</v>
      </c>
      <c r="H286" s="992" t="s">
        <v>1828</v>
      </c>
      <c r="I286" s="1183">
        <v>573000000</v>
      </c>
      <c r="J286" s="1094"/>
      <c r="K286" s="1086"/>
      <c r="L286" s="1086"/>
      <c r="M286" s="961">
        <v>25</v>
      </c>
      <c r="N286" s="997" t="s">
        <v>1808</v>
      </c>
      <c r="O286" s="1087"/>
      <c r="P286" s="1087"/>
      <c r="Q286" s="1087"/>
      <c r="R286" s="1087"/>
      <c r="S286" s="1087"/>
      <c r="T286" s="1087"/>
      <c r="U286" s="57">
        <v>22</v>
      </c>
      <c r="V286" s="1262" t="s">
        <v>266</v>
      </c>
      <c r="W286" s="1098">
        <v>2201</v>
      </c>
      <c r="X286" s="819" t="s">
        <v>152</v>
      </c>
      <c r="Y286" s="1250" t="s">
        <v>2303</v>
      </c>
      <c r="Z286" s="702" t="s">
        <v>2302</v>
      </c>
      <c r="AA286" s="792">
        <v>2201071</v>
      </c>
      <c r="AB286" s="1265" t="s">
        <v>702</v>
      </c>
      <c r="AC286" s="1096" t="s">
        <v>694</v>
      </c>
      <c r="AD286" s="702" t="s">
        <v>695</v>
      </c>
      <c r="AE286" s="872">
        <v>91121</v>
      </c>
      <c r="AF286" s="876" t="s">
        <v>1892</v>
      </c>
      <c r="AG286" s="1093"/>
      <c r="AH286" s="873" t="str">
        <f t="shared" si="9"/>
        <v>2.3.1.01.02.007..2201071.91121</v>
      </c>
      <c r="AI286" s="1"/>
    </row>
    <row r="287" spans="1:35" s="4" customFormat="1" ht="78" hidden="1" customHeight="1" x14ac:dyDescent="0.2">
      <c r="A287" s="1098">
        <v>314</v>
      </c>
      <c r="B287" s="990" t="s">
        <v>266</v>
      </c>
      <c r="C287" s="792">
        <v>1</v>
      </c>
      <c r="D287" s="702" t="s">
        <v>1412</v>
      </c>
      <c r="E287" s="1000" t="s">
        <v>1906</v>
      </c>
      <c r="F287" s="792">
        <v>6</v>
      </c>
      <c r="G287" s="792" t="s">
        <v>1395</v>
      </c>
      <c r="H287" s="992" t="s">
        <v>1829</v>
      </c>
      <c r="I287" s="1183">
        <v>3435000000</v>
      </c>
      <c r="J287" s="1094"/>
      <c r="K287" s="1086"/>
      <c r="L287" s="1086"/>
      <c r="M287" s="961">
        <v>25</v>
      </c>
      <c r="N287" s="997" t="s">
        <v>1808</v>
      </c>
      <c r="O287" s="1087"/>
      <c r="P287" s="1087"/>
      <c r="Q287" s="1087"/>
      <c r="R287" s="1087"/>
      <c r="S287" s="1087"/>
      <c r="T287" s="1087"/>
      <c r="U287" s="57">
        <v>22</v>
      </c>
      <c r="V287" s="1262" t="s">
        <v>266</v>
      </c>
      <c r="W287" s="1098">
        <v>2201</v>
      </c>
      <c r="X287" s="819" t="s">
        <v>152</v>
      </c>
      <c r="Y287" s="1250" t="s">
        <v>2303</v>
      </c>
      <c r="Z287" s="702" t="s">
        <v>2302</v>
      </c>
      <c r="AA287" s="792">
        <v>2201071</v>
      </c>
      <c r="AB287" s="1265" t="s">
        <v>702</v>
      </c>
      <c r="AC287" s="1096" t="s">
        <v>694</v>
      </c>
      <c r="AD287" s="702" t="s">
        <v>695</v>
      </c>
      <c r="AE287" s="872">
        <v>91121</v>
      </c>
      <c r="AF287" s="876" t="s">
        <v>1892</v>
      </c>
      <c r="AG287" s="1093"/>
      <c r="AH287" s="873" t="str">
        <f t="shared" si="9"/>
        <v>2.3.1.01.02.006..2201071.91121</v>
      </c>
      <c r="AI287" s="1"/>
    </row>
    <row r="288" spans="1:35" s="4" customFormat="1" ht="78" hidden="1" customHeight="1" x14ac:dyDescent="0.2">
      <c r="A288" s="1098">
        <v>314</v>
      </c>
      <c r="B288" s="990" t="s">
        <v>266</v>
      </c>
      <c r="C288" s="792">
        <v>1</v>
      </c>
      <c r="D288" s="702" t="s">
        <v>1412</v>
      </c>
      <c r="E288" s="1000" t="s">
        <v>1907</v>
      </c>
      <c r="F288" s="792">
        <v>6</v>
      </c>
      <c r="G288" s="792" t="s">
        <v>1395</v>
      </c>
      <c r="H288" s="992" t="s">
        <v>1830</v>
      </c>
      <c r="I288" s="1183">
        <v>1146000000</v>
      </c>
      <c r="J288" s="1094"/>
      <c r="K288" s="1086"/>
      <c r="L288" s="1086"/>
      <c r="M288" s="961">
        <v>25</v>
      </c>
      <c r="N288" s="997" t="s">
        <v>1808</v>
      </c>
      <c r="O288" s="1087"/>
      <c r="P288" s="1087"/>
      <c r="Q288" s="1087"/>
      <c r="R288" s="1087"/>
      <c r="S288" s="1087"/>
      <c r="T288" s="1087"/>
      <c r="U288" s="57">
        <v>22</v>
      </c>
      <c r="V288" s="1262" t="s">
        <v>266</v>
      </c>
      <c r="W288" s="1098">
        <v>2201</v>
      </c>
      <c r="X288" s="819" t="s">
        <v>152</v>
      </c>
      <c r="Y288" s="1250" t="s">
        <v>2303</v>
      </c>
      <c r="Z288" s="702" t="s">
        <v>2302</v>
      </c>
      <c r="AA288" s="792">
        <v>2201071</v>
      </c>
      <c r="AB288" s="1265" t="s">
        <v>702</v>
      </c>
      <c r="AC288" s="1096" t="s">
        <v>694</v>
      </c>
      <c r="AD288" s="702" t="s">
        <v>695</v>
      </c>
      <c r="AE288" s="872">
        <v>91121</v>
      </c>
      <c r="AF288" s="876" t="s">
        <v>1892</v>
      </c>
      <c r="AG288" s="1093"/>
      <c r="AH288" s="873" t="str">
        <f t="shared" si="9"/>
        <v>2.3.1.01.02.009..2201071.91121</v>
      </c>
      <c r="AI288" s="1"/>
    </row>
    <row r="289" spans="1:35" s="4" customFormat="1" ht="78" hidden="1" customHeight="1" x14ac:dyDescent="0.2">
      <c r="A289" s="1098">
        <v>314</v>
      </c>
      <c r="B289" s="990" t="s">
        <v>266</v>
      </c>
      <c r="C289" s="792">
        <v>1</v>
      </c>
      <c r="D289" s="702" t="s">
        <v>1412</v>
      </c>
      <c r="E289" s="1000" t="s">
        <v>1908</v>
      </c>
      <c r="F289" s="792">
        <v>6</v>
      </c>
      <c r="G289" s="792" t="s">
        <v>1395</v>
      </c>
      <c r="H289" s="992" t="s">
        <v>1831</v>
      </c>
      <c r="I289" s="1183">
        <v>573000000</v>
      </c>
      <c r="J289" s="1094"/>
      <c r="K289" s="1086"/>
      <c r="L289" s="1086"/>
      <c r="M289" s="961">
        <v>25</v>
      </c>
      <c r="N289" s="997" t="s">
        <v>1808</v>
      </c>
      <c r="O289" s="1087"/>
      <c r="P289" s="1087"/>
      <c r="Q289" s="1087"/>
      <c r="R289" s="1087"/>
      <c r="S289" s="1087"/>
      <c r="T289" s="1087"/>
      <c r="U289" s="57">
        <v>22</v>
      </c>
      <c r="V289" s="1262" t="s">
        <v>266</v>
      </c>
      <c r="W289" s="1098">
        <v>2201</v>
      </c>
      <c r="X289" s="819" t="s">
        <v>152</v>
      </c>
      <c r="Y289" s="1250" t="s">
        <v>2303</v>
      </c>
      <c r="Z289" s="702" t="s">
        <v>2302</v>
      </c>
      <c r="AA289" s="792">
        <v>2201071</v>
      </c>
      <c r="AB289" s="1265" t="s">
        <v>702</v>
      </c>
      <c r="AC289" s="1096" t="s">
        <v>694</v>
      </c>
      <c r="AD289" s="702" t="s">
        <v>695</v>
      </c>
      <c r="AE289" s="872">
        <v>91121</v>
      </c>
      <c r="AF289" s="876" t="s">
        <v>1892</v>
      </c>
      <c r="AG289" s="1093"/>
      <c r="AH289" s="873" t="str">
        <f t="shared" si="9"/>
        <v>2.3.1.01.02.008..2201071.91121</v>
      </c>
      <c r="AI289" s="1"/>
    </row>
    <row r="290" spans="1:35" s="4" customFormat="1" ht="78" hidden="1" customHeight="1" x14ac:dyDescent="0.2">
      <c r="A290" s="1098">
        <v>314</v>
      </c>
      <c r="B290" s="990" t="s">
        <v>266</v>
      </c>
      <c r="C290" s="792">
        <v>1</v>
      </c>
      <c r="D290" s="702" t="s">
        <v>1412</v>
      </c>
      <c r="E290" s="1000" t="s">
        <v>1596</v>
      </c>
      <c r="F290" s="792">
        <v>6</v>
      </c>
      <c r="G290" s="792" t="s">
        <v>1395</v>
      </c>
      <c r="H290" s="992" t="s">
        <v>1599</v>
      </c>
      <c r="I290" s="1183">
        <v>70000000</v>
      </c>
      <c r="J290" s="1094"/>
      <c r="K290" s="1086"/>
      <c r="L290" s="1086"/>
      <c r="M290" s="961">
        <v>25</v>
      </c>
      <c r="N290" s="997" t="s">
        <v>1808</v>
      </c>
      <c r="O290" s="1087"/>
      <c r="P290" s="1087"/>
      <c r="Q290" s="1087"/>
      <c r="R290" s="1087"/>
      <c r="S290" s="1087"/>
      <c r="T290" s="1087"/>
      <c r="U290" s="57">
        <v>22</v>
      </c>
      <c r="V290" s="1262" t="s">
        <v>266</v>
      </c>
      <c r="W290" s="1098">
        <v>2201</v>
      </c>
      <c r="X290" s="819" t="s">
        <v>152</v>
      </c>
      <c r="Y290" s="1250" t="s">
        <v>2303</v>
      </c>
      <c r="Z290" s="702" t="s">
        <v>2302</v>
      </c>
      <c r="AA290" s="792">
        <v>2201071</v>
      </c>
      <c r="AB290" s="1265" t="s">
        <v>702</v>
      </c>
      <c r="AC290" s="1096" t="s">
        <v>694</v>
      </c>
      <c r="AD290" s="702" t="s">
        <v>695</v>
      </c>
      <c r="AE290" s="872">
        <v>91121</v>
      </c>
      <c r="AF290" s="876" t="s">
        <v>1892</v>
      </c>
      <c r="AG290" s="1093"/>
      <c r="AH290" s="873" t="str">
        <f t="shared" si="9"/>
        <v>2.3.2.02.01.003..2201071.91121</v>
      </c>
      <c r="AI290" s="1"/>
    </row>
    <row r="291" spans="1:35" s="4" customFormat="1" ht="78" hidden="1" customHeight="1" x14ac:dyDescent="0.2">
      <c r="A291" s="1098">
        <v>314</v>
      </c>
      <c r="B291" s="990" t="s">
        <v>266</v>
      </c>
      <c r="C291" s="792">
        <v>1</v>
      </c>
      <c r="D291" s="702" t="s">
        <v>1412</v>
      </c>
      <c r="E291" s="1000" t="s">
        <v>1542</v>
      </c>
      <c r="F291" s="792">
        <v>8</v>
      </c>
      <c r="G291" s="792" t="s">
        <v>1395</v>
      </c>
      <c r="H291" s="992" t="s">
        <v>1543</v>
      </c>
      <c r="I291" s="1183">
        <v>100000000</v>
      </c>
      <c r="J291" s="1094"/>
      <c r="K291" s="1086"/>
      <c r="L291" s="1086"/>
      <c r="M291" s="961">
        <v>25</v>
      </c>
      <c r="N291" s="997" t="s">
        <v>1808</v>
      </c>
      <c r="O291" s="1087"/>
      <c r="P291" s="1087"/>
      <c r="Q291" s="1087"/>
      <c r="R291" s="1087"/>
      <c r="S291" s="1087"/>
      <c r="T291" s="1087"/>
      <c r="U291" s="57">
        <v>22</v>
      </c>
      <c r="V291" s="1262" t="s">
        <v>266</v>
      </c>
      <c r="W291" s="1098">
        <v>2201</v>
      </c>
      <c r="X291" s="819" t="s">
        <v>152</v>
      </c>
      <c r="Y291" s="1250" t="s">
        <v>2303</v>
      </c>
      <c r="Z291" s="702" t="s">
        <v>2302</v>
      </c>
      <c r="AA291" s="792">
        <v>2201071</v>
      </c>
      <c r="AB291" s="1265" t="s">
        <v>702</v>
      </c>
      <c r="AC291" s="1096" t="s">
        <v>694</v>
      </c>
      <c r="AD291" s="702" t="s">
        <v>695</v>
      </c>
      <c r="AE291" s="872">
        <v>91121</v>
      </c>
      <c r="AF291" s="876" t="s">
        <v>1892</v>
      </c>
      <c r="AG291" s="1093"/>
      <c r="AH291" s="873" t="str">
        <f t="shared" si="9"/>
        <v>2.3.2.01.01.003.03.02..2201071.91121</v>
      </c>
      <c r="AI291" s="1"/>
    </row>
    <row r="292" spans="1:35" s="4" customFormat="1" ht="78" hidden="1" customHeight="1" x14ac:dyDescent="0.2">
      <c r="A292" s="1098">
        <v>314</v>
      </c>
      <c r="B292" s="990" t="s">
        <v>266</v>
      </c>
      <c r="C292" s="792">
        <v>1</v>
      </c>
      <c r="D292" s="702" t="s">
        <v>1412</v>
      </c>
      <c r="E292" s="1000" t="s">
        <v>1540</v>
      </c>
      <c r="F292" s="792">
        <v>6</v>
      </c>
      <c r="G292" s="792" t="s">
        <v>1395</v>
      </c>
      <c r="H292" s="992" t="s">
        <v>1537</v>
      </c>
      <c r="I292" s="1183">
        <v>1704338000</v>
      </c>
      <c r="J292" s="1091"/>
      <c r="K292" s="977"/>
      <c r="L292" s="1476"/>
      <c r="M292" s="961">
        <v>25</v>
      </c>
      <c r="N292" s="997" t="s">
        <v>1808</v>
      </c>
      <c r="O292" s="1074"/>
      <c r="P292" s="1095"/>
      <c r="Q292" s="1075"/>
      <c r="R292" s="1087"/>
      <c r="S292" s="1087"/>
      <c r="T292" s="1087"/>
      <c r="U292" s="57">
        <v>22</v>
      </c>
      <c r="V292" s="1262" t="s">
        <v>266</v>
      </c>
      <c r="W292" s="1098">
        <v>2201</v>
      </c>
      <c r="X292" s="819" t="s">
        <v>152</v>
      </c>
      <c r="Y292" s="1250" t="s">
        <v>2303</v>
      </c>
      <c r="Z292" s="702" t="s">
        <v>2302</v>
      </c>
      <c r="AA292" s="792">
        <v>2201071</v>
      </c>
      <c r="AB292" s="1265" t="s">
        <v>702</v>
      </c>
      <c r="AC292" s="1096" t="s">
        <v>694</v>
      </c>
      <c r="AD292" s="702" t="s">
        <v>695</v>
      </c>
      <c r="AE292" s="872">
        <v>91121</v>
      </c>
      <c r="AF292" s="876" t="s">
        <v>1892</v>
      </c>
      <c r="AG292" s="1093"/>
      <c r="AH292" s="873" t="str">
        <f t="shared" si="9"/>
        <v>2.3.2.02.02.009..2201071.91121</v>
      </c>
      <c r="AI292" s="1"/>
    </row>
    <row r="293" spans="1:35" s="4" customFormat="1" ht="78" hidden="1" customHeight="1" x14ac:dyDescent="0.2">
      <c r="A293" s="1098">
        <v>314</v>
      </c>
      <c r="B293" s="990" t="s">
        <v>266</v>
      </c>
      <c r="C293" s="792">
        <v>1</v>
      </c>
      <c r="D293" s="702" t="s">
        <v>1412</v>
      </c>
      <c r="E293" s="1000" t="s">
        <v>1909</v>
      </c>
      <c r="F293" s="792">
        <v>6</v>
      </c>
      <c r="G293" s="792" t="s">
        <v>1395</v>
      </c>
      <c r="H293" s="992" t="s">
        <v>1832</v>
      </c>
      <c r="I293" s="1183">
        <f>85000000+(7662000)</f>
        <v>92662000</v>
      </c>
      <c r="J293" s="1094"/>
      <c r="K293" s="1086"/>
      <c r="L293" s="1086"/>
      <c r="M293" s="961">
        <v>25</v>
      </c>
      <c r="N293" s="997" t="s">
        <v>1808</v>
      </c>
      <c r="O293" s="1087"/>
      <c r="P293" s="1087"/>
      <c r="Q293" s="1087"/>
      <c r="R293" s="1087"/>
      <c r="S293" s="1087"/>
      <c r="T293" s="1087"/>
      <c r="U293" s="57">
        <v>22</v>
      </c>
      <c r="V293" s="1262" t="s">
        <v>266</v>
      </c>
      <c r="W293" s="1098">
        <v>2201</v>
      </c>
      <c r="X293" s="819" t="s">
        <v>152</v>
      </c>
      <c r="Y293" s="1250" t="s">
        <v>2303</v>
      </c>
      <c r="Z293" s="702" t="s">
        <v>2302</v>
      </c>
      <c r="AA293" s="792">
        <v>2201071</v>
      </c>
      <c r="AB293" s="1265" t="s">
        <v>702</v>
      </c>
      <c r="AC293" s="1096" t="s">
        <v>694</v>
      </c>
      <c r="AD293" s="702" t="s">
        <v>695</v>
      </c>
      <c r="AE293" s="872">
        <v>91121</v>
      </c>
      <c r="AF293" s="876" t="s">
        <v>1892</v>
      </c>
      <c r="AG293" s="1093"/>
      <c r="AH293" s="873" t="str">
        <f t="shared" si="9"/>
        <v>2.3.2.02.02.010..2201071.91121</v>
      </c>
      <c r="AI293" s="1"/>
    </row>
    <row r="294" spans="1:35" s="4" customFormat="1" ht="78" hidden="1" customHeight="1" x14ac:dyDescent="0.2">
      <c r="A294" s="1098">
        <v>314</v>
      </c>
      <c r="B294" s="990" t="s">
        <v>266</v>
      </c>
      <c r="C294" s="792">
        <v>1</v>
      </c>
      <c r="D294" s="702" t="s">
        <v>1412</v>
      </c>
      <c r="E294" s="1000" t="s">
        <v>1910</v>
      </c>
      <c r="F294" s="792">
        <v>7</v>
      </c>
      <c r="G294" s="792" t="s">
        <v>1395</v>
      </c>
      <c r="H294" s="992" t="s">
        <v>1833</v>
      </c>
      <c r="I294" s="1183">
        <f>1127000000+(2130000000)</f>
        <v>3257000000</v>
      </c>
      <c r="J294" s="1094"/>
      <c r="K294" s="1086"/>
      <c r="L294" s="1086"/>
      <c r="M294" s="961">
        <v>25</v>
      </c>
      <c r="N294" s="997" t="s">
        <v>1808</v>
      </c>
      <c r="O294" s="1087"/>
      <c r="P294" s="1087"/>
      <c r="Q294" s="1087"/>
      <c r="R294" s="1087"/>
      <c r="S294" s="1087"/>
      <c r="T294" s="1087"/>
      <c r="U294" s="57">
        <v>22</v>
      </c>
      <c r="V294" s="1262" t="s">
        <v>266</v>
      </c>
      <c r="W294" s="1098">
        <v>2201</v>
      </c>
      <c r="X294" s="819" t="s">
        <v>152</v>
      </c>
      <c r="Y294" s="1250" t="s">
        <v>2303</v>
      </c>
      <c r="Z294" s="702" t="s">
        <v>2302</v>
      </c>
      <c r="AA294" s="792">
        <v>2201071</v>
      </c>
      <c r="AB294" s="1265" t="s">
        <v>702</v>
      </c>
      <c r="AC294" s="1096" t="s">
        <v>694</v>
      </c>
      <c r="AD294" s="702" t="s">
        <v>695</v>
      </c>
      <c r="AE294" s="872">
        <v>91121</v>
      </c>
      <c r="AF294" s="876" t="s">
        <v>1892</v>
      </c>
      <c r="AG294" s="1093"/>
      <c r="AH294" s="873" t="str">
        <f t="shared" si="9"/>
        <v>2.3.1.01.01.001.02..2201071.91121</v>
      </c>
      <c r="AI294" s="1"/>
    </row>
    <row r="295" spans="1:35" s="4" customFormat="1" ht="78" hidden="1" customHeight="1" x14ac:dyDescent="0.2">
      <c r="A295" s="1098">
        <v>314</v>
      </c>
      <c r="B295" s="990" t="s">
        <v>266</v>
      </c>
      <c r="C295" s="792">
        <v>1</v>
      </c>
      <c r="D295" s="702" t="s">
        <v>1412</v>
      </c>
      <c r="E295" s="1000" t="s">
        <v>1911</v>
      </c>
      <c r="F295" s="792">
        <v>7</v>
      </c>
      <c r="G295" s="792" t="s">
        <v>1395</v>
      </c>
      <c r="H295" s="992" t="s">
        <v>1834</v>
      </c>
      <c r="I295" s="1183">
        <v>62000000</v>
      </c>
      <c r="J295" s="1094"/>
      <c r="K295" s="1086"/>
      <c r="L295" s="1086"/>
      <c r="M295" s="961">
        <v>25</v>
      </c>
      <c r="N295" s="997" t="s">
        <v>1808</v>
      </c>
      <c r="O295" s="1087"/>
      <c r="P295" s="1087"/>
      <c r="Q295" s="1087"/>
      <c r="R295" s="1087"/>
      <c r="S295" s="1087"/>
      <c r="T295" s="1087"/>
      <c r="U295" s="57">
        <v>22</v>
      </c>
      <c r="V295" s="1262" t="s">
        <v>266</v>
      </c>
      <c r="W295" s="1098">
        <v>2201</v>
      </c>
      <c r="X295" s="819" t="s">
        <v>152</v>
      </c>
      <c r="Y295" s="1250" t="s">
        <v>2303</v>
      </c>
      <c r="Z295" s="702" t="s">
        <v>2302</v>
      </c>
      <c r="AA295" s="792">
        <v>2201071</v>
      </c>
      <c r="AB295" s="1265" t="s">
        <v>702</v>
      </c>
      <c r="AC295" s="1096" t="s">
        <v>694</v>
      </c>
      <c r="AD295" s="702" t="s">
        <v>695</v>
      </c>
      <c r="AE295" s="872">
        <v>91121</v>
      </c>
      <c r="AF295" s="876" t="s">
        <v>1892</v>
      </c>
      <c r="AG295" s="1093"/>
      <c r="AH295" s="873" t="str">
        <f t="shared" si="9"/>
        <v>2.3.1.02.01.001.04..2201071.91121</v>
      </c>
      <c r="AI295" s="1"/>
    </row>
    <row r="296" spans="1:35" s="4" customFormat="1" ht="78" hidden="1" customHeight="1" x14ac:dyDescent="0.2">
      <c r="A296" s="1098">
        <v>314</v>
      </c>
      <c r="B296" s="990" t="s">
        <v>266</v>
      </c>
      <c r="C296" s="792">
        <v>1</v>
      </c>
      <c r="D296" s="702" t="s">
        <v>1412</v>
      </c>
      <c r="E296" s="1000" t="s">
        <v>1912</v>
      </c>
      <c r="F296" s="792">
        <v>7</v>
      </c>
      <c r="G296" s="792" t="s">
        <v>1395</v>
      </c>
      <c r="H296" s="992" t="s">
        <v>1835</v>
      </c>
      <c r="I296" s="1183">
        <f>58000000+4000000</f>
        <v>62000000</v>
      </c>
      <c r="J296" s="1094"/>
      <c r="K296" s="1086"/>
      <c r="L296" s="1086"/>
      <c r="M296" s="961">
        <v>25</v>
      </c>
      <c r="N296" s="997" t="s">
        <v>1808</v>
      </c>
      <c r="O296" s="1087"/>
      <c r="P296" s="1087"/>
      <c r="Q296" s="1087"/>
      <c r="R296" s="1087"/>
      <c r="S296" s="1087"/>
      <c r="T296" s="1087"/>
      <c r="U296" s="57">
        <v>22</v>
      </c>
      <c r="V296" s="1262" t="s">
        <v>266</v>
      </c>
      <c r="W296" s="1098">
        <v>2201</v>
      </c>
      <c r="X296" s="819" t="s">
        <v>152</v>
      </c>
      <c r="Y296" s="1250" t="s">
        <v>2303</v>
      </c>
      <c r="Z296" s="702" t="s">
        <v>2302</v>
      </c>
      <c r="AA296" s="792">
        <v>2201071</v>
      </c>
      <c r="AB296" s="1265" t="s">
        <v>702</v>
      </c>
      <c r="AC296" s="1096" t="s">
        <v>694</v>
      </c>
      <c r="AD296" s="702" t="s">
        <v>695</v>
      </c>
      <c r="AE296" s="872">
        <v>91121</v>
      </c>
      <c r="AF296" s="876" t="s">
        <v>1892</v>
      </c>
      <c r="AG296" s="1093"/>
      <c r="AH296" s="873" t="str">
        <f t="shared" si="9"/>
        <v>2.3.1.02.01.001.05..2201071.91121</v>
      </c>
      <c r="AI296" s="1"/>
    </row>
    <row r="297" spans="1:35" s="4" customFormat="1" ht="78" hidden="1" customHeight="1" x14ac:dyDescent="0.2">
      <c r="A297" s="1098">
        <v>314</v>
      </c>
      <c r="B297" s="990" t="s">
        <v>266</v>
      </c>
      <c r="C297" s="792">
        <v>1</v>
      </c>
      <c r="D297" s="702" t="s">
        <v>1412</v>
      </c>
      <c r="E297" s="1000" t="s">
        <v>1913</v>
      </c>
      <c r="F297" s="792">
        <v>7</v>
      </c>
      <c r="G297" s="792" t="s">
        <v>1395</v>
      </c>
      <c r="H297" s="992" t="s">
        <v>1836</v>
      </c>
      <c r="I297" s="1183">
        <f>49000000+246000000</f>
        <v>295000000</v>
      </c>
      <c r="J297" s="1094"/>
      <c r="K297" s="1086"/>
      <c r="L297" s="1086"/>
      <c r="M297" s="961">
        <v>25</v>
      </c>
      <c r="N297" s="997" t="s">
        <v>1808</v>
      </c>
      <c r="O297" s="1087"/>
      <c r="P297" s="1087"/>
      <c r="Q297" s="1087"/>
      <c r="R297" s="1087"/>
      <c r="S297" s="1087"/>
      <c r="T297" s="1087"/>
      <c r="U297" s="57">
        <v>22</v>
      </c>
      <c r="V297" s="1262" t="s">
        <v>266</v>
      </c>
      <c r="W297" s="1098">
        <v>2201</v>
      </c>
      <c r="X297" s="819" t="s">
        <v>152</v>
      </c>
      <c r="Y297" s="1250" t="s">
        <v>2303</v>
      </c>
      <c r="Z297" s="702" t="s">
        <v>2302</v>
      </c>
      <c r="AA297" s="792">
        <v>2201071</v>
      </c>
      <c r="AB297" s="1265" t="s">
        <v>702</v>
      </c>
      <c r="AC297" s="1096" t="s">
        <v>694</v>
      </c>
      <c r="AD297" s="702" t="s">
        <v>695</v>
      </c>
      <c r="AE297" s="872">
        <v>91121</v>
      </c>
      <c r="AF297" s="876" t="s">
        <v>1892</v>
      </c>
      <c r="AG297" s="1093"/>
      <c r="AH297" s="873" t="str">
        <f t="shared" si="9"/>
        <v>2.3.1.02.01.001.07..2201071.91121</v>
      </c>
      <c r="AI297" s="1"/>
    </row>
    <row r="298" spans="1:35" s="4" customFormat="1" ht="78" hidden="1" customHeight="1" x14ac:dyDescent="0.2">
      <c r="A298" s="1098">
        <v>314</v>
      </c>
      <c r="B298" s="990" t="s">
        <v>266</v>
      </c>
      <c r="C298" s="792">
        <v>1</v>
      </c>
      <c r="D298" s="702" t="s">
        <v>1412</v>
      </c>
      <c r="E298" s="1000" t="s">
        <v>1914</v>
      </c>
      <c r="F298" s="792">
        <v>6</v>
      </c>
      <c r="G298" s="792" t="s">
        <v>1395</v>
      </c>
      <c r="H298" s="992" t="s">
        <v>1837</v>
      </c>
      <c r="I298" s="1183">
        <v>80000000</v>
      </c>
      <c r="J298" s="1094"/>
      <c r="K298" s="1086"/>
      <c r="L298" s="1086"/>
      <c r="M298" s="994" t="s">
        <v>1838</v>
      </c>
      <c r="N298" s="997" t="s">
        <v>1839</v>
      </c>
      <c r="O298" s="1087"/>
      <c r="P298" s="1087"/>
      <c r="Q298" s="1087"/>
      <c r="R298" s="1087"/>
      <c r="S298" s="1087"/>
      <c r="T298" s="1087"/>
      <c r="U298" s="57">
        <v>22</v>
      </c>
      <c r="V298" s="1262" t="s">
        <v>266</v>
      </c>
      <c r="W298" s="1098">
        <v>2201</v>
      </c>
      <c r="X298" s="819" t="s">
        <v>152</v>
      </c>
      <c r="Y298" s="1250" t="s">
        <v>2303</v>
      </c>
      <c r="Z298" s="702" t="s">
        <v>2302</v>
      </c>
      <c r="AA298" s="792">
        <v>2201071</v>
      </c>
      <c r="AB298" s="1265" t="s">
        <v>702</v>
      </c>
      <c r="AC298" s="1096" t="s">
        <v>694</v>
      </c>
      <c r="AD298" s="702" t="s">
        <v>695</v>
      </c>
      <c r="AE298" s="872">
        <v>91121</v>
      </c>
      <c r="AF298" s="876" t="s">
        <v>1892</v>
      </c>
      <c r="AG298" s="1093"/>
      <c r="AH298" s="873" t="str">
        <f t="shared" si="9"/>
        <v>2.3.3.13.01.001..2201071.91121</v>
      </c>
      <c r="AI298" s="1"/>
    </row>
    <row r="299" spans="1:35" s="4" customFormat="1" ht="78" hidden="1" customHeight="1" x14ac:dyDescent="0.2">
      <c r="A299" s="1098">
        <v>314</v>
      </c>
      <c r="B299" s="990" t="s">
        <v>266</v>
      </c>
      <c r="C299" s="792">
        <v>1</v>
      </c>
      <c r="D299" s="702" t="s">
        <v>1412</v>
      </c>
      <c r="E299" s="1000" t="s">
        <v>1840</v>
      </c>
      <c r="F299" s="792">
        <v>10</v>
      </c>
      <c r="G299" s="792" t="s">
        <v>1395</v>
      </c>
      <c r="H299" s="992" t="s">
        <v>1841</v>
      </c>
      <c r="I299" s="1183">
        <v>664449.19616694376</v>
      </c>
      <c r="J299" s="1086"/>
      <c r="K299" s="1086"/>
      <c r="L299" s="1086"/>
      <c r="M299" s="961">
        <v>20</v>
      </c>
      <c r="N299" s="997" t="s">
        <v>1538</v>
      </c>
      <c r="O299" s="1087"/>
      <c r="P299" s="1087"/>
      <c r="Q299" s="1087"/>
      <c r="R299" s="1087"/>
      <c r="S299" s="1087"/>
      <c r="T299" s="1087"/>
      <c r="U299" s="57">
        <v>22</v>
      </c>
      <c r="V299" s="1262" t="s">
        <v>266</v>
      </c>
      <c r="W299" s="1098">
        <v>2201</v>
      </c>
      <c r="X299" s="819" t="s">
        <v>152</v>
      </c>
      <c r="Y299" s="1250" t="s">
        <v>2296</v>
      </c>
      <c r="Z299" s="702" t="s">
        <v>2304</v>
      </c>
      <c r="AA299" s="792">
        <v>2201050</v>
      </c>
      <c r="AB299" s="842" t="s">
        <v>704</v>
      </c>
      <c r="AC299" s="1096" t="s">
        <v>706</v>
      </c>
      <c r="AD299" s="842" t="s">
        <v>707</v>
      </c>
      <c r="AE299" s="872">
        <v>92102</v>
      </c>
      <c r="AF299" s="873" t="s">
        <v>1804</v>
      </c>
      <c r="AG299" s="1090"/>
      <c r="AH299" s="873" t="str">
        <f t="shared" ref="AH299:AH333" si="10">CONCATENATE(E299,".",AA299,".",AE299)</f>
        <v>2.3.2.01.01.005.02.03.01.02.2201050.92102</v>
      </c>
      <c r="AI299" s="1"/>
    </row>
    <row r="300" spans="1:35" s="4" customFormat="1" ht="78" hidden="1" customHeight="1" x14ac:dyDescent="0.2">
      <c r="A300" s="1098">
        <v>314</v>
      </c>
      <c r="B300" s="990" t="s">
        <v>266</v>
      </c>
      <c r="C300" s="792">
        <v>1</v>
      </c>
      <c r="D300" s="702" t="s">
        <v>1412</v>
      </c>
      <c r="E300" s="1000" t="s">
        <v>1840</v>
      </c>
      <c r="F300" s="792">
        <v>10</v>
      </c>
      <c r="G300" s="792" t="s">
        <v>1395</v>
      </c>
      <c r="H300" s="992" t="s">
        <v>1841</v>
      </c>
      <c r="I300" s="1183">
        <v>4126079.0369842402</v>
      </c>
      <c r="J300" s="1086"/>
      <c r="K300" s="1086"/>
      <c r="L300" s="1086"/>
      <c r="M300" s="961">
        <v>20</v>
      </c>
      <c r="N300" s="997" t="s">
        <v>1538</v>
      </c>
      <c r="O300" s="1087"/>
      <c r="P300" s="1087"/>
      <c r="Q300" s="1087"/>
      <c r="R300" s="1087"/>
      <c r="S300" s="1087"/>
      <c r="T300" s="1087"/>
      <c r="U300" s="57">
        <v>22</v>
      </c>
      <c r="V300" s="1262" t="s">
        <v>266</v>
      </c>
      <c r="W300" s="1098">
        <v>2201</v>
      </c>
      <c r="X300" s="819" t="s">
        <v>152</v>
      </c>
      <c r="Y300" s="1250" t="s">
        <v>2296</v>
      </c>
      <c r="Z300" s="702" t="s">
        <v>2304</v>
      </c>
      <c r="AA300" s="792">
        <v>2201050</v>
      </c>
      <c r="AB300" s="842" t="s">
        <v>704</v>
      </c>
      <c r="AC300" s="1096" t="s">
        <v>706</v>
      </c>
      <c r="AD300" s="842" t="s">
        <v>707</v>
      </c>
      <c r="AE300" s="872">
        <v>92200</v>
      </c>
      <c r="AF300" s="873" t="s">
        <v>1805</v>
      </c>
      <c r="AG300" s="1090"/>
      <c r="AH300" s="873" t="str">
        <f t="shared" si="10"/>
        <v>2.3.2.01.01.005.02.03.01.02.2201050.92200</v>
      </c>
      <c r="AI300" s="1"/>
    </row>
    <row r="301" spans="1:35" s="4" customFormat="1" ht="78" hidden="1" customHeight="1" x14ac:dyDescent="0.2">
      <c r="A301" s="1098">
        <v>314</v>
      </c>
      <c r="B301" s="990" t="s">
        <v>266</v>
      </c>
      <c r="C301" s="792">
        <v>1</v>
      </c>
      <c r="D301" s="702" t="s">
        <v>1412</v>
      </c>
      <c r="E301" s="1000" t="s">
        <v>1840</v>
      </c>
      <c r="F301" s="792">
        <v>10</v>
      </c>
      <c r="G301" s="792" t="s">
        <v>1395</v>
      </c>
      <c r="H301" s="992" t="s">
        <v>1841</v>
      </c>
      <c r="I301" s="1183">
        <v>3750692.9595311633</v>
      </c>
      <c r="J301" s="1086"/>
      <c r="K301" s="1086"/>
      <c r="L301" s="1086"/>
      <c r="M301" s="961">
        <v>20</v>
      </c>
      <c r="N301" s="997" t="s">
        <v>1538</v>
      </c>
      <c r="O301" s="1087"/>
      <c r="P301" s="1087"/>
      <c r="Q301" s="1087"/>
      <c r="R301" s="1087"/>
      <c r="S301" s="1087"/>
      <c r="T301" s="1087"/>
      <c r="U301" s="57">
        <v>22</v>
      </c>
      <c r="V301" s="1262" t="s">
        <v>266</v>
      </c>
      <c r="W301" s="1098">
        <v>2201</v>
      </c>
      <c r="X301" s="819" t="s">
        <v>152</v>
      </c>
      <c r="Y301" s="1250" t="s">
        <v>2296</v>
      </c>
      <c r="Z301" s="702" t="s">
        <v>2304</v>
      </c>
      <c r="AA301" s="792">
        <v>2201050</v>
      </c>
      <c r="AB301" s="842" t="s">
        <v>704</v>
      </c>
      <c r="AC301" s="1096" t="s">
        <v>706</v>
      </c>
      <c r="AD301" s="842" t="s">
        <v>707</v>
      </c>
      <c r="AE301" s="872">
        <v>92310</v>
      </c>
      <c r="AF301" s="873" t="s">
        <v>1806</v>
      </c>
      <c r="AG301" s="1090"/>
      <c r="AH301" s="873" t="str">
        <f t="shared" si="10"/>
        <v>2.3.2.01.01.005.02.03.01.02.2201050.92310</v>
      </c>
      <c r="AI301" s="1"/>
    </row>
    <row r="302" spans="1:35" s="4" customFormat="1" ht="78" hidden="1" customHeight="1" x14ac:dyDescent="0.2">
      <c r="A302" s="1098">
        <v>314</v>
      </c>
      <c r="B302" s="990" t="s">
        <v>266</v>
      </c>
      <c r="C302" s="792">
        <v>1</v>
      </c>
      <c r="D302" s="702" t="s">
        <v>1412</v>
      </c>
      <c r="E302" s="1000" t="s">
        <v>1840</v>
      </c>
      <c r="F302" s="792">
        <v>10</v>
      </c>
      <c r="G302" s="792" t="s">
        <v>1395</v>
      </c>
      <c r="H302" s="992" t="s">
        <v>1841</v>
      </c>
      <c r="I302" s="1183">
        <v>1458778.8073176527</v>
      </c>
      <c r="J302" s="1086"/>
      <c r="K302" s="1086"/>
      <c r="L302" s="1086"/>
      <c r="M302" s="961">
        <v>20</v>
      </c>
      <c r="N302" s="997" t="s">
        <v>1538</v>
      </c>
      <c r="O302" s="1087"/>
      <c r="P302" s="1087"/>
      <c r="Q302" s="1087"/>
      <c r="R302" s="1087"/>
      <c r="S302" s="1087"/>
      <c r="T302" s="1087"/>
      <c r="U302" s="57">
        <v>22</v>
      </c>
      <c r="V302" s="1262" t="s">
        <v>266</v>
      </c>
      <c r="W302" s="1098">
        <v>2201</v>
      </c>
      <c r="X302" s="819" t="s">
        <v>152</v>
      </c>
      <c r="Y302" s="1250" t="s">
        <v>2296</v>
      </c>
      <c r="Z302" s="702" t="s">
        <v>2304</v>
      </c>
      <c r="AA302" s="792">
        <v>2201050</v>
      </c>
      <c r="AB302" s="842" t="s">
        <v>704</v>
      </c>
      <c r="AC302" s="1096" t="s">
        <v>706</v>
      </c>
      <c r="AD302" s="842" t="s">
        <v>707</v>
      </c>
      <c r="AE302" s="872">
        <v>92330</v>
      </c>
      <c r="AF302" s="873" t="s">
        <v>1807</v>
      </c>
      <c r="AG302" s="1090"/>
      <c r="AH302" s="873" t="str">
        <f t="shared" si="10"/>
        <v>2.3.2.01.01.005.02.03.01.02.2201050.92330</v>
      </c>
      <c r="AI302" s="1"/>
    </row>
    <row r="303" spans="1:35" s="4" customFormat="1" ht="78" hidden="1" customHeight="1" x14ac:dyDescent="0.2">
      <c r="A303" s="1098">
        <v>314</v>
      </c>
      <c r="B303" s="990" t="s">
        <v>266</v>
      </c>
      <c r="C303" s="792">
        <v>1</v>
      </c>
      <c r="D303" s="702" t="s">
        <v>1412</v>
      </c>
      <c r="E303" s="1000" t="s">
        <v>1540</v>
      </c>
      <c r="F303" s="792">
        <v>6</v>
      </c>
      <c r="G303" s="792" t="s">
        <v>1395</v>
      </c>
      <c r="H303" s="992" t="s">
        <v>1537</v>
      </c>
      <c r="I303" s="1183">
        <v>49767244.792904094</v>
      </c>
      <c r="J303" s="1086"/>
      <c r="K303" s="1086"/>
      <c r="L303" s="1086"/>
      <c r="M303" s="961">
        <v>25</v>
      </c>
      <c r="N303" s="997" t="s">
        <v>1808</v>
      </c>
      <c r="O303" s="1087"/>
      <c r="P303" s="1087"/>
      <c r="Q303" s="1087"/>
      <c r="R303" s="1087"/>
      <c r="S303" s="1087"/>
      <c r="T303" s="1087"/>
      <c r="U303" s="57">
        <v>22</v>
      </c>
      <c r="V303" s="1262" t="s">
        <v>266</v>
      </c>
      <c r="W303" s="1098">
        <v>2201</v>
      </c>
      <c r="X303" s="819" t="s">
        <v>152</v>
      </c>
      <c r="Y303" s="1250" t="s">
        <v>2296</v>
      </c>
      <c r="Z303" s="702" t="s">
        <v>2304</v>
      </c>
      <c r="AA303" s="792">
        <v>2201050</v>
      </c>
      <c r="AB303" s="1096" t="s">
        <v>704</v>
      </c>
      <c r="AC303" s="1096" t="s">
        <v>706</v>
      </c>
      <c r="AD303" s="842" t="s">
        <v>707</v>
      </c>
      <c r="AE303" s="872">
        <v>92102</v>
      </c>
      <c r="AF303" s="873" t="s">
        <v>1804</v>
      </c>
      <c r="AG303" s="1090"/>
      <c r="AH303" s="873" t="str">
        <f t="shared" si="10"/>
        <v>2.3.2.02.02.009..2201050.92102</v>
      </c>
      <c r="AI303" s="1"/>
    </row>
    <row r="304" spans="1:35" s="4" customFormat="1" ht="78" hidden="1" customHeight="1" x14ac:dyDescent="0.2">
      <c r="A304" s="1098">
        <v>314</v>
      </c>
      <c r="B304" s="990" t="s">
        <v>266</v>
      </c>
      <c r="C304" s="792">
        <v>1</v>
      </c>
      <c r="D304" s="702" t="s">
        <v>1412</v>
      </c>
      <c r="E304" s="1000" t="s">
        <v>1540</v>
      </c>
      <c r="F304" s="792">
        <v>6</v>
      </c>
      <c r="G304" s="792" t="s">
        <v>1395</v>
      </c>
      <c r="H304" s="992" t="s">
        <v>1537</v>
      </c>
      <c r="I304" s="1183">
        <v>309043319.87011963</v>
      </c>
      <c r="J304" s="1086"/>
      <c r="K304" s="1086"/>
      <c r="L304" s="1086"/>
      <c r="M304" s="961">
        <v>25</v>
      </c>
      <c r="N304" s="997" t="s">
        <v>1808</v>
      </c>
      <c r="O304" s="1087"/>
      <c r="P304" s="1087"/>
      <c r="Q304" s="1087"/>
      <c r="R304" s="1087"/>
      <c r="S304" s="1087"/>
      <c r="T304" s="1087"/>
      <c r="U304" s="57">
        <v>22</v>
      </c>
      <c r="V304" s="1262" t="s">
        <v>266</v>
      </c>
      <c r="W304" s="1098">
        <v>2201</v>
      </c>
      <c r="X304" s="819" t="s">
        <v>152</v>
      </c>
      <c r="Y304" s="1250" t="s">
        <v>2296</v>
      </c>
      <c r="Z304" s="702" t="s">
        <v>2304</v>
      </c>
      <c r="AA304" s="792">
        <v>2201050</v>
      </c>
      <c r="AB304" s="1096" t="s">
        <v>704</v>
      </c>
      <c r="AC304" s="1096" t="s">
        <v>706</v>
      </c>
      <c r="AD304" s="842" t="s">
        <v>707</v>
      </c>
      <c r="AE304" s="872">
        <v>92200</v>
      </c>
      <c r="AF304" s="873" t="s">
        <v>1805</v>
      </c>
      <c r="AG304" s="1090"/>
      <c r="AH304" s="873" t="str">
        <f t="shared" si="10"/>
        <v>2.3.2.02.02.009..2201050.92200</v>
      </c>
      <c r="AI304" s="1"/>
    </row>
    <row r="305" spans="1:35" s="4" customFormat="1" ht="78" hidden="1" customHeight="1" x14ac:dyDescent="0.2">
      <c r="A305" s="1098">
        <v>314</v>
      </c>
      <c r="B305" s="990" t="s">
        <v>266</v>
      </c>
      <c r="C305" s="792">
        <v>1</v>
      </c>
      <c r="D305" s="702" t="s">
        <v>1412</v>
      </c>
      <c r="E305" s="1000" t="s">
        <v>1540</v>
      </c>
      <c r="F305" s="792">
        <v>6</v>
      </c>
      <c r="G305" s="792" t="s">
        <v>1395</v>
      </c>
      <c r="H305" s="992" t="s">
        <v>1537</v>
      </c>
      <c r="I305" s="1183">
        <v>280926902.66888416</v>
      </c>
      <c r="J305" s="1086"/>
      <c r="K305" s="1086"/>
      <c r="L305" s="1086"/>
      <c r="M305" s="961">
        <v>25</v>
      </c>
      <c r="N305" s="997" t="s">
        <v>1808</v>
      </c>
      <c r="O305" s="1087"/>
      <c r="P305" s="1087"/>
      <c r="Q305" s="1087"/>
      <c r="R305" s="1087"/>
      <c r="S305" s="1087"/>
      <c r="T305" s="1087"/>
      <c r="U305" s="57">
        <v>22</v>
      </c>
      <c r="V305" s="1262" t="s">
        <v>266</v>
      </c>
      <c r="W305" s="1098">
        <v>2201</v>
      </c>
      <c r="X305" s="819" t="s">
        <v>152</v>
      </c>
      <c r="Y305" s="1250" t="s">
        <v>2296</v>
      </c>
      <c r="Z305" s="702" t="s">
        <v>2304</v>
      </c>
      <c r="AA305" s="792">
        <v>2201050</v>
      </c>
      <c r="AB305" s="1096" t="s">
        <v>704</v>
      </c>
      <c r="AC305" s="1096" t="s">
        <v>706</v>
      </c>
      <c r="AD305" s="842" t="s">
        <v>707</v>
      </c>
      <c r="AE305" s="872">
        <v>92310</v>
      </c>
      <c r="AF305" s="873" t="s">
        <v>1806</v>
      </c>
      <c r="AG305" s="1090"/>
      <c r="AH305" s="873" t="str">
        <f t="shared" si="10"/>
        <v>2.3.2.02.02.009..2201050.92310</v>
      </c>
      <c r="AI305" s="1"/>
    </row>
    <row r="306" spans="1:35" s="4" customFormat="1" ht="78" hidden="1" customHeight="1" x14ac:dyDescent="0.2">
      <c r="A306" s="1098">
        <v>314</v>
      </c>
      <c r="B306" s="990" t="s">
        <v>266</v>
      </c>
      <c r="C306" s="792">
        <v>1</v>
      </c>
      <c r="D306" s="702" t="s">
        <v>1412</v>
      </c>
      <c r="E306" s="1000" t="s">
        <v>1540</v>
      </c>
      <c r="F306" s="792">
        <v>6</v>
      </c>
      <c r="G306" s="792" t="s">
        <v>1395</v>
      </c>
      <c r="H306" s="992" t="s">
        <v>1537</v>
      </c>
      <c r="I306" s="1183">
        <v>109262532.66809219</v>
      </c>
      <c r="J306" s="1086"/>
      <c r="K306" s="1086"/>
      <c r="L306" s="1086"/>
      <c r="M306" s="961">
        <v>25</v>
      </c>
      <c r="N306" s="997" t="s">
        <v>1808</v>
      </c>
      <c r="O306" s="1087"/>
      <c r="P306" s="1087"/>
      <c r="Q306" s="1087"/>
      <c r="R306" s="1087"/>
      <c r="S306" s="1087"/>
      <c r="T306" s="1087"/>
      <c r="U306" s="57">
        <v>22</v>
      </c>
      <c r="V306" s="1262" t="s">
        <v>266</v>
      </c>
      <c r="W306" s="1098">
        <v>2201</v>
      </c>
      <c r="X306" s="819" t="s">
        <v>152</v>
      </c>
      <c r="Y306" s="1250" t="s">
        <v>2296</v>
      </c>
      <c r="Z306" s="702" t="s">
        <v>2304</v>
      </c>
      <c r="AA306" s="792">
        <v>2201050</v>
      </c>
      <c r="AB306" s="1096" t="s">
        <v>704</v>
      </c>
      <c r="AC306" s="1096" t="s">
        <v>706</v>
      </c>
      <c r="AD306" s="842" t="s">
        <v>707</v>
      </c>
      <c r="AE306" s="872">
        <v>92330</v>
      </c>
      <c r="AF306" s="873" t="s">
        <v>1807</v>
      </c>
      <c r="AG306" s="1090"/>
      <c r="AH306" s="873" t="str">
        <f t="shared" si="10"/>
        <v>2.3.2.02.02.009..2201050.92330</v>
      </c>
      <c r="AI306" s="1"/>
    </row>
    <row r="307" spans="1:35" s="4" customFormat="1" ht="78" hidden="1" customHeight="1" x14ac:dyDescent="0.2">
      <c r="A307" s="1098">
        <v>314</v>
      </c>
      <c r="B307" s="990" t="s">
        <v>266</v>
      </c>
      <c r="C307" s="792">
        <v>1</v>
      </c>
      <c r="D307" s="702" t="s">
        <v>1412</v>
      </c>
      <c r="E307" s="1000" t="s">
        <v>1540</v>
      </c>
      <c r="F307" s="792">
        <v>6</v>
      </c>
      <c r="G307" s="792" t="s">
        <v>1395</v>
      </c>
      <c r="H307" s="992" t="s">
        <v>1537</v>
      </c>
      <c r="I307" s="1183">
        <v>664449.19616694376</v>
      </c>
      <c r="J307" s="1086"/>
      <c r="K307" s="1086"/>
      <c r="L307" s="1086"/>
      <c r="M307" s="961">
        <v>20</v>
      </c>
      <c r="N307" s="997" t="s">
        <v>1585</v>
      </c>
      <c r="O307" s="1087"/>
      <c r="P307" s="1087"/>
      <c r="Q307" s="1087"/>
      <c r="R307" s="1087"/>
      <c r="S307" s="1087"/>
      <c r="T307" s="1087"/>
      <c r="U307" s="57">
        <v>22</v>
      </c>
      <c r="V307" s="1262" t="s">
        <v>266</v>
      </c>
      <c r="W307" s="1098">
        <v>2201</v>
      </c>
      <c r="X307" s="819" t="s">
        <v>152</v>
      </c>
      <c r="Y307" s="1250" t="s">
        <v>2296</v>
      </c>
      <c r="Z307" s="702" t="s">
        <v>2304</v>
      </c>
      <c r="AA307" s="792">
        <v>2201001</v>
      </c>
      <c r="AB307" s="842" t="s">
        <v>711</v>
      </c>
      <c r="AC307" s="1096" t="s">
        <v>706</v>
      </c>
      <c r="AD307" s="842" t="s">
        <v>707</v>
      </c>
      <c r="AE307" s="872">
        <v>92102</v>
      </c>
      <c r="AF307" s="873" t="s">
        <v>1804</v>
      </c>
      <c r="AG307" s="1090"/>
      <c r="AH307" s="873" t="str">
        <f t="shared" si="10"/>
        <v>2.3.2.02.02.009..2201001.92102</v>
      </c>
      <c r="AI307" s="1"/>
    </row>
    <row r="308" spans="1:35" s="4" customFormat="1" ht="78" hidden="1" customHeight="1" x14ac:dyDescent="0.2">
      <c r="A308" s="1098">
        <v>314</v>
      </c>
      <c r="B308" s="990" t="s">
        <v>266</v>
      </c>
      <c r="C308" s="792">
        <v>1</v>
      </c>
      <c r="D308" s="702" t="s">
        <v>1412</v>
      </c>
      <c r="E308" s="1000" t="s">
        <v>1540</v>
      </c>
      <c r="F308" s="792">
        <v>6</v>
      </c>
      <c r="G308" s="792" t="s">
        <v>1395</v>
      </c>
      <c r="H308" s="992" t="s">
        <v>1537</v>
      </c>
      <c r="I308" s="1183">
        <v>4126079.0369842402</v>
      </c>
      <c r="J308" s="1086"/>
      <c r="K308" s="1086"/>
      <c r="L308" s="1086"/>
      <c r="M308" s="961">
        <v>20</v>
      </c>
      <c r="N308" s="997" t="s">
        <v>1585</v>
      </c>
      <c r="O308" s="1087"/>
      <c r="P308" s="1087"/>
      <c r="Q308" s="1087"/>
      <c r="R308" s="1087"/>
      <c r="S308" s="1087"/>
      <c r="T308" s="1087"/>
      <c r="U308" s="57">
        <v>22</v>
      </c>
      <c r="V308" s="1262" t="s">
        <v>266</v>
      </c>
      <c r="W308" s="1098">
        <v>2201</v>
      </c>
      <c r="X308" s="819" t="s">
        <v>152</v>
      </c>
      <c r="Y308" s="1250" t="s">
        <v>2296</v>
      </c>
      <c r="Z308" s="702" t="s">
        <v>2304</v>
      </c>
      <c r="AA308" s="792">
        <v>2201001</v>
      </c>
      <c r="AB308" s="842" t="s">
        <v>711</v>
      </c>
      <c r="AC308" s="1096" t="s">
        <v>706</v>
      </c>
      <c r="AD308" s="842" t="s">
        <v>707</v>
      </c>
      <c r="AE308" s="872">
        <v>92200</v>
      </c>
      <c r="AF308" s="873" t="s">
        <v>1805</v>
      </c>
      <c r="AG308" s="1090"/>
      <c r="AH308" s="873" t="str">
        <f t="shared" si="10"/>
        <v>2.3.2.02.02.009..2201001.92200</v>
      </c>
      <c r="AI308" s="1"/>
    </row>
    <row r="309" spans="1:35" s="4" customFormat="1" ht="78" hidden="1" customHeight="1" x14ac:dyDescent="0.2">
      <c r="A309" s="1098">
        <v>314</v>
      </c>
      <c r="B309" s="990" t="s">
        <v>266</v>
      </c>
      <c r="C309" s="792">
        <v>1</v>
      </c>
      <c r="D309" s="702" t="s">
        <v>1412</v>
      </c>
      <c r="E309" s="1000" t="s">
        <v>1540</v>
      </c>
      <c r="F309" s="792">
        <v>6</v>
      </c>
      <c r="G309" s="792" t="s">
        <v>1395</v>
      </c>
      <c r="H309" s="992" t="s">
        <v>1537</v>
      </c>
      <c r="I309" s="1183">
        <v>3750692.9595311633</v>
      </c>
      <c r="J309" s="1086"/>
      <c r="K309" s="1086"/>
      <c r="L309" s="1086"/>
      <c r="M309" s="961">
        <v>20</v>
      </c>
      <c r="N309" s="997" t="s">
        <v>1585</v>
      </c>
      <c r="O309" s="1087"/>
      <c r="P309" s="1087"/>
      <c r="Q309" s="1087"/>
      <c r="R309" s="1087"/>
      <c r="S309" s="1087"/>
      <c r="T309" s="1087"/>
      <c r="U309" s="57">
        <v>22</v>
      </c>
      <c r="V309" s="1262" t="s">
        <v>266</v>
      </c>
      <c r="W309" s="1098">
        <v>2201</v>
      </c>
      <c r="X309" s="819" t="s">
        <v>152</v>
      </c>
      <c r="Y309" s="1250" t="s">
        <v>2296</v>
      </c>
      <c r="Z309" s="702" t="s">
        <v>2304</v>
      </c>
      <c r="AA309" s="792">
        <v>2201001</v>
      </c>
      <c r="AB309" s="842" t="s">
        <v>711</v>
      </c>
      <c r="AC309" s="1096" t="s">
        <v>706</v>
      </c>
      <c r="AD309" s="842" t="s">
        <v>707</v>
      </c>
      <c r="AE309" s="872">
        <v>92310</v>
      </c>
      <c r="AF309" s="873" t="s">
        <v>1806</v>
      </c>
      <c r="AG309" s="1090"/>
      <c r="AH309" s="873" t="str">
        <f t="shared" si="10"/>
        <v>2.3.2.02.02.009..2201001.92310</v>
      </c>
      <c r="AI309" s="1"/>
    </row>
    <row r="310" spans="1:35" s="4" customFormat="1" ht="78" hidden="1" customHeight="1" x14ac:dyDescent="0.2">
      <c r="A310" s="1098">
        <v>314</v>
      </c>
      <c r="B310" s="990" t="s">
        <v>266</v>
      </c>
      <c r="C310" s="792">
        <v>1</v>
      </c>
      <c r="D310" s="702" t="s">
        <v>1412</v>
      </c>
      <c r="E310" s="1000" t="s">
        <v>1540</v>
      </c>
      <c r="F310" s="792">
        <v>6</v>
      </c>
      <c r="G310" s="792" t="s">
        <v>1395</v>
      </c>
      <c r="H310" s="992" t="s">
        <v>1537</v>
      </c>
      <c r="I310" s="1183">
        <v>1458778.8073176527</v>
      </c>
      <c r="J310" s="1086"/>
      <c r="K310" s="1086"/>
      <c r="L310" s="1086"/>
      <c r="M310" s="961">
        <v>20</v>
      </c>
      <c r="N310" s="997" t="s">
        <v>1585</v>
      </c>
      <c r="O310" s="1087"/>
      <c r="P310" s="1087"/>
      <c r="Q310" s="1087"/>
      <c r="R310" s="1087"/>
      <c r="S310" s="1087"/>
      <c r="T310" s="1087"/>
      <c r="U310" s="57">
        <v>22</v>
      </c>
      <c r="V310" s="1262" t="s">
        <v>266</v>
      </c>
      <c r="W310" s="1098">
        <v>2201</v>
      </c>
      <c r="X310" s="819" t="s">
        <v>152</v>
      </c>
      <c r="Y310" s="1250" t="s">
        <v>2296</v>
      </c>
      <c r="Z310" s="702" t="s">
        <v>2304</v>
      </c>
      <c r="AA310" s="792">
        <v>2201001</v>
      </c>
      <c r="AB310" s="842" t="s">
        <v>711</v>
      </c>
      <c r="AC310" s="1096" t="s">
        <v>706</v>
      </c>
      <c r="AD310" s="842" t="s">
        <v>707</v>
      </c>
      <c r="AE310" s="872">
        <v>92330</v>
      </c>
      <c r="AF310" s="873" t="s">
        <v>1807</v>
      </c>
      <c r="AG310" s="1090"/>
      <c r="AH310" s="873" t="str">
        <f t="shared" si="10"/>
        <v>2.3.2.02.02.009..2201001.92330</v>
      </c>
      <c r="AI310" s="1"/>
    </row>
    <row r="311" spans="1:35" s="4" customFormat="1" ht="78" hidden="1" customHeight="1" x14ac:dyDescent="0.2">
      <c r="A311" s="1098">
        <v>314</v>
      </c>
      <c r="B311" s="990" t="s">
        <v>266</v>
      </c>
      <c r="C311" s="792">
        <v>1</v>
      </c>
      <c r="D311" s="702" t="s">
        <v>1412</v>
      </c>
      <c r="E311" s="1000" t="s">
        <v>1540</v>
      </c>
      <c r="F311" s="792">
        <v>6</v>
      </c>
      <c r="G311" s="792" t="s">
        <v>1395</v>
      </c>
      <c r="H311" s="992" t="s">
        <v>1537</v>
      </c>
      <c r="I311" s="1183">
        <v>664449.19616694376</v>
      </c>
      <c r="J311" s="1086"/>
      <c r="K311" s="1086"/>
      <c r="L311" s="1086"/>
      <c r="M311" s="961">
        <v>20</v>
      </c>
      <c r="N311" s="997" t="s">
        <v>1585</v>
      </c>
      <c r="O311" s="1087"/>
      <c r="P311" s="1087"/>
      <c r="Q311" s="1087"/>
      <c r="R311" s="1087"/>
      <c r="S311" s="1087"/>
      <c r="T311" s="1087"/>
      <c r="U311" s="57">
        <v>22</v>
      </c>
      <c r="V311" s="1262" t="s">
        <v>266</v>
      </c>
      <c r="W311" s="1098">
        <v>2201</v>
      </c>
      <c r="X311" s="819" t="s">
        <v>152</v>
      </c>
      <c r="Y311" s="1250" t="s">
        <v>2296</v>
      </c>
      <c r="Z311" s="702" t="s">
        <v>2304</v>
      </c>
      <c r="AA311" s="792">
        <v>2201034</v>
      </c>
      <c r="AB311" s="842" t="s">
        <v>714</v>
      </c>
      <c r="AC311" s="1096" t="s">
        <v>716</v>
      </c>
      <c r="AD311" s="842" t="s">
        <v>717</v>
      </c>
      <c r="AE311" s="872">
        <v>92102</v>
      </c>
      <c r="AF311" s="873" t="s">
        <v>1804</v>
      </c>
      <c r="AG311" s="1090"/>
      <c r="AH311" s="873" t="str">
        <f t="shared" si="10"/>
        <v>2.3.2.02.02.009..2201034.92102</v>
      </c>
      <c r="AI311" s="1"/>
    </row>
    <row r="312" spans="1:35" s="4" customFormat="1" ht="78" hidden="1" customHeight="1" x14ac:dyDescent="0.2">
      <c r="A312" s="1098">
        <v>314</v>
      </c>
      <c r="B312" s="990" t="s">
        <v>266</v>
      </c>
      <c r="C312" s="792">
        <v>1</v>
      </c>
      <c r="D312" s="702" t="s">
        <v>1412</v>
      </c>
      <c r="E312" s="1000" t="s">
        <v>1540</v>
      </c>
      <c r="F312" s="792">
        <v>6</v>
      </c>
      <c r="G312" s="792" t="s">
        <v>1395</v>
      </c>
      <c r="H312" s="992" t="s">
        <v>1537</v>
      </c>
      <c r="I312" s="1183">
        <v>4126079.0369842402</v>
      </c>
      <c r="J312" s="1086"/>
      <c r="K312" s="1086"/>
      <c r="L312" s="1086"/>
      <c r="M312" s="961">
        <v>20</v>
      </c>
      <c r="N312" s="997" t="s">
        <v>1585</v>
      </c>
      <c r="O312" s="1087"/>
      <c r="P312" s="1087"/>
      <c r="Q312" s="1087"/>
      <c r="R312" s="1087"/>
      <c r="S312" s="1087"/>
      <c r="T312" s="1087"/>
      <c r="U312" s="57">
        <v>22</v>
      </c>
      <c r="V312" s="1262" t="s">
        <v>266</v>
      </c>
      <c r="W312" s="1098">
        <v>2201</v>
      </c>
      <c r="X312" s="819" t="s">
        <v>152</v>
      </c>
      <c r="Y312" s="1250" t="s">
        <v>2296</v>
      </c>
      <c r="Z312" s="702" t="s">
        <v>2304</v>
      </c>
      <c r="AA312" s="792">
        <v>2201034</v>
      </c>
      <c r="AB312" s="842" t="s">
        <v>714</v>
      </c>
      <c r="AC312" s="1096" t="s">
        <v>716</v>
      </c>
      <c r="AD312" s="842" t="s">
        <v>717</v>
      </c>
      <c r="AE312" s="872">
        <v>92200</v>
      </c>
      <c r="AF312" s="873" t="s">
        <v>1805</v>
      </c>
      <c r="AG312" s="1090"/>
      <c r="AH312" s="873" t="str">
        <f t="shared" si="10"/>
        <v>2.3.2.02.02.009..2201034.92200</v>
      </c>
      <c r="AI312" s="1"/>
    </row>
    <row r="313" spans="1:35" s="4" customFormat="1" ht="78" hidden="1" customHeight="1" x14ac:dyDescent="0.2">
      <c r="A313" s="1098">
        <v>314</v>
      </c>
      <c r="B313" s="990" t="s">
        <v>266</v>
      </c>
      <c r="C313" s="792">
        <v>1</v>
      </c>
      <c r="D313" s="702" t="s">
        <v>1412</v>
      </c>
      <c r="E313" s="1000" t="s">
        <v>1540</v>
      </c>
      <c r="F313" s="792">
        <v>6</v>
      </c>
      <c r="G313" s="792" t="s">
        <v>1395</v>
      </c>
      <c r="H313" s="992" t="s">
        <v>1537</v>
      </c>
      <c r="I313" s="1183">
        <v>3750692.9595311633</v>
      </c>
      <c r="J313" s="1086"/>
      <c r="K313" s="1086"/>
      <c r="L313" s="1086"/>
      <c r="M313" s="961">
        <v>20</v>
      </c>
      <c r="N313" s="997" t="s">
        <v>1585</v>
      </c>
      <c r="O313" s="1087"/>
      <c r="P313" s="1087"/>
      <c r="Q313" s="1087"/>
      <c r="R313" s="1087"/>
      <c r="S313" s="1087"/>
      <c r="T313" s="1087"/>
      <c r="U313" s="57">
        <v>22</v>
      </c>
      <c r="V313" s="1262" t="s">
        <v>266</v>
      </c>
      <c r="W313" s="1098">
        <v>2201</v>
      </c>
      <c r="X313" s="819" t="s">
        <v>152</v>
      </c>
      <c r="Y313" s="1250" t="s">
        <v>2296</v>
      </c>
      <c r="Z313" s="702" t="s">
        <v>2304</v>
      </c>
      <c r="AA313" s="792">
        <v>2201034</v>
      </c>
      <c r="AB313" s="842" t="s">
        <v>714</v>
      </c>
      <c r="AC313" s="1096" t="s">
        <v>716</v>
      </c>
      <c r="AD313" s="842" t="s">
        <v>717</v>
      </c>
      <c r="AE313" s="872">
        <v>92310</v>
      </c>
      <c r="AF313" s="873" t="s">
        <v>1806</v>
      </c>
      <c r="AG313" s="1090"/>
      <c r="AH313" s="873" t="str">
        <f t="shared" si="10"/>
        <v>2.3.2.02.02.009..2201034.92310</v>
      </c>
      <c r="AI313" s="1"/>
    </row>
    <row r="314" spans="1:35" s="4" customFormat="1" ht="78" hidden="1" customHeight="1" x14ac:dyDescent="0.2">
      <c r="A314" s="1098">
        <v>314</v>
      </c>
      <c r="B314" s="990" t="s">
        <v>266</v>
      </c>
      <c r="C314" s="792">
        <v>1</v>
      </c>
      <c r="D314" s="702" t="s">
        <v>1412</v>
      </c>
      <c r="E314" s="1000" t="s">
        <v>1540</v>
      </c>
      <c r="F314" s="792">
        <v>6</v>
      </c>
      <c r="G314" s="792" t="s">
        <v>1395</v>
      </c>
      <c r="H314" s="992" t="s">
        <v>1537</v>
      </c>
      <c r="I314" s="1183">
        <v>1458778.8073176527</v>
      </c>
      <c r="J314" s="1086"/>
      <c r="K314" s="1086"/>
      <c r="L314" s="1086"/>
      <c r="M314" s="961">
        <v>20</v>
      </c>
      <c r="N314" s="997" t="s">
        <v>1585</v>
      </c>
      <c r="O314" s="1087"/>
      <c r="P314" s="1087"/>
      <c r="Q314" s="1087"/>
      <c r="R314" s="1087"/>
      <c r="S314" s="1087"/>
      <c r="T314" s="1087"/>
      <c r="U314" s="57">
        <v>22</v>
      </c>
      <c r="V314" s="1262" t="s">
        <v>266</v>
      </c>
      <c r="W314" s="1098">
        <v>2201</v>
      </c>
      <c r="X314" s="819" t="s">
        <v>152</v>
      </c>
      <c r="Y314" s="1250" t="s">
        <v>2296</v>
      </c>
      <c r="Z314" s="702" t="s">
        <v>2304</v>
      </c>
      <c r="AA314" s="792">
        <v>2201034</v>
      </c>
      <c r="AB314" s="842" t="s">
        <v>714</v>
      </c>
      <c r="AC314" s="1096" t="s">
        <v>716</v>
      </c>
      <c r="AD314" s="842" t="s">
        <v>717</v>
      </c>
      <c r="AE314" s="872">
        <v>92330</v>
      </c>
      <c r="AF314" s="873" t="s">
        <v>1807</v>
      </c>
      <c r="AG314" s="1090"/>
      <c r="AH314" s="873" t="str">
        <f t="shared" si="10"/>
        <v>2.3.2.02.02.009..2201034.92330</v>
      </c>
      <c r="AI314" s="1"/>
    </row>
    <row r="315" spans="1:35" s="4" customFormat="1" ht="78" hidden="1" customHeight="1" x14ac:dyDescent="0.2">
      <c r="A315" s="1098">
        <v>314</v>
      </c>
      <c r="B315" s="990" t="s">
        <v>266</v>
      </c>
      <c r="C315" s="792">
        <v>1</v>
      </c>
      <c r="D315" s="702" t="s">
        <v>1412</v>
      </c>
      <c r="E315" s="1000" t="s">
        <v>1596</v>
      </c>
      <c r="F315" s="792">
        <v>6</v>
      </c>
      <c r="G315" s="792" t="s">
        <v>1395</v>
      </c>
      <c r="H315" s="992" t="s">
        <v>1599</v>
      </c>
      <c r="I315" s="1183">
        <v>664449.19616694376</v>
      </c>
      <c r="J315" s="1086"/>
      <c r="K315" s="1086"/>
      <c r="L315" s="1086"/>
      <c r="M315" s="961">
        <v>20</v>
      </c>
      <c r="N315" s="997" t="s">
        <v>1585</v>
      </c>
      <c r="O315" s="1087"/>
      <c r="P315" s="1087"/>
      <c r="Q315" s="1087"/>
      <c r="R315" s="1087"/>
      <c r="S315" s="1087"/>
      <c r="T315" s="1087"/>
      <c r="U315" s="57">
        <v>22</v>
      </c>
      <c r="V315" s="1262" t="s">
        <v>266</v>
      </c>
      <c r="W315" s="1098">
        <v>2201</v>
      </c>
      <c r="X315" s="819" t="s">
        <v>152</v>
      </c>
      <c r="Y315" s="1250" t="s">
        <v>2296</v>
      </c>
      <c r="Z315" s="702" t="s">
        <v>2304</v>
      </c>
      <c r="AA315" s="792">
        <v>2201034</v>
      </c>
      <c r="AB315" s="842" t="s">
        <v>719</v>
      </c>
      <c r="AC315" s="1096" t="s">
        <v>716</v>
      </c>
      <c r="AD315" s="842" t="s">
        <v>717</v>
      </c>
      <c r="AE315" s="872">
        <v>92102</v>
      </c>
      <c r="AF315" s="873" t="s">
        <v>1804</v>
      </c>
      <c r="AG315" s="1090"/>
      <c r="AH315" s="873" t="str">
        <f t="shared" si="10"/>
        <v>2.3.2.02.01.003..2201034.92102</v>
      </c>
      <c r="AI315" s="1"/>
    </row>
    <row r="316" spans="1:35" s="4" customFormat="1" ht="78" hidden="1" customHeight="1" x14ac:dyDescent="0.2">
      <c r="A316" s="1098">
        <v>314</v>
      </c>
      <c r="B316" s="990" t="s">
        <v>266</v>
      </c>
      <c r="C316" s="792">
        <v>1</v>
      </c>
      <c r="D316" s="702" t="s">
        <v>1412</v>
      </c>
      <c r="E316" s="1000" t="s">
        <v>1596</v>
      </c>
      <c r="F316" s="792">
        <v>6</v>
      </c>
      <c r="G316" s="792" t="s">
        <v>1395</v>
      </c>
      <c r="H316" s="992" t="s">
        <v>1599</v>
      </c>
      <c r="I316" s="1183">
        <v>4126079.0369842402</v>
      </c>
      <c r="J316" s="1086"/>
      <c r="K316" s="1086"/>
      <c r="L316" s="1086"/>
      <c r="M316" s="961">
        <v>20</v>
      </c>
      <c r="N316" s="997" t="s">
        <v>1585</v>
      </c>
      <c r="O316" s="1087"/>
      <c r="P316" s="1087"/>
      <c r="Q316" s="1087"/>
      <c r="R316" s="1087"/>
      <c r="S316" s="1087"/>
      <c r="T316" s="1087"/>
      <c r="U316" s="57">
        <v>22</v>
      </c>
      <c r="V316" s="1262" t="s">
        <v>266</v>
      </c>
      <c r="W316" s="1098">
        <v>2201</v>
      </c>
      <c r="X316" s="819" t="s">
        <v>152</v>
      </c>
      <c r="Y316" s="1250" t="s">
        <v>2296</v>
      </c>
      <c r="Z316" s="702" t="s">
        <v>2304</v>
      </c>
      <c r="AA316" s="792">
        <v>2201034</v>
      </c>
      <c r="AB316" s="842" t="s">
        <v>719</v>
      </c>
      <c r="AC316" s="1096" t="s">
        <v>716</v>
      </c>
      <c r="AD316" s="842" t="s">
        <v>717</v>
      </c>
      <c r="AE316" s="872">
        <v>92200</v>
      </c>
      <c r="AF316" s="873" t="s">
        <v>1805</v>
      </c>
      <c r="AG316" s="1090"/>
      <c r="AH316" s="873" t="str">
        <f t="shared" si="10"/>
        <v>2.3.2.02.01.003..2201034.92200</v>
      </c>
      <c r="AI316" s="1"/>
    </row>
    <row r="317" spans="1:35" s="4" customFormat="1" ht="78" hidden="1" customHeight="1" x14ac:dyDescent="0.2">
      <c r="A317" s="1098">
        <v>314</v>
      </c>
      <c r="B317" s="990" t="s">
        <v>266</v>
      </c>
      <c r="C317" s="792">
        <v>1</v>
      </c>
      <c r="D317" s="702" t="s">
        <v>1412</v>
      </c>
      <c r="E317" s="1000" t="s">
        <v>1596</v>
      </c>
      <c r="F317" s="792">
        <v>6</v>
      </c>
      <c r="G317" s="792" t="s">
        <v>1395</v>
      </c>
      <c r="H317" s="992" t="s">
        <v>1599</v>
      </c>
      <c r="I317" s="1183">
        <v>3750692.9595311633</v>
      </c>
      <c r="J317" s="1086"/>
      <c r="K317" s="1086"/>
      <c r="L317" s="1086"/>
      <c r="M317" s="961">
        <v>20</v>
      </c>
      <c r="N317" s="997" t="s">
        <v>1585</v>
      </c>
      <c r="O317" s="1087"/>
      <c r="P317" s="1087"/>
      <c r="Q317" s="1087"/>
      <c r="R317" s="1087"/>
      <c r="S317" s="1087"/>
      <c r="T317" s="1087"/>
      <c r="U317" s="57">
        <v>22</v>
      </c>
      <c r="V317" s="1262" t="s">
        <v>266</v>
      </c>
      <c r="W317" s="1098">
        <v>2201</v>
      </c>
      <c r="X317" s="819" t="s">
        <v>152</v>
      </c>
      <c r="Y317" s="1250" t="s">
        <v>2296</v>
      </c>
      <c r="Z317" s="702" t="s">
        <v>2304</v>
      </c>
      <c r="AA317" s="792">
        <v>2201034</v>
      </c>
      <c r="AB317" s="842" t="s">
        <v>719</v>
      </c>
      <c r="AC317" s="1096" t="s">
        <v>716</v>
      </c>
      <c r="AD317" s="842" t="s">
        <v>717</v>
      </c>
      <c r="AE317" s="872">
        <v>92310</v>
      </c>
      <c r="AF317" s="873" t="s">
        <v>1806</v>
      </c>
      <c r="AG317" s="1090"/>
      <c r="AH317" s="873" t="str">
        <f t="shared" si="10"/>
        <v>2.3.2.02.01.003..2201034.92310</v>
      </c>
      <c r="AI317" s="1"/>
    </row>
    <row r="318" spans="1:35" s="4" customFormat="1" ht="78" hidden="1" customHeight="1" x14ac:dyDescent="0.2">
      <c r="A318" s="1098">
        <v>314</v>
      </c>
      <c r="B318" s="990" t="s">
        <v>266</v>
      </c>
      <c r="C318" s="792">
        <v>1</v>
      </c>
      <c r="D318" s="702" t="s">
        <v>1412</v>
      </c>
      <c r="E318" s="1000" t="s">
        <v>1596</v>
      </c>
      <c r="F318" s="792">
        <v>6</v>
      </c>
      <c r="G318" s="792" t="s">
        <v>1395</v>
      </c>
      <c r="H318" s="992" t="s">
        <v>1599</v>
      </c>
      <c r="I318" s="1183">
        <v>1458778.8073176527</v>
      </c>
      <c r="J318" s="1086"/>
      <c r="K318" s="1086"/>
      <c r="L318" s="1086"/>
      <c r="M318" s="961">
        <v>20</v>
      </c>
      <c r="N318" s="997" t="s">
        <v>1585</v>
      </c>
      <c r="O318" s="1087"/>
      <c r="P318" s="1087"/>
      <c r="Q318" s="1087"/>
      <c r="R318" s="1087"/>
      <c r="S318" s="1087"/>
      <c r="T318" s="1087"/>
      <c r="U318" s="57">
        <v>22</v>
      </c>
      <c r="V318" s="1262" t="s">
        <v>266</v>
      </c>
      <c r="W318" s="1098">
        <v>2201</v>
      </c>
      <c r="X318" s="819" t="s">
        <v>152</v>
      </c>
      <c r="Y318" s="1250" t="s">
        <v>2296</v>
      </c>
      <c r="Z318" s="702" t="s">
        <v>2304</v>
      </c>
      <c r="AA318" s="792">
        <v>2201034</v>
      </c>
      <c r="AB318" s="842" t="s">
        <v>719</v>
      </c>
      <c r="AC318" s="1096" t="s">
        <v>716</v>
      </c>
      <c r="AD318" s="842" t="s">
        <v>717</v>
      </c>
      <c r="AE318" s="872">
        <v>92330</v>
      </c>
      <c r="AF318" s="873" t="s">
        <v>1807</v>
      </c>
      <c r="AG318" s="1090"/>
      <c r="AH318" s="873" t="str">
        <f t="shared" si="10"/>
        <v>2.3.2.02.01.003..2201034.92330</v>
      </c>
      <c r="AI318" s="1"/>
    </row>
    <row r="319" spans="1:35" s="4" customFormat="1" ht="78" hidden="1" customHeight="1" x14ac:dyDescent="0.2">
      <c r="A319" s="1098">
        <v>314</v>
      </c>
      <c r="B319" s="990" t="s">
        <v>266</v>
      </c>
      <c r="C319" s="792">
        <v>1</v>
      </c>
      <c r="D319" s="702" t="s">
        <v>1412</v>
      </c>
      <c r="E319" s="1000" t="s">
        <v>1540</v>
      </c>
      <c r="F319" s="792">
        <v>6</v>
      </c>
      <c r="G319" s="792" t="s">
        <v>1395</v>
      </c>
      <c r="H319" s="992" t="s">
        <v>1537</v>
      </c>
      <c r="I319" s="1183">
        <v>664449.19616694376</v>
      </c>
      <c r="J319" s="1086"/>
      <c r="K319" s="1086"/>
      <c r="L319" s="1086"/>
      <c r="M319" s="961">
        <v>20</v>
      </c>
      <c r="N319" s="997" t="s">
        <v>1585</v>
      </c>
      <c r="O319" s="1087"/>
      <c r="P319" s="1087"/>
      <c r="Q319" s="1087"/>
      <c r="R319" s="1087"/>
      <c r="S319" s="1087"/>
      <c r="T319" s="1087"/>
      <c r="U319" s="57">
        <v>22</v>
      </c>
      <c r="V319" s="1262" t="s">
        <v>266</v>
      </c>
      <c r="W319" s="1098">
        <v>2201</v>
      </c>
      <c r="X319" s="819" t="s">
        <v>152</v>
      </c>
      <c r="Y319" s="1250" t="s">
        <v>2296</v>
      </c>
      <c r="Z319" s="702" t="s">
        <v>2304</v>
      </c>
      <c r="AA319" s="792">
        <v>2201060</v>
      </c>
      <c r="AB319" s="842" t="s">
        <v>721</v>
      </c>
      <c r="AC319" s="1096" t="s">
        <v>716</v>
      </c>
      <c r="AD319" s="842" t="s">
        <v>717</v>
      </c>
      <c r="AE319" s="872">
        <v>92102</v>
      </c>
      <c r="AF319" s="873" t="s">
        <v>1804</v>
      </c>
      <c r="AG319" s="1090"/>
      <c r="AH319" s="873" t="str">
        <f t="shared" si="10"/>
        <v>2.3.2.02.02.009..2201060.92102</v>
      </c>
      <c r="AI319" s="1"/>
    </row>
    <row r="320" spans="1:35" s="4" customFormat="1" ht="78" hidden="1" customHeight="1" x14ac:dyDescent="0.2">
      <c r="A320" s="1098">
        <v>314</v>
      </c>
      <c r="B320" s="990" t="s">
        <v>266</v>
      </c>
      <c r="C320" s="792">
        <v>1</v>
      </c>
      <c r="D320" s="702" t="s">
        <v>1412</v>
      </c>
      <c r="E320" s="1000" t="s">
        <v>1540</v>
      </c>
      <c r="F320" s="792">
        <v>6</v>
      </c>
      <c r="G320" s="792" t="s">
        <v>1395</v>
      </c>
      <c r="H320" s="992" t="s">
        <v>1537</v>
      </c>
      <c r="I320" s="1183">
        <v>4126079.0369842402</v>
      </c>
      <c r="J320" s="1086"/>
      <c r="K320" s="1086"/>
      <c r="L320" s="1086"/>
      <c r="M320" s="961">
        <v>20</v>
      </c>
      <c r="N320" s="997" t="s">
        <v>1585</v>
      </c>
      <c r="O320" s="1087"/>
      <c r="P320" s="1087"/>
      <c r="Q320" s="1087"/>
      <c r="R320" s="1087"/>
      <c r="S320" s="1087"/>
      <c r="T320" s="1087"/>
      <c r="U320" s="57">
        <v>22</v>
      </c>
      <c r="V320" s="1262" t="s">
        <v>266</v>
      </c>
      <c r="W320" s="1098">
        <v>2201</v>
      </c>
      <c r="X320" s="819" t="s">
        <v>152</v>
      </c>
      <c r="Y320" s="1250" t="s">
        <v>2296</v>
      </c>
      <c r="Z320" s="702" t="s">
        <v>2304</v>
      </c>
      <c r="AA320" s="792">
        <v>2201060</v>
      </c>
      <c r="AB320" s="842" t="s">
        <v>721</v>
      </c>
      <c r="AC320" s="1096" t="s">
        <v>716</v>
      </c>
      <c r="AD320" s="842" t="s">
        <v>717</v>
      </c>
      <c r="AE320" s="872">
        <v>92200</v>
      </c>
      <c r="AF320" s="873" t="s">
        <v>1805</v>
      </c>
      <c r="AG320" s="1090"/>
      <c r="AH320" s="873" t="str">
        <f t="shared" si="10"/>
        <v>2.3.2.02.02.009..2201060.92200</v>
      </c>
      <c r="AI320" s="1"/>
    </row>
    <row r="321" spans="1:114" ht="78" hidden="1" customHeight="1" x14ac:dyDescent="0.2">
      <c r="A321" s="820">
        <v>314</v>
      </c>
      <c r="B321" s="868" t="s">
        <v>266</v>
      </c>
      <c r="C321" s="793">
        <v>1</v>
      </c>
      <c r="D321" s="791" t="s">
        <v>1412</v>
      </c>
      <c r="E321" s="830" t="s">
        <v>1540</v>
      </c>
      <c r="F321" s="793">
        <v>6</v>
      </c>
      <c r="G321" s="793" t="s">
        <v>1395</v>
      </c>
      <c r="H321" s="860" t="s">
        <v>1537</v>
      </c>
      <c r="I321" s="1183">
        <v>3750692.9595311633</v>
      </c>
      <c r="J321" s="1086"/>
      <c r="K321" s="1086"/>
      <c r="L321" s="1086"/>
      <c r="M321" s="961">
        <v>20</v>
      </c>
      <c r="N321" s="997" t="s">
        <v>1585</v>
      </c>
      <c r="O321" s="1087"/>
      <c r="P321" s="1087"/>
      <c r="Q321" s="1087"/>
      <c r="R321" s="1087"/>
      <c r="S321" s="1087"/>
      <c r="T321" s="1087"/>
      <c r="U321" s="1088">
        <v>22</v>
      </c>
      <c r="V321" s="1089" t="s">
        <v>266</v>
      </c>
      <c r="W321" s="820">
        <v>2201</v>
      </c>
      <c r="X321" s="857" t="s">
        <v>152</v>
      </c>
      <c r="Y321" s="1250" t="s">
        <v>2296</v>
      </c>
      <c r="Z321" s="702" t="s">
        <v>2304</v>
      </c>
      <c r="AA321" s="792">
        <v>2201060</v>
      </c>
      <c r="AB321" s="713" t="s">
        <v>721</v>
      </c>
      <c r="AC321" s="1271" t="s">
        <v>716</v>
      </c>
      <c r="AD321" s="713" t="s">
        <v>717</v>
      </c>
      <c r="AE321" s="872">
        <v>92310</v>
      </c>
      <c r="AF321" s="873" t="s">
        <v>1806</v>
      </c>
      <c r="AG321" s="1090"/>
      <c r="AH321" s="873" t="str">
        <f t="shared" si="10"/>
        <v>2.3.2.02.02.009..2201060.92310</v>
      </c>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row>
    <row r="322" spans="1:114" ht="78" hidden="1" customHeight="1" x14ac:dyDescent="0.2">
      <c r="A322" s="820">
        <v>314</v>
      </c>
      <c r="B322" s="868" t="s">
        <v>266</v>
      </c>
      <c r="C322" s="793">
        <v>1</v>
      </c>
      <c r="D322" s="791" t="s">
        <v>1412</v>
      </c>
      <c r="E322" s="830" t="s">
        <v>1540</v>
      </c>
      <c r="F322" s="793">
        <v>6</v>
      </c>
      <c r="G322" s="793" t="s">
        <v>1395</v>
      </c>
      <c r="H322" s="860" t="s">
        <v>1537</v>
      </c>
      <c r="I322" s="1183">
        <v>1458778.8073176527</v>
      </c>
      <c r="J322" s="1086"/>
      <c r="K322" s="1086"/>
      <c r="L322" s="1086"/>
      <c r="M322" s="961">
        <v>20</v>
      </c>
      <c r="N322" s="997" t="s">
        <v>1585</v>
      </c>
      <c r="O322" s="1087"/>
      <c r="P322" s="1087"/>
      <c r="Q322" s="1087"/>
      <c r="R322" s="1087"/>
      <c r="S322" s="1087"/>
      <c r="T322" s="1087"/>
      <c r="U322" s="1088">
        <v>22</v>
      </c>
      <c r="V322" s="1089" t="s">
        <v>266</v>
      </c>
      <c r="W322" s="820">
        <v>2201</v>
      </c>
      <c r="X322" s="857" t="s">
        <v>152</v>
      </c>
      <c r="Y322" s="1250" t="s">
        <v>2296</v>
      </c>
      <c r="Z322" s="702" t="s">
        <v>2304</v>
      </c>
      <c r="AA322" s="792">
        <v>2201060</v>
      </c>
      <c r="AB322" s="713" t="s">
        <v>721</v>
      </c>
      <c r="AC322" s="1271" t="s">
        <v>716</v>
      </c>
      <c r="AD322" s="713" t="s">
        <v>717</v>
      </c>
      <c r="AE322" s="872">
        <v>92330</v>
      </c>
      <c r="AF322" s="873" t="s">
        <v>1807</v>
      </c>
      <c r="AG322" s="1090"/>
      <c r="AH322" s="873" t="str">
        <f t="shared" si="10"/>
        <v>2.3.2.02.02.009..2201060.92330</v>
      </c>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row>
    <row r="323" spans="1:114" ht="78" hidden="1" customHeight="1" x14ac:dyDescent="0.2">
      <c r="A323" s="820">
        <v>314</v>
      </c>
      <c r="B323" s="868" t="s">
        <v>266</v>
      </c>
      <c r="C323" s="793">
        <v>1</v>
      </c>
      <c r="D323" s="791" t="s">
        <v>1412</v>
      </c>
      <c r="E323" s="830" t="s">
        <v>1540</v>
      </c>
      <c r="F323" s="793">
        <v>6</v>
      </c>
      <c r="G323" s="793" t="s">
        <v>1395</v>
      </c>
      <c r="H323" s="860" t="s">
        <v>1537</v>
      </c>
      <c r="I323" s="1183">
        <v>598004.27655024943</v>
      </c>
      <c r="J323" s="1086"/>
      <c r="K323" s="1086"/>
      <c r="L323" s="1086"/>
      <c r="M323" s="961">
        <v>20</v>
      </c>
      <c r="N323" s="997" t="s">
        <v>1585</v>
      </c>
      <c r="O323" s="1087"/>
      <c r="P323" s="1087"/>
      <c r="Q323" s="1087"/>
      <c r="R323" s="1087"/>
      <c r="S323" s="1087"/>
      <c r="T323" s="1087"/>
      <c r="U323" s="1088">
        <v>22</v>
      </c>
      <c r="V323" s="1089" t="s">
        <v>266</v>
      </c>
      <c r="W323" s="820">
        <v>2201</v>
      </c>
      <c r="X323" s="857" t="s">
        <v>152</v>
      </c>
      <c r="Y323" s="1250" t="s">
        <v>2296</v>
      </c>
      <c r="Z323" s="702" t="s">
        <v>2304</v>
      </c>
      <c r="AA323" s="792">
        <v>2201001</v>
      </c>
      <c r="AB323" s="713" t="s">
        <v>63</v>
      </c>
      <c r="AC323" s="1271" t="s">
        <v>723</v>
      </c>
      <c r="AD323" s="713" t="s">
        <v>724</v>
      </c>
      <c r="AE323" s="872">
        <v>92102</v>
      </c>
      <c r="AF323" s="873" t="s">
        <v>1804</v>
      </c>
      <c r="AG323" s="1090"/>
      <c r="AH323" s="873" t="str">
        <f t="shared" si="10"/>
        <v>2.3.2.02.02.009..2201001.92102</v>
      </c>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row>
    <row r="324" spans="1:114" ht="78" hidden="1" customHeight="1" x14ac:dyDescent="0.2">
      <c r="A324" s="820">
        <v>314</v>
      </c>
      <c r="B324" s="868" t="s">
        <v>266</v>
      </c>
      <c r="C324" s="793">
        <v>1</v>
      </c>
      <c r="D324" s="791" t="s">
        <v>1412</v>
      </c>
      <c r="E324" s="830" t="s">
        <v>1540</v>
      </c>
      <c r="F324" s="793">
        <v>6</v>
      </c>
      <c r="G324" s="793" t="s">
        <v>1395</v>
      </c>
      <c r="H324" s="860" t="s">
        <v>1537</v>
      </c>
      <c r="I324" s="1183">
        <v>3713471.1332858163</v>
      </c>
      <c r="J324" s="1086"/>
      <c r="K324" s="1086"/>
      <c r="L324" s="1086"/>
      <c r="M324" s="961">
        <v>20</v>
      </c>
      <c r="N324" s="997" t="s">
        <v>1585</v>
      </c>
      <c r="O324" s="1087"/>
      <c r="P324" s="1087"/>
      <c r="Q324" s="1087"/>
      <c r="R324" s="1087"/>
      <c r="S324" s="1087"/>
      <c r="T324" s="1087"/>
      <c r="U324" s="1088">
        <v>22</v>
      </c>
      <c r="V324" s="1089" t="s">
        <v>266</v>
      </c>
      <c r="W324" s="820">
        <v>2201</v>
      </c>
      <c r="X324" s="857" t="s">
        <v>152</v>
      </c>
      <c r="Y324" s="1250" t="s">
        <v>2296</v>
      </c>
      <c r="Z324" s="702" t="s">
        <v>2304</v>
      </c>
      <c r="AA324" s="792">
        <v>2201001</v>
      </c>
      <c r="AB324" s="713" t="s">
        <v>63</v>
      </c>
      <c r="AC324" s="1271" t="s">
        <v>723</v>
      </c>
      <c r="AD324" s="713" t="s">
        <v>724</v>
      </c>
      <c r="AE324" s="872">
        <v>92200</v>
      </c>
      <c r="AF324" s="873" t="s">
        <v>1805</v>
      </c>
      <c r="AG324" s="1090"/>
      <c r="AH324" s="873" t="str">
        <f t="shared" si="10"/>
        <v>2.3.2.02.02.009..2201001.92200</v>
      </c>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row>
    <row r="325" spans="1:114" ht="78" hidden="1" customHeight="1" x14ac:dyDescent="0.2">
      <c r="A325" s="820">
        <v>314</v>
      </c>
      <c r="B325" s="868" t="s">
        <v>266</v>
      </c>
      <c r="C325" s="793">
        <v>1</v>
      </c>
      <c r="D325" s="791" t="s">
        <v>1412</v>
      </c>
      <c r="E325" s="830" t="s">
        <v>1540</v>
      </c>
      <c r="F325" s="793">
        <v>6</v>
      </c>
      <c r="G325" s="793" t="s">
        <v>1395</v>
      </c>
      <c r="H325" s="860" t="s">
        <v>1537</v>
      </c>
      <c r="I325" s="1183">
        <v>3375623.663578047</v>
      </c>
      <c r="J325" s="1086"/>
      <c r="K325" s="1086"/>
      <c r="L325" s="1086"/>
      <c r="M325" s="961">
        <v>20</v>
      </c>
      <c r="N325" s="997" t="s">
        <v>1585</v>
      </c>
      <c r="O325" s="1087"/>
      <c r="P325" s="1087"/>
      <c r="Q325" s="1087"/>
      <c r="R325" s="1087"/>
      <c r="S325" s="1087"/>
      <c r="T325" s="1087"/>
      <c r="U325" s="1088">
        <v>22</v>
      </c>
      <c r="V325" s="1089" t="s">
        <v>266</v>
      </c>
      <c r="W325" s="820">
        <v>2201</v>
      </c>
      <c r="X325" s="857" t="s">
        <v>152</v>
      </c>
      <c r="Y325" s="1250" t="s">
        <v>2296</v>
      </c>
      <c r="Z325" s="702" t="s">
        <v>2304</v>
      </c>
      <c r="AA325" s="792">
        <v>2201001</v>
      </c>
      <c r="AB325" s="713" t="s">
        <v>63</v>
      </c>
      <c r="AC325" s="1271" t="s">
        <v>723</v>
      </c>
      <c r="AD325" s="713" t="s">
        <v>724</v>
      </c>
      <c r="AE325" s="872">
        <v>92310</v>
      </c>
      <c r="AF325" s="873" t="s">
        <v>1806</v>
      </c>
      <c r="AG325" s="1090"/>
      <c r="AH325" s="873" t="str">
        <f t="shared" si="10"/>
        <v>2.3.2.02.02.009..2201001.92310</v>
      </c>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row>
    <row r="326" spans="1:114" ht="78" hidden="1" customHeight="1" x14ac:dyDescent="0.2">
      <c r="A326" s="820">
        <v>314</v>
      </c>
      <c r="B326" s="868" t="s">
        <v>266</v>
      </c>
      <c r="C326" s="793">
        <v>1</v>
      </c>
      <c r="D326" s="791" t="s">
        <v>1412</v>
      </c>
      <c r="E326" s="830" t="s">
        <v>1540</v>
      </c>
      <c r="F326" s="793">
        <v>6</v>
      </c>
      <c r="G326" s="793" t="s">
        <v>1395</v>
      </c>
      <c r="H326" s="860" t="s">
        <v>1537</v>
      </c>
      <c r="I326" s="1183">
        <v>1312900.9265858876</v>
      </c>
      <c r="J326" s="1086"/>
      <c r="K326" s="1086"/>
      <c r="L326" s="1086"/>
      <c r="M326" s="961">
        <v>20</v>
      </c>
      <c r="N326" s="997" t="s">
        <v>1585</v>
      </c>
      <c r="O326" s="1087"/>
      <c r="P326" s="1087"/>
      <c r="Q326" s="1087"/>
      <c r="R326" s="1087"/>
      <c r="S326" s="1087"/>
      <c r="T326" s="1087"/>
      <c r="U326" s="1088">
        <v>22</v>
      </c>
      <c r="V326" s="1089" t="s">
        <v>266</v>
      </c>
      <c r="W326" s="820">
        <v>2201</v>
      </c>
      <c r="X326" s="857" t="s">
        <v>152</v>
      </c>
      <c r="Y326" s="1250" t="s">
        <v>2296</v>
      </c>
      <c r="Z326" s="702" t="s">
        <v>2304</v>
      </c>
      <c r="AA326" s="792">
        <v>2201001</v>
      </c>
      <c r="AB326" s="713" t="s">
        <v>63</v>
      </c>
      <c r="AC326" s="1271" t="s">
        <v>723</v>
      </c>
      <c r="AD326" s="713" t="s">
        <v>724</v>
      </c>
      <c r="AE326" s="872">
        <v>92330</v>
      </c>
      <c r="AF326" s="873" t="s">
        <v>1807</v>
      </c>
      <c r="AG326" s="1090"/>
      <c r="AH326" s="873" t="str">
        <f t="shared" si="10"/>
        <v>2.3.2.02.02.009..2201001.92330</v>
      </c>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row>
    <row r="327" spans="1:114" ht="78" hidden="1" customHeight="1" x14ac:dyDescent="0.2">
      <c r="A327" s="820">
        <v>314</v>
      </c>
      <c r="B327" s="868" t="s">
        <v>266</v>
      </c>
      <c r="C327" s="793">
        <v>1</v>
      </c>
      <c r="D327" s="791" t="s">
        <v>1412</v>
      </c>
      <c r="E327" s="830" t="s">
        <v>1540</v>
      </c>
      <c r="F327" s="793">
        <v>6</v>
      </c>
      <c r="G327" s="793" t="s">
        <v>1395</v>
      </c>
      <c r="H327" s="860" t="s">
        <v>1537</v>
      </c>
      <c r="I327" s="1183">
        <v>598004.27655024943</v>
      </c>
      <c r="J327" s="1086"/>
      <c r="K327" s="1086"/>
      <c r="L327" s="1086"/>
      <c r="M327" s="961">
        <v>20</v>
      </c>
      <c r="N327" s="997" t="s">
        <v>1585</v>
      </c>
      <c r="O327" s="1087"/>
      <c r="P327" s="1087"/>
      <c r="Q327" s="1087"/>
      <c r="R327" s="1087"/>
      <c r="S327" s="1087"/>
      <c r="T327" s="1087"/>
      <c r="U327" s="1088">
        <v>22</v>
      </c>
      <c r="V327" s="1089" t="s">
        <v>266</v>
      </c>
      <c r="W327" s="820">
        <v>2201</v>
      </c>
      <c r="X327" s="857" t="s">
        <v>152</v>
      </c>
      <c r="Y327" s="1250" t="s">
        <v>2296</v>
      </c>
      <c r="Z327" s="702" t="s">
        <v>2304</v>
      </c>
      <c r="AA327" s="792">
        <v>2201048</v>
      </c>
      <c r="AB327" s="713" t="s">
        <v>726</v>
      </c>
      <c r="AC327" s="1271" t="s">
        <v>723</v>
      </c>
      <c r="AD327" s="713" t="s">
        <v>724</v>
      </c>
      <c r="AE327" s="872">
        <v>92102</v>
      </c>
      <c r="AF327" s="873" t="s">
        <v>1804</v>
      </c>
      <c r="AG327" s="1090"/>
      <c r="AH327" s="873" t="str">
        <f t="shared" si="10"/>
        <v>2.3.2.02.02.009..2201048.92102</v>
      </c>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row>
    <row r="328" spans="1:114" ht="78" hidden="1" customHeight="1" x14ac:dyDescent="0.2">
      <c r="A328" s="820">
        <v>314</v>
      </c>
      <c r="B328" s="868" t="s">
        <v>266</v>
      </c>
      <c r="C328" s="793">
        <v>1</v>
      </c>
      <c r="D328" s="791" t="s">
        <v>1412</v>
      </c>
      <c r="E328" s="830" t="s">
        <v>1540</v>
      </c>
      <c r="F328" s="793">
        <v>6</v>
      </c>
      <c r="G328" s="793" t="s">
        <v>1395</v>
      </c>
      <c r="H328" s="860" t="s">
        <v>1537</v>
      </c>
      <c r="I328" s="1183">
        <v>3713471.1332858163</v>
      </c>
      <c r="J328" s="1086"/>
      <c r="K328" s="1086"/>
      <c r="L328" s="1086"/>
      <c r="M328" s="961">
        <v>20</v>
      </c>
      <c r="N328" s="997" t="s">
        <v>1585</v>
      </c>
      <c r="O328" s="1087"/>
      <c r="P328" s="1087"/>
      <c r="Q328" s="1087"/>
      <c r="R328" s="1087"/>
      <c r="S328" s="1087"/>
      <c r="T328" s="1087"/>
      <c r="U328" s="1088">
        <v>22</v>
      </c>
      <c r="V328" s="1089" t="s">
        <v>266</v>
      </c>
      <c r="W328" s="820">
        <v>2201</v>
      </c>
      <c r="X328" s="857" t="s">
        <v>152</v>
      </c>
      <c r="Y328" s="1250" t="s">
        <v>2296</v>
      </c>
      <c r="Z328" s="702" t="s">
        <v>2304</v>
      </c>
      <c r="AA328" s="792">
        <v>2201048</v>
      </c>
      <c r="AB328" s="713" t="s">
        <v>726</v>
      </c>
      <c r="AC328" s="1271" t="s">
        <v>723</v>
      </c>
      <c r="AD328" s="713" t="s">
        <v>724</v>
      </c>
      <c r="AE328" s="872">
        <v>92200</v>
      </c>
      <c r="AF328" s="873" t="s">
        <v>1805</v>
      </c>
      <c r="AG328" s="1090"/>
      <c r="AH328" s="873" t="str">
        <f t="shared" si="10"/>
        <v>2.3.2.02.02.009..2201048.92200</v>
      </c>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row>
    <row r="329" spans="1:114" ht="78" hidden="1" customHeight="1" x14ac:dyDescent="0.2">
      <c r="A329" s="820">
        <v>314</v>
      </c>
      <c r="B329" s="868" t="s">
        <v>266</v>
      </c>
      <c r="C329" s="793">
        <v>1</v>
      </c>
      <c r="D329" s="791" t="s">
        <v>1412</v>
      </c>
      <c r="E329" s="830" t="s">
        <v>1540</v>
      </c>
      <c r="F329" s="793">
        <v>6</v>
      </c>
      <c r="G329" s="793" t="s">
        <v>1395</v>
      </c>
      <c r="H329" s="860" t="s">
        <v>1537</v>
      </c>
      <c r="I329" s="1183">
        <v>3375623.663578047</v>
      </c>
      <c r="J329" s="1086"/>
      <c r="K329" s="1086"/>
      <c r="L329" s="1086"/>
      <c r="M329" s="961">
        <v>20</v>
      </c>
      <c r="N329" s="997" t="s">
        <v>1585</v>
      </c>
      <c r="O329" s="1087"/>
      <c r="P329" s="1087"/>
      <c r="Q329" s="1087"/>
      <c r="R329" s="1087"/>
      <c r="S329" s="1087"/>
      <c r="T329" s="1087"/>
      <c r="U329" s="1088">
        <v>22</v>
      </c>
      <c r="V329" s="1089" t="s">
        <v>266</v>
      </c>
      <c r="W329" s="820">
        <v>2201</v>
      </c>
      <c r="X329" s="857" t="s">
        <v>152</v>
      </c>
      <c r="Y329" s="1250" t="s">
        <v>2296</v>
      </c>
      <c r="Z329" s="702" t="s">
        <v>2304</v>
      </c>
      <c r="AA329" s="792">
        <v>2201048</v>
      </c>
      <c r="AB329" s="713" t="s">
        <v>726</v>
      </c>
      <c r="AC329" s="1271" t="s">
        <v>723</v>
      </c>
      <c r="AD329" s="713" t="s">
        <v>724</v>
      </c>
      <c r="AE329" s="872">
        <v>92310</v>
      </c>
      <c r="AF329" s="873" t="s">
        <v>1806</v>
      </c>
      <c r="AG329" s="1090"/>
      <c r="AH329" s="873" t="str">
        <f t="shared" si="10"/>
        <v>2.3.2.02.02.009..2201048.92310</v>
      </c>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row>
    <row r="330" spans="1:114" ht="144" hidden="1" customHeight="1" x14ac:dyDescent="0.2">
      <c r="A330" s="820">
        <v>314</v>
      </c>
      <c r="B330" s="868" t="s">
        <v>266</v>
      </c>
      <c r="C330" s="793">
        <v>1</v>
      </c>
      <c r="D330" s="791" t="s">
        <v>1412</v>
      </c>
      <c r="E330" s="830" t="s">
        <v>1540</v>
      </c>
      <c r="F330" s="793">
        <v>6</v>
      </c>
      <c r="G330" s="793" t="s">
        <v>1395</v>
      </c>
      <c r="H330" s="860" t="s">
        <v>1537</v>
      </c>
      <c r="I330" s="1183">
        <v>1312900.9265858876</v>
      </c>
      <c r="J330" s="1086"/>
      <c r="K330" s="1086"/>
      <c r="L330" s="1086"/>
      <c r="M330" s="961">
        <v>20</v>
      </c>
      <c r="N330" s="997" t="s">
        <v>1585</v>
      </c>
      <c r="O330" s="1087"/>
      <c r="P330" s="1087"/>
      <c r="Q330" s="1087"/>
      <c r="R330" s="1087"/>
      <c r="S330" s="1087"/>
      <c r="T330" s="1087"/>
      <c r="U330" s="1088">
        <v>22</v>
      </c>
      <c r="V330" s="1089" t="s">
        <v>266</v>
      </c>
      <c r="W330" s="820">
        <v>2201</v>
      </c>
      <c r="X330" s="857" t="s">
        <v>152</v>
      </c>
      <c r="Y330" s="1250" t="s">
        <v>2296</v>
      </c>
      <c r="Z330" s="702" t="s">
        <v>2304</v>
      </c>
      <c r="AA330" s="792">
        <v>2201048</v>
      </c>
      <c r="AB330" s="713" t="s">
        <v>726</v>
      </c>
      <c r="AC330" s="1271" t="s">
        <v>723</v>
      </c>
      <c r="AD330" s="713" t="s">
        <v>724</v>
      </c>
      <c r="AE330" s="872">
        <v>92330</v>
      </c>
      <c r="AF330" s="873" t="s">
        <v>1807</v>
      </c>
      <c r="AG330" s="1090"/>
      <c r="AH330" s="873" t="str">
        <f t="shared" si="10"/>
        <v>2.3.2.02.02.009..2201048.92330</v>
      </c>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row>
    <row r="331" spans="1:114" s="30" customFormat="1" ht="127.5" hidden="1" customHeight="1" x14ac:dyDescent="0.25">
      <c r="A331" s="820">
        <v>314</v>
      </c>
      <c r="B331" s="868" t="s">
        <v>266</v>
      </c>
      <c r="C331" s="793">
        <v>1</v>
      </c>
      <c r="D331" s="791" t="s">
        <v>1412</v>
      </c>
      <c r="E331" s="830" t="s">
        <v>1540</v>
      </c>
      <c r="F331" s="793">
        <v>6</v>
      </c>
      <c r="G331" s="793" t="s">
        <v>1395</v>
      </c>
      <c r="H331" s="860" t="s">
        <v>1537</v>
      </c>
      <c r="I331" s="1183">
        <v>2100000000</v>
      </c>
      <c r="J331" s="1086"/>
      <c r="K331" s="1086"/>
      <c r="L331" s="1086"/>
      <c r="M331" s="961">
        <v>20</v>
      </c>
      <c r="N331" s="997" t="s">
        <v>1585</v>
      </c>
      <c r="O331" s="1087"/>
      <c r="P331" s="1087"/>
      <c r="Q331" s="1087"/>
      <c r="R331" s="1087"/>
      <c r="S331" s="1087"/>
      <c r="T331" s="1087"/>
      <c r="U331" s="1088">
        <v>22</v>
      </c>
      <c r="V331" s="1089" t="s">
        <v>266</v>
      </c>
      <c r="W331" s="879">
        <v>2202</v>
      </c>
      <c r="X331" s="880" t="s">
        <v>728</v>
      </c>
      <c r="Y331" s="1251" t="s">
        <v>2287</v>
      </c>
      <c r="Z331" s="881" t="s">
        <v>2286</v>
      </c>
      <c r="AA331" s="792">
        <v>2202006</v>
      </c>
      <c r="AB331" s="713" t="s">
        <v>1842</v>
      </c>
      <c r="AC331" s="1271" t="s">
        <v>732</v>
      </c>
      <c r="AD331" s="713" t="s">
        <v>733</v>
      </c>
      <c r="AE331" s="872">
        <v>92330</v>
      </c>
      <c r="AF331" s="873" t="s">
        <v>1807</v>
      </c>
      <c r="AG331" s="1090"/>
      <c r="AH331" s="873" t="str">
        <f t="shared" si="10"/>
        <v>2.3.2.02.02.009..2202006.92330</v>
      </c>
    </row>
    <row r="332" spans="1:114" s="30" customFormat="1" ht="315" hidden="1" customHeight="1" x14ac:dyDescent="0.25">
      <c r="A332" s="820">
        <v>314</v>
      </c>
      <c r="B332" s="868" t="s">
        <v>266</v>
      </c>
      <c r="C332" s="793">
        <v>1</v>
      </c>
      <c r="D332" s="791" t="s">
        <v>1412</v>
      </c>
      <c r="E332" s="830" t="s">
        <v>1540</v>
      </c>
      <c r="F332" s="793">
        <v>6</v>
      </c>
      <c r="G332" s="793" t="s">
        <v>1395</v>
      </c>
      <c r="H332" s="860" t="s">
        <v>1537</v>
      </c>
      <c r="I332" s="1183">
        <v>5400000</v>
      </c>
      <c r="J332" s="1086"/>
      <c r="K332" s="1086"/>
      <c r="L332" s="1086"/>
      <c r="M332" s="961">
        <v>20</v>
      </c>
      <c r="N332" s="997" t="s">
        <v>1585</v>
      </c>
      <c r="O332" s="1087"/>
      <c r="P332" s="1087"/>
      <c r="Q332" s="1087"/>
      <c r="R332" s="1087"/>
      <c r="S332" s="1087"/>
      <c r="T332" s="1087"/>
      <c r="U332" s="1088">
        <v>39</v>
      </c>
      <c r="V332" s="1097" t="s">
        <v>1312</v>
      </c>
      <c r="W332" s="793">
        <v>3904</v>
      </c>
      <c r="X332" s="857" t="s">
        <v>735</v>
      </c>
      <c r="Y332" s="1251" t="s">
        <v>1915</v>
      </c>
      <c r="Z332" s="791" t="s">
        <v>1474</v>
      </c>
      <c r="AA332" s="792">
        <v>3904006</v>
      </c>
      <c r="AB332" s="713" t="s">
        <v>737</v>
      </c>
      <c r="AC332" s="1272" t="s">
        <v>739</v>
      </c>
      <c r="AD332" s="713" t="s">
        <v>740</v>
      </c>
      <c r="AE332" s="872">
        <v>92310</v>
      </c>
      <c r="AF332" s="873" t="s">
        <v>1806</v>
      </c>
      <c r="AG332" s="1090"/>
      <c r="AH332" s="873" t="str">
        <f t="shared" si="10"/>
        <v>2.3.2.02.02.009..3904006.92310</v>
      </c>
    </row>
    <row r="333" spans="1:114" s="30" customFormat="1" ht="150" hidden="1" customHeight="1" x14ac:dyDescent="0.25">
      <c r="A333" s="820">
        <v>314</v>
      </c>
      <c r="B333" s="868" t="s">
        <v>266</v>
      </c>
      <c r="C333" s="793">
        <v>1</v>
      </c>
      <c r="D333" s="791" t="s">
        <v>1412</v>
      </c>
      <c r="E333" s="830" t="s">
        <v>1540</v>
      </c>
      <c r="F333" s="793">
        <v>6</v>
      </c>
      <c r="G333" s="793" t="s">
        <v>1395</v>
      </c>
      <c r="H333" s="860" t="s">
        <v>1537</v>
      </c>
      <c r="I333" s="1183">
        <v>2100000</v>
      </c>
      <c r="J333" s="1086"/>
      <c r="K333" s="1086"/>
      <c r="L333" s="1086"/>
      <c r="M333" s="961">
        <v>20</v>
      </c>
      <c r="N333" s="997" t="s">
        <v>1585</v>
      </c>
      <c r="O333" s="1087"/>
      <c r="P333" s="1087"/>
      <c r="Q333" s="1087"/>
      <c r="R333" s="1087"/>
      <c r="S333" s="1087"/>
      <c r="T333" s="1087"/>
      <c r="U333" s="1088">
        <v>39</v>
      </c>
      <c r="V333" s="1097" t="s">
        <v>1312</v>
      </c>
      <c r="W333" s="793">
        <v>3904</v>
      </c>
      <c r="X333" s="857" t="s">
        <v>735</v>
      </c>
      <c r="Y333" s="1251" t="s">
        <v>1915</v>
      </c>
      <c r="Z333" s="791" t="s">
        <v>1474</v>
      </c>
      <c r="AA333" s="792">
        <v>3904006</v>
      </c>
      <c r="AB333" s="713" t="s">
        <v>737</v>
      </c>
      <c r="AC333" s="1272" t="s">
        <v>739</v>
      </c>
      <c r="AD333" s="713" t="s">
        <v>740</v>
      </c>
      <c r="AE333" s="872">
        <v>92330</v>
      </c>
      <c r="AF333" s="873" t="s">
        <v>1807</v>
      </c>
      <c r="AG333" s="1090"/>
      <c r="AH333" s="873" t="str">
        <f t="shared" si="10"/>
        <v>2.3.2.02.02.009..3904006.92330</v>
      </c>
    </row>
    <row r="334" spans="1:114" s="30" customFormat="1" ht="108" hidden="1" customHeight="1" x14ac:dyDescent="0.25">
      <c r="A334" s="931">
        <v>316</v>
      </c>
      <c r="B334" s="1014" t="s">
        <v>1475</v>
      </c>
      <c r="C334" s="792">
        <v>1</v>
      </c>
      <c r="D334" s="702" t="s">
        <v>1412</v>
      </c>
      <c r="E334" s="1150" t="s">
        <v>1540</v>
      </c>
      <c r="F334" s="952">
        <v>6</v>
      </c>
      <c r="G334" s="952" t="s">
        <v>1395</v>
      </c>
      <c r="H334" s="992" t="s">
        <v>1537</v>
      </c>
      <c r="I334" s="1077">
        <v>100000000</v>
      </c>
      <c r="J334" s="997"/>
      <c r="K334" s="997"/>
      <c r="L334" s="997"/>
      <c r="M334" s="961">
        <v>20</v>
      </c>
      <c r="N334" s="997" t="s">
        <v>1800</v>
      </c>
      <c r="O334" s="1001"/>
      <c r="P334" s="1002"/>
      <c r="Q334" s="1002"/>
      <c r="R334" s="1002"/>
      <c r="S334" s="1002"/>
      <c r="T334" s="1002"/>
      <c r="U334" s="792">
        <v>19</v>
      </c>
      <c r="V334" s="991" t="s">
        <v>1304</v>
      </c>
      <c r="W334" s="792">
        <v>1905</v>
      </c>
      <c r="X334" s="819" t="s">
        <v>743</v>
      </c>
      <c r="Y334" s="792" t="s">
        <v>2309</v>
      </c>
      <c r="Z334" s="702" t="s">
        <v>2310</v>
      </c>
      <c r="AA334" s="826" t="s">
        <v>1783</v>
      </c>
      <c r="AB334" s="842" t="s">
        <v>745</v>
      </c>
      <c r="AC334" s="1079" t="s">
        <v>747</v>
      </c>
      <c r="AD334" s="1007" t="s">
        <v>748</v>
      </c>
      <c r="AE334" s="965">
        <v>91119</v>
      </c>
      <c r="AF334" s="740" t="s">
        <v>1389</v>
      </c>
      <c r="AG334" s="968"/>
      <c r="AH334" s="740" t="str">
        <f>CONCATENATE(E334,AA334,AE334)</f>
        <v>2.3.2.02.02.009.1905021.91119</v>
      </c>
      <c r="AJ334" s="537"/>
      <c r="AK334" s="537"/>
      <c r="AL334" s="537"/>
      <c r="AM334" s="537"/>
      <c r="AN334" s="537"/>
      <c r="AO334" s="537"/>
      <c r="AP334" s="537"/>
    </row>
    <row r="335" spans="1:114" s="30" customFormat="1" ht="73.5" hidden="1" customHeight="1" x14ac:dyDescent="0.25">
      <c r="A335" s="931">
        <v>316</v>
      </c>
      <c r="B335" s="882" t="s">
        <v>1475</v>
      </c>
      <c r="C335" s="793">
        <v>1</v>
      </c>
      <c r="D335" s="791" t="s">
        <v>1412</v>
      </c>
      <c r="E335" s="1147" t="s">
        <v>1540</v>
      </c>
      <c r="F335" s="961">
        <v>6</v>
      </c>
      <c r="G335" s="961" t="s">
        <v>1395</v>
      </c>
      <c r="H335" s="1076" t="s">
        <v>1537</v>
      </c>
      <c r="I335" s="1077">
        <v>50000000</v>
      </c>
      <c r="J335" s="861"/>
      <c r="K335" s="861"/>
      <c r="L335" s="861"/>
      <c r="M335" s="767">
        <v>20</v>
      </c>
      <c r="N335" s="784" t="s">
        <v>1800</v>
      </c>
      <c r="O335" s="833"/>
      <c r="P335" s="834"/>
      <c r="Q335" s="834"/>
      <c r="R335" s="834"/>
      <c r="S335" s="834"/>
      <c r="T335" s="834"/>
      <c r="U335" s="793">
        <v>19</v>
      </c>
      <c r="V335" s="883" t="s">
        <v>1304</v>
      </c>
      <c r="W335" s="793">
        <v>1905</v>
      </c>
      <c r="X335" s="857" t="s">
        <v>743</v>
      </c>
      <c r="Y335" s="792" t="s">
        <v>2309</v>
      </c>
      <c r="Z335" s="702" t="s">
        <v>2310</v>
      </c>
      <c r="AA335" s="885" t="s">
        <v>1788</v>
      </c>
      <c r="AB335" s="886" t="s">
        <v>753</v>
      </c>
      <c r="AC335" s="884" t="s">
        <v>747</v>
      </c>
      <c r="AD335" s="1065" t="s">
        <v>748</v>
      </c>
      <c r="AE335" s="965">
        <v>91119</v>
      </c>
      <c r="AF335" s="740" t="s">
        <v>1389</v>
      </c>
      <c r="AG335" s="821"/>
      <c r="AH335" s="740" t="str">
        <f t="shared" ref="AH335:AH383" si="11">CONCATENATE(E335,AA335,AE335)</f>
        <v>2.3.2.02.02.009.1905022.91119</v>
      </c>
      <c r="AJ335" s="537"/>
      <c r="AK335" s="537"/>
      <c r="AL335" s="537"/>
      <c r="AM335" s="537"/>
      <c r="AN335" s="537"/>
      <c r="AO335" s="537"/>
      <c r="AP335" s="537"/>
    </row>
    <row r="336" spans="1:114" s="537" customFormat="1" ht="126" hidden="1" customHeight="1" x14ac:dyDescent="0.2">
      <c r="A336" s="931">
        <v>316</v>
      </c>
      <c r="B336" s="1014" t="s">
        <v>1475</v>
      </c>
      <c r="C336" s="792">
        <v>1</v>
      </c>
      <c r="D336" s="702" t="s">
        <v>1412</v>
      </c>
      <c r="E336" s="1147" t="s">
        <v>2341</v>
      </c>
      <c r="F336" s="961">
        <v>6</v>
      </c>
      <c r="G336" s="961" t="s">
        <v>1395</v>
      </c>
      <c r="H336" s="1076" t="s">
        <v>1950</v>
      </c>
      <c r="I336" s="1077">
        <v>10000000</v>
      </c>
      <c r="J336" s="997">
        <v>20</v>
      </c>
      <c r="K336" s="997" t="s">
        <v>1800</v>
      </c>
      <c r="L336" s="792">
        <v>19</v>
      </c>
      <c r="M336" s="961">
        <v>20</v>
      </c>
      <c r="N336" s="997" t="s">
        <v>1800</v>
      </c>
      <c r="O336" s="792">
        <v>19</v>
      </c>
      <c r="P336" s="18"/>
      <c r="Q336" s="18"/>
      <c r="R336" s="18"/>
      <c r="S336" s="18"/>
      <c r="T336" s="18"/>
      <c r="U336" s="792">
        <v>19</v>
      </c>
      <c r="V336" s="991" t="s">
        <v>1304</v>
      </c>
      <c r="W336" s="792">
        <v>1905</v>
      </c>
      <c r="X336" s="819" t="s">
        <v>743</v>
      </c>
      <c r="Y336" s="792" t="s">
        <v>2309</v>
      </c>
      <c r="Z336" s="702" t="s">
        <v>2310</v>
      </c>
      <c r="AA336" s="1260" t="s">
        <v>1788</v>
      </c>
      <c r="AB336" s="1261" t="s">
        <v>753</v>
      </c>
      <c r="AC336" s="1079" t="s">
        <v>747</v>
      </c>
      <c r="AD336" s="1007" t="s">
        <v>748</v>
      </c>
      <c r="AE336" s="965">
        <v>23999</v>
      </c>
      <c r="AF336" s="740" t="s">
        <v>1951</v>
      </c>
      <c r="AG336" s="968"/>
      <c r="AH336" s="740" t="str">
        <f t="shared" si="11"/>
        <v>2.3.2.02.01.002.1905022.23999</v>
      </c>
    </row>
    <row r="337" spans="1:42" s="537" customFormat="1" ht="127.5" hidden="1" customHeight="1" x14ac:dyDescent="0.25">
      <c r="A337" s="931">
        <v>316</v>
      </c>
      <c r="B337" s="1014" t="s">
        <v>1475</v>
      </c>
      <c r="C337" s="792">
        <v>1</v>
      </c>
      <c r="D337" s="702" t="s">
        <v>1412</v>
      </c>
      <c r="E337" s="1147" t="s">
        <v>1596</v>
      </c>
      <c r="F337" s="961">
        <v>6</v>
      </c>
      <c r="G337" s="961" t="s">
        <v>1395</v>
      </c>
      <c r="H337" s="1076" t="s">
        <v>1801</v>
      </c>
      <c r="I337" s="1077">
        <v>15000000</v>
      </c>
      <c r="J337" s="997"/>
      <c r="K337" s="997"/>
      <c r="L337" s="997"/>
      <c r="M337" s="961">
        <v>20</v>
      </c>
      <c r="N337" s="997" t="s">
        <v>1800</v>
      </c>
      <c r="O337" s="1001"/>
      <c r="P337" s="1002"/>
      <c r="Q337" s="1002"/>
      <c r="R337" s="1002"/>
      <c r="S337" s="1002"/>
      <c r="T337" s="1002"/>
      <c r="U337" s="792">
        <v>19</v>
      </c>
      <c r="V337" s="991" t="s">
        <v>1304</v>
      </c>
      <c r="W337" s="792">
        <v>1905</v>
      </c>
      <c r="X337" s="819" t="s">
        <v>743</v>
      </c>
      <c r="Y337" s="792" t="s">
        <v>2309</v>
      </c>
      <c r="Z337" s="702" t="s">
        <v>2310</v>
      </c>
      <c r="AA337" s="1260" t="s">
        <v>1788</v>
      </c>
      <c r="AB337" s="1261" t="s">
        <v>753</v>
      </c>
      <c r="AC337" s="1079" t="s">
        <v>747</v>
      </c>
      <c r="AD337" s="1007" t="s">
        <v>748</v>
      </c>
      <c r="AE337" s="965">
        <v>32690</v>
      </c>
      <c r="AF337" s="740" t="s">
        <v>1594</v>
      </c>
      <c r="AG337" s="968"/>
      <c r="AH337" s="740" t="str">
        <f t="shared" si="11"/>
        <v>2.3.2.02.01.003.1905022.32690</v>
      </c>
    </row>
    <row r="338" spans="1:42" s="18" customFormat="1" ht="172.5" hidden="1" customHeight="1" x14ac:dyDescent="0.2">
      <c r="A338" s="931">
        <v>316</v>
      </c>
      <c r="B338" s="882" t="s">
        <v>1475</v>
      </c>
      <c r="C338" s="793">
        <v>1</v>
      </c>
      <c r="D338" s="791" t="s">
        <v>1412</v>
      </c>
      <c r="E338" s="1150" t="s">
        <v>1540</v>
      </c>
      <c r="F338" s="1078">
        <v>6</v>
      </c>
      <c r="G338" s="1078" t="s">
        <v>1395</v>
      </c>
      <c r="H338" s="992" t="s">
        <v>1537</v>
      </c>
      <c r="I338" s="1077">
        <v>14250000</v>
      </c>
      <c r="J338" s="861"/>
      <c r="K338" s="861"/>
      <c r="L338" s="861"/>
      <c r="M338" s="767">
        <v>20</v>
      </c>
      <c r="N338" s="784" t="s">
        <v>1800</v>
      </c>
      <c r="O338" s="859"/>
      <c r="P338" s="859"/>
      <c r="Q338" s="859"/>
      <c r="R338" s="859"/>
      <c r="S338" s="859"/>
      <c r="T338" s="859"/>
      <c r="U338" s="817">
        <v>33</v>
      </c>
      <c r="V338" s="818" t="s">
        <v>1305</v>
      </c>
      <c r="W338" s="793">
        <v>3301</v>
      </c>
      <c r="X338" s="857" t="s">
        <v>159</v>
      </c>
      <c r="Y338" s="849" t="s">
        <v>2311</v>
      </c>
      <c r="Z338" s="771" t="s">
        <v>2312</v>
      </c>
      <c r="AA338" s="797" t="s">
        <v>2327</v>
      </c>
      <c r="AB338" s="770" t="s">
        <v>756</v>
      </c>
      <c r="AC338" s="1064" t="s">
        <v>758</v>
      </c>
      <c r="AD338" s="770" t="s">
        <v>759</v>
      </c>
      <c r="AE338" s="965">
        <v>91119</v>
      </c>
      <c r="AF338" s="740" t="s">
        <v>1389</v>
      </c>
      <c r="AG338" s="845"/>
      <c r="AH338" s="740" t="str">
        <f t="shared" si="11"/>
        <v>2.3.2.02.02.009.3301051.91119</v>
      </c>
      <c r="AI338" s="1231"/>
    </row>
    <row r="339" spans="1:42" s="11" customFormat="1" ht="117" hidden="1" customHeight="1" x14ac:dyDescent="0.2">
      <c r="A339" s="931">
        <v>316</v>
      </c>
      <c r="B339" s="882" t="s">
        <v>1475</v>
      </c>
      <c r="C339" s="793">
        <v>1</v>
      </c>
      <c r="D339" s="791" t="s">
        <v>1412</v>
      </c>
      <c r="E339" s="1150" t="s">
        <v>1540</v>
      </c>
      <c r="F339" s="792">
        <v>6</v>
      </c>
      <c r="G339" s="792" t="s">
        <v>1395</v>
      </c>
      <c r="H339" s="992" t="s">
        <v>1537</v>
      </c>
      <c r="I339" s="1077">
        <v>20000000</v>
      </c>
      <c r="J339" s="861"/>
      <c r="K339" s="861"/>
      <c r="L339" s="861"/>
      <c r="M339" s="767">
        <v>20</v>
      </c>
      <c r="N339" s="784" t="s">
        <v>1800</v>
      </c>
      <c r="O339" s="859"/>
      <c r="P339" s="859"/>
      <c r="Q339" s="859"/>
      <c r="R339" s="859"/>
      <c r="S339" s="859"/>
      <c r="T339" s="859"/>
      <c r="U339" s="817">
        <v>41</v>
      </c>
      <c r="V339" s="817" t="s">
        <v>1477</v>
      </c>
      <c r="W339" s="793">
        <v>4102</v>
      </c>
      <c r="X339" s="857" t="s">
        <v>761</v>
      </c>
      <c r="Y339" s="793">
        <v>41022</v>
      </c>
      <c r="Z339" s="791" t="s">
        <v>2313</v>
      </c>
      <c r="AA339" s="801" t="s">
        <v>2328</v>
      </c>
      <c r="AB339" s="770" t="s">
        <v>763</v>
      </c>
      <c r="AC339" s="846" t="s">
        <v>765</v>
      </c>
      <c r="AD339" s="770" t="s">
        <v>766</v>
      </c>
      <c r="AE339" s="965">
        <v>91119</v>
      </c>
      <c r="AF339" s="740" t="s">
        <v>1389</v>
      </c>
      <c r="AG339" s="845"/>
      <c r="AH339" s="740" t="str">
        <f t="shared" si="11"/>
        <v>2.3.2.02.02.009.4102035.91119</v>
      </c>
      <c r="AI339" s="1232"/>
      <c r="AJ339" s="18"/>
      <c r="AK339" s="18"/>
      <c r="AL339" s="18"/>
      <c r="AM339" s="18"/>
      <c r="AN339" s="18"/>
      <c r="AO339" s="18"/>
      <c r="AP339" s="18"/>
    </row>
    <row r="340" spans="1:42" s="11" customFormat="1" ht="136.5" hidden="1" customHeight="1" x14ac:dyDescent="0.2">
      <c r="A340" s="931">
        <v>316</v>
      </c>
      <c r="B340" s="882" t="s">
        <v>1475</v>
      </c>
      <c r="C340" s="793">
        <v>1</v>
      </c>
      <c r="D340" s="791" t="s">
        <v>1412</v>
      </c>
      <c r="E340" s="1150" t="s">
        <v>1540</v>
      </c>
      <c r="F340" s="792">
        <v>6</v>
      </c>
      <c r="G340" s="792" t="s">
        <v>1395</v>
      </c>
      <c r="H340" s="992" t="s">
        <v>1537</v>
      </c>
      <c r="I340" s="1077">
        <v>50000000</v>
      </c>
      <c r="J340" s="861"/>
      <c r="K340" s="861"/>
      <c r="L340" s="861"/>
      <c r="M340" s="767">
        <v>20</v>
      </c>
      <c r="N340" s="784" t="s">
        <v>1800</v>
      </c>
      <c r="O340" s="859"/>
      <c r="P340" s="859"/>
      <c r="Q340" s="859"/>
      <c r="R340" s="859"/>
      <c r="S340" s="859"/>
      <c r="T340" s="859"/>
      <c r="U340" s="817">
        <v>41</v>
      </c>
      <c r="V340" s="817" t="s">
        <v>1477</v>
      </c>
      <c r="W340" s="763">
        <v>4102</v>
      </c>
      <c r="X340" s="804" t="s">
        <v>761</v>
      </c>
      <c r="Y340" s="1064" t="s">
        <v>1942</v>
      </c>
      <c r="Z340" s="791" t="s">
        <v>1478</v>
      </c>
      <c r="AA340" s="255" t="s">
        <v>2329</v>
      </c>
      <c r="AB340" s="770" t="s">
        <v>769</v>
      </c>
      <c r="AC340" s="846" t="s">
        <v>765</v>
      </c>
      <c r="AD340" s="770" t="s">
        <v>766</v>
      </c>
      <c r="AE340" s="965">
        <v>91119</v>
      </c>
      <c r="AF340" s="740" t="s">
        <v>1389</v>
      </c>
      <c r="AG340" s="845"/>
      <c r="AH340" s="740" t="str">
        <f t="shared" si="11"/>
        <v>2.3.2.02.02.009.4102001.91119</v>
      </c>
      <c r="AI340" s="1232"/>
      <c r="AJ340" s="18"/>
      <c r="AK340" s="18"/>
      <c r="AL340" s="18"/>
      <c r="AM340" s="18"/>
      <c r="AN340" s="18"/>
      <c r="AO340" s="18"/>
      <c r="AP340" s="18"/>
    </row>
    <row r="341" spans="1:42" s="11" customFormat="1" ht="250.5" hidden="1" customHeight="1" x14ac:dyDescent="0.2">
      <c r="A341" s="931">
        <v>316</v>
      </c>
      <c r="B341" s="882" t="s">
        <v>1475</v>
      </c>
      <c r="C341" s="793">
        <v>1</v>
      </c>
      <c r="D341" s="791" t="s">
        <v>1412</v>
      </c>
      <c r="E341" s="1150" t="s">
        <v>1540</v>
      </c>
      <c r="F341" s="792">
        <v>6</v>
      </c>
      <c r="G341" s="792" t="s">
        <v>1395</v>
      </c>
      <c r="H341" s="992" t="s">
        <v>1537</v>
      </c>
      <c r="I341" s="1077">
        <v>125000000</v>
      </c>
      <c r="J341" s="861"/>
      <c r="K341" s="861"/>
      <c r="L341" s="861"/>
      <c r="M341" s="767">
        <v>20</v>
      </c>
      <c r="N341" s="784" t="s">
        <v>1800</v>
      </c>
      <c r="O341" s="859"/>
      <c r="P341" s="859"/>
      <c r="Q341" s="859"/>
      <c r="R341" s="859"/>
      <c r="S341" s="859"/>
      <c r="T341" s="859"/>
      <c r="U341" s="817">
        <v>41</v>
      </c>
      <c r="V341" s="817" t="s">
        <v>1477</v>
      </c>
      <c r="W341" s="793">
        <v>4102</v>
      </c>
      <c r="X341" s="713" t="s">
        <v>761</v>
      </c>
      <c r="Y341" s="1064" t="s">
        <v>1942</v>
      </c>
      <c r="Z341" s="791" t="s">
        <v>1478</v>
      </c>
      <c r="AA341" s="255" t="s">
        <v>2330</v>
      </c>
      <c r="AB341" s="770" t="s">
        <v>772</v>
      </c>
      <c r="AC341" s="1064" t="s">
        <v>774</v>
      </c>
      <c r="AD341" s="770" t="s">
        <v>775</v>
      </c>
      <c r="AE341" s="965">
        <v>91119</v>
      </c>
      <c r="AF341" s="740" t="s">
        <v>1389</v>
      </c>
      <c r="AG341" s="845"/>
      <c r="AH341" s="740" t="str">
        <f t="shared" si="11"/>
        <v>2.3.2.02.02.009.4102040.91119</v>
      </c>
      <c r="AI341" s="1232"/>
      <c r="AJ341" s="18"/>
      <c r="AK341" s="18"/>
      <c r="AL341" s="18"/>
      <c r="AM341" s="18"/>
      <c r="AN341" s="18"/>
      <c r="AO341" s="18"/>
      <c r="AP341" s="18"/>
    </row>
    <row r="342" spans="1:42" s="18" customFormat="1" ht="147.75" hidden="1" customHeight="1" x14ac:dyDescent="0.2">
      <c r="A342" s="931">
        <v>316</v>
      </c>
      <c r="B342" s="1014" t="s">
        <v>1475</v>
      </c>
      <c r="C342" s="792">
        <v>1</v>
      </c>
      <c r="D342" s="702" t="s">
        <v>1412</v>
      </c>
      <c r="E342" s="1147" t="s">
        <v>2341</v>
      </c>
      <c r="F342" s="792">
        <v>6</v>
      </c>
      <c r="G342" s="792" t="s">
        <v>1395</v>
      </c>
      <c r="H342" s="1076" t="s">
        <v>1950</v>
      </c>
      <c r="I342" s="1077">
        <v>5000000</v>
      </c>
      <c r="J342" s="997"/>
      <c r="K342" s="997"/>
      <c r="L342" s="997"/>
      <c r="M342" s="961">
        <v>20</v>
      </c>
      <c r="N342" s="997" t="s">
        <v>1800</v>
      </c>
      <c r="O342" s="1012"/>
      <c r="P342" s="1012"/>
      <c r="Q342" s="1012"/>
      <c r="R342" s="1012"/>
      <c r="S342" s="1012"/>
      <c r="T342" s="1012"/>
      <c r="U342" s="1262">
        <v>41</v>
      </c>
      <c r="V342" s="1262" t="s">
        <v>1477</v>
      </c>
      <c r="W342" s="792">
        <v>4102</v>
      </c>
      <c r="X342" s="842" t="s">
        <v>761</v>
      </c>
      <c r="Y342" s="996" t="s">
        <v>1942</v>
      </c>
      <c r="Z342" s="702" t="s">
        <v>1478</v>
      </c>
      <c r="AA342" s="1191" t="s">
        <v>2330</v>
      </c>
      <c r="AB342" s="842" t="s">
        <v>772</v>
      </c>
      <c r="AC342" s="996" t="s">
        <v>774</v>
      </c>
      <c r="AD342" s="842" t="s">
        <v>775</v>
      </c>
      <c r="AE342" s="965">
        <v>23999</v>
      </c>
      <c r="AF342" s="740" t="s">
        <v>1951</v>
      </c>
      <c r="AG342" s="874"/>
      <c r="AH342" s="740" t="str">
        <f t="shared" si="11"/>
        <v>2.3.2.02.01.002.4102040.23999</v>
      </c>
      <c r="AI342" s="1231"/>
    </row>
    <row r="343" spans="1:42" s="18" customFormat="1" ht="263.25" hidden="1" customHeight="1" x14ac:dyDescent="0.2">
      <c r="A343" s="931">
        <v>316</v>
      </c>
      <c r="B343" s="1014" t="s">
        <v>1475</v>
      </c>
      <c r="C343" s="792">
        <v>1</v>
      </c>
      <c r="D343" s="702" t="s">
        <v>1412</v>
      </c>
      <c r="E343" s="1000" t="s">
        <v>1596</v>
      </c>
      <c r="F343" s="792">
        <v>6</v>
      </c>
      <c r="G343" s="792" t="s">
        <v>1395</v>
      </c>
      <c r="H343" s="992" t="s">
        <v>1599</v>
      </c>
      <c r="I343" s="1077">
        <v>5000000</v>
      </c>
      <c r="J343" s="997"/>
      <c r="K343" s="997"/>
      <c r="L343" s="997"/>
      <c r="M343" s="961">
        <v>20</v>
      </c>
      <c r="N343" s="997" t="s">
        <v>1800</v>
      </c>
      <c r="O343" s="1012"/>
      <c r="P343" s="1012"/>
      <c r="Q343" s="1012"/>
      <c r="R343" s="1012"/>
      <c r="S343" s="1012"/>
      <c r="T343" s="1012"/>
      <c r="U343" s="1262">
        <v>41</v>
      </c>
      <c r="V343" s="1262" t="s">
        <v>1477</v>
      </c>
      <c r="W343" s="792">
        <v>4102</v>
      </c>
      <c r="X343" s="842" t="s">
        <v>761</v>
      </c>
      <c r="Y343" s="996" t="s">
        <v>1942</v>
      </c>
      <c r="Z343" s="702" t="s">
        <v>1478</v>
      </c>
      <c r="AA343" s="826" t="s">
        <v>2330</v>
      </c>
      <c r="AB343" s="842" t="s">
        <v>772</v>
      </c>
      <c r="AC343" s="996" t="s">
        <v>774</v>
      </c>
      <c r="AD343" s="842" t="s">
        <v>775</v>
      </c>
      <c r="AE343" s="965">
        <v>32690</v>
      </c>
      <c r="AF343" s="740" t="s">
        <v>1594</v>
      </c>
      <c r="AG343" s="874"/>
      <c r="AH343" s="740" t="str">
        <f t="shared" si="11"/>
        <v>2.3.2.02.01.003.4102040.32690</v>
      </c>
      <c r="AI343" s="1224" t="s">
        <v>1479</v>
      </c>
    </row>
    <row r="344" spans="1:42" s="11" customFormat="1" ht="186.75" hidden="1" customHeight="1" x14ac:dyDescent="0.2">
      <c r="A344" s="931">
        <v>316</v>
      </c>
      <c r="B344" s="882" t="s">
        <v>1475</v>
      </c>
      <c r="C344" s="793">
        <v>1</v>
      </c>
      <c r="D344" s="791" t="s">
        <v>1412</v>
      </c>
      <c r="E344" s="1000" t="s">
        <v>1540</v>
      </c>
      <c r="F344" s="792">
        <v>6</v>
      </c>
      <c r="G344" s="792" t="s">
        <v>1395</v>
      </c>
      <c r="H344" s="992" t="s">
        <v>1537</v>
      </c>
      <c r="I344" s="1077">
        <v>190000000</v>
      </c>
      <c r="J344" s="832"/>
      <c r="K344" s="832"/>
      <c r="L344" s="832"/>
      <c r="M344" s="767">
        <v>20</v>
      </c>
      <c r="N344" s="784" t="s">
        <v>1800</v>
      </c>
      <c r="O344" s="859"/>
      <c r="P344" s="859"/>
      <c r="Q344" s="859"/>
      <c r="R344" s="859"/>
      <c r="S344" s="859"/>
      <c r="T344" s="859"/>
      <c r="U344" s="817">
        <v>41</v>
      </c>
      <c r="V344" s="817" t="s">
        <v>1477</v>
      </c>
      <c r="W344" s="793">
        <v>4102</v>
      </c>
      <c r="X344" s="857" t="s">
        <v>761</v>
      </c>
      <c r="Y344" s="849" t="s">
        <v>1942</v>
      </c>
      <c r="Z344" s="791" t="s">
        <v>1478</v>
      </c>
      <c r="AA344" s="826" t="s">
        <v>2328</v>
      </c>
      <c r="AB344" s="770" t="s">
        <v>778</v>
      </c>
      <c r="AC344" s="1064" t="s">
        <v>780</v>
      </c>
      <c r="AD344" s="770" t="s">
        <v>781</v>
      </c>
      <c r="AE344" s="965">
        <v>91119</v>
      </c>
      <c r="AF344" s="740" t="s">
        <v>1389</v>
      </c>
      <c r="AG344" s="845"/>
      <c r="AH344" s="740" t="str">
        <f t="shared" si="11"/>
        <v>2.3.2.02.02.009.4102035.91119</v>
      </c>
      <c r="AI344" s="1232"/>
      <c r="AJ344" s="18"/>
      <c r="AK344" s="18"/>
      <c r="AL344" s="18"/>
      <c r="AM344" s="18"/>
      <c r="AN344" s="18"/>
      <c r="AO344" s="18"/>
      <c r="AP344" s="18"/>
    </row>
    <row r="345" spans="1:42" s="18" customFormat="1" ht="170.25" hidden="1" customHeight="1" x14ac:dyDescent="0.2">
      <c r="A345" s="931">
        <v>316</v>
      </c>
      <c r="B345" s="1014" t="s">
        <v>1475</v>
      </c>
      <c r="C345" s="792">
        <v>1</v>
      </c>
      <c r="D345" s="702" t="s">
        <v>1412</v>
      </c>
      <c r="E345" s="1000" t="s">
        <v>2341</v>
      </c>
      <c r="F345" s="792">
        <v>6</v>
      </c>
      <c r="G345" s="792" t="s">
        <v>1395</v>
      </c>
      <c r="H345" s="1076" t="s">
        <v>1950</v>
      </c>
      <c r="I345" s="1077">
        <v>25000000</v>
      </c>
      <c r="J345" s="998"/>
      <c r="K345" s="998"/>
      <c r="L345" s="998"/>
      <c r="M345" s="961">
        <v>20</v>
      </c>
      <c r="N345" s="997" t="s">
        <v>1800</v>
      </c>
      <c r="O345" s="1012"/>
      <c r="P345" s="1012"/>
      <c r="Q345" s="1012"/>
      <c r="R345" s="1012"/>
      <c r="S345" s="1012"/>
      <c r="T345" s="1012"/>
      <c r="U345" s="1262">
        <v>41</v>
      </c>
      <c r="V345" s="1262" t="s">
        <v>1477</v>
      </c>
      <c r="W345" s="792">
        <v>4102</v>
      </c>
      <c r="X345" s="819" t="s">
        <v>761</v>
      </c>
      <c r="Y345" s="996" t="s">
        <v>1942</v>
      </c>
      <c r="Z345" s="702" t="s">
        <v>1478</v>
      </c>
      <c r="AA345" s="1191" t="s">
        <v>2328</v>
      </c>
      <c r="AB345" s="842" t="s">
        <v>778</v>
      </c>
      <c r="AC345" s="996" t="s">
        <v>780</v>
      </c>
      <c r="AD345" s="842" t="s">
        <v>781</v>
      </c>
      <c r="AE345" s="965">
        <v>23999</v>
      </c>
      <c r="AF345" s="740" t="s">
        <v>1951</v>
      </c>
      <c r="AG345" s="874"/>
      <c r="AH345" s="740" t="str">
        <f t="shared" si="11"/>
        <v>2.3.2.02.01.002.4102035.23999</v>
      </c>
      <c r="AI345" s="1231"/>
    </row>
    <row r="346" spans="1:42" s="18" customFormat="1" ht="312" hidden="1" customHeight="1" x14ac:dyDescent="0.2">
      <c r="A346" s="931">
        <v>316</v>
      </c>
      <c r="B346" s="1014" t="s">
        <v>1475</v>
      </c>
      <c r="C346" s="792">
        <v>1</v>
      </c>
      <c r="D346" s="702" t="s">
        <v>1412</v>
      </c>
      <c r="E346" s="1000" t="s">
        <v>1596</v>
      </c>
      <c r="F346" s="792">
        <v>6</v>
      </c>
      <c r="G346" s="792" t="s">
        <v>1395</v>
      </c>
      <c r="H346" s="992" t="s">
        <v>1599</v>
      </c>
      <c r="I346" s="1077">
        <v>25000000</v>
      </c>
      <c r="J346" s="998"/>
      <c r="K346" s="998"/>
      <c r="L346" s="998"/>
      <c r="M346" s="961">
        <v>20</v>
      </c>
      <c r="N346" s="997" t="s">
        <v>1800</v>
      </c>
      <c r="O346" s="1012"/>
      <c r="P346" s="1012"/>
      <c r="Q346" s="1012"/>
      <c r="R346" s="1012"/>
      <c r="S346" s="1012"/>
      <c r="T346" s="1012"/>
      <c r="U346" s="1262">
        <v>41</v>
      </c>
      <c r="V346" s="1262" t="s">
        <v>1477</v>
      </c>
      <c r="W346" s="792">
        <v>4102</v>
      </c>
      <c r="X346" s="819" t="s">
        <v>761</v>
      </c>
      <c r="Y346" s="996" t="s">
        <v>1942</v>
      </c>
      <c r="Z346" s="702" t="s">
        <v>1478</v>
      </c>
      <c r="AA346" s="1191" t="s">
        <v>2328</v>
      </c>
      <c r="AB346" s="842" t="s">
        <v>778</v>
      </c>
      <c r="AC346" s="996" t="s">
        <v>780</v>
      </c>
      <c r="AD346" s="842" t="s">
        <v>781</v>
      </c>
      <c r="AE346" s="965">
        <v>32690</v>
      </c>
      <c r="AF346" s="740" t="s">
        <v>1594</v>
      </c>
      <c r="AG346" s="874"/>
      <c r="AH346" s="740" t="str">
        <f t="shared" si="11"/>
        <v>2.3.2.02.01.003.4102035.32690</v>
      </c>
      <c r="AI346" s="1231"/>
    </row>
    <row r="347" spans="1:42" s="11" customFormat="1" ht="312" hidden="1" customHeight="1" x14ac:dyDescent="0.2">
      <c r="A347" s="931">
        <v>316</v>
      </c>
      <c r="B347" s="882" t="s">
        <v>1475</v>
      </c>
      <c r="C347" s="793">
        <v>1</v>
      </c>
      <c r="D347" s="791" t="s">
        <v>1412</v>
      </c>
      <c r="E347" s="1000" t="s">
        <v>1540</v>
      </c>
      <c r="F347" s="792">
        <v>6</v>
      </c>
      <c r="G347" s="792" t="s">
        <v>1395</v>
      </c>
      <c r="H347" s="992" t="s">
        <v>1537</v>
      </c>
      <c r="I347" s="1077">
        <v>150000000</v>
      </c>
      <c r="J347" s="832"/>
      <c r="K347" s="832"/>
      <c r="L347" s="832"/>
      <c r="M347" s="767">
        <v>20</v>
      </c>
      <c r="N347" s="784" t="s">
        <v>1800</v>
      </c>
      <c r="O347" s="859"/>
      <c r="P347" s="859"/>
      <c r="Q347" s="859"/>
      <c r="R347" s="859"/>
      <c r="S347" s="859"/>
      <c r="T347" s="859"/>
      <c r="U347" s="817">
        <v>41</v>
      </c>
      <c r="V347" s="817" t="s">
        <v>1477</v>
      </c>
      <c r="W347" s="793">
        <v>4102</v>
      </c>
      <c r="X347" s="857" t="s">
        <v>761</v>
      </c>
      <c r="Y347" s="849" t="s">
        <v>1942</v>
      </c>
      <c r="Z347" s="791" t="s">
        <v>1480</v>
      </c>
      <c r="AA347" s="1263" t="s">
        <v>2330</v>
      </c>
      <c r="AB347" s="1065" t="s">
        <v>784</v>
      </c>
      <c r="AC347" s="1064" t="s">
        <v>786</v>
      </c>
      <c r="AD347" s="770" t="s">
        <v>787</v>
      </c>
      <c r="AE347" s="965">
        <v>91119</v>
      </c>
      <c r="AF347" s="740" t="s">
        <v>1389</v>
      </c>
      <c r="AG347" s="845"/>
      <c r="AH347" s="740" t="str">
        <f t="shared" si="11"/>
        <v>2.3.2.02.02.009.4102040.91119</v>
      </c>
      <c r="AI347" s="1232"/>
      <c r="AJ347" s="18"/>
      <c r="AK347" s="18"/>
      <c r="AL347" s="18"/>
      <c r="AM347" s="18"/>
      <c r="AN347" s="18"/>
      <c r="AO347" s="18"/>
      <c r="AP347" s="18"/>
    </row>
    <row r="348" spans="1:42" s="18" customFormat="1" ht="213" hidden="1" customHeight="1" x14ac:dyDescent="0.2">
      <c r="A348" s="931">
        <v>316</v>
      </c>
      <c r="B348" s="1014" t="s">
        <v>1475</v>
      </c>
      <c r="C348" s="792">
        <v>1</v>
      </c>
      <c r="D348" s="702" t="s">
        <v>1412</v>
      </c>
      <c r="E348" s="1000" t="s">
        <v>2341</v>
      </c>
      <c r="F348" s="792">
        <v>6</v>
      </c>
      <c r="G348" s="792" t="s">
        <v>1395</v>
      </c>
      <c r="H348" s="1076" t="s">
        <v>1950</v>
      </c>
      <c r="I348" s="1077">
        <v>40000000</v>
      </c>
      <c r="J348" s="998"/>
      <c r="K348" s="998"/>
      <c r="L348" s="998"/>
      <c r="M348" s="961">
        <v>20</v>
      </c>
      <c r="N348" s="997" t="s">
        <v>1800</v>
      </c>
      <c r="O348" s="1262">
        <v>41</v>
      </c>
      <c r="P348" s="1262" t="s">
        <v>1477</v>
      </c>
      <c r="Q348" s="792">
        <v>4102</v>
      </c>
      <c r="R348" s="1012"/>
      <c r="S348" s="1012"/>
      <c r="T348" s="1012"/>
      <c r="U348" s="1262">
        <v>41</v>
      </c>
      <c r="V348" s="1262" t="s">
        <v>1477</v>
      </c>
      <c r="W348" s="792">
        <v>4102</v>
      </c>
      <c r="X348" s="819" t="s">
        <v>761</v>
      </c>
      <c r="Y348" s="996" t="s">
        <v>1942</v>
      </c>
      <c r="Z348" s="702" t="s">
        <v>1480</v>
      </c>
      <c r="AA348" s="1191" t="s">
        <v>2330</v>
      </c>
      <c r="AB348" s="1007" t="s">
        <v>784</v>
      </c>
      <c r="AC348" s="996" t="s">
        <v>786</v>
      </c>
      <c r="AD348" s="842" t="s">
        <v>787</v>
      </c>
      <c r="AE348" s="965">
        <v>23999</v>
      </c>
      <c r="AF348" s="740" t="s">
        <v>1951</v>
      </c>
      <c r="AG348" s="874"/>
      <c r="AH348" s="740" t="str">
        <f t="shared" si="11"/>
        <v>2.3.2.02.01.002.4102040.23999</v>
      </c>
      <c r="AI348" s="1224" t="s">
        <v>1481</v>
      </c>
    </row>
    <row r="349" spans="1:42" s="18" customFormat="1" ht="213" hidden="1" customHeight="1" x14ac:dyDescent="0.2">
      <c r="A349" s="931">
        <v>316</v>
      </c>
      <c r="B349" s="1014" t="s">
        <v>1475</v>
      </c>
      <c r="C349" s="792">
        <v>1</v>
      </c>
      <c r="D349" s="702" t="s">
        <v>1412</v>
      </c>
      <c r="E349" s="1000" t="s">
        <v>1596</v>
      </c>
      <c r="F349" s="792">
        <v>6</v>
      </c>
      <c r="G349" s="792" t="s">
        <v>1395</v>
      </c>
      <c r="H349" s="992" t="s">
        <v>1599</v>
      </c>
      <c r="I349" s="1077">
        <v>20000000</v>
      </c>
      <c r="J349" s="998"/>
      <c r="K349" s="998"/>
      <c r="L349" s="998"/>
      <c r="M349" s="961">
        <v>20</v>
      </c>
      <c r="N349" s="997" t="s">
        <v>1800</v>
      </c>
      <c r="O349" s="1012"/>
      <c r="P349" s="1012"/>
      <c r="Q349" s="1012"/>
      <c r="R349" s="1012"/>
      <c r="S349" s="1012"/>
      <c r="T349" s="1012"/>
      <c r="U349" s="1262">
        <v>41</v>
      </c>
      <c r="V349" s="1262" t="s">
        <v>1477</v>
      </c>
      <c r="W349" s="792">
        <v>4102</v>
      </c>
      <c r="X349" s="819" t="s">
        <v>761</v>
      </c>
      <c r="Y349" s="996" t="s">
        <v>1942</v>
      </c>
      <c r="Z349" s="702" t="s">
        <v>1480</v>
      </c>
      <c r="AA349" s="1191" t="s">
        <v>2330</v>
      </c>
      <c r="AB349" s="1007" t="s">
        <v>784</v>
      </c>
      <c r="AC349" s="996" t="s">
        <v>786</v>
      </c>
      <c r="AD349" s="842" t="s">
        <v>787</v>
      </c>
      <c r="AE349" s="965">
        <v>32690</v>
      </c>
      <c r="AF349" s="740" t="s">
        <v>1594</v>
      </c>
      <c r="AG349" s="874"/>
      <c r="AH349" s="740" t="str">
        <f t="shared" si="11"/>
        <v>2.3.2.02.01.003.4102040.32690</v>
      </c>
      <c r="AI349" s="1224" t="s">
        <v>1481</v>
      </c>
    </row>
    <row r="350" spans="1:42" s="11" customFormat="1" ht="252" hidden="1" customHeight="1" x14ac:dyDescent="0.2">
      <c r="A350" s="931">
        <v>316</v>
      </c>
      <c r="B350" s="882" t="s">
        <v>1475</v>
      </c>
      <c r="C350" s="793">
        <v>1</v>
      </c>
      <c r="D350" s="791" t="s">
        <v>1412</v>
      </c>
      <c r="E350" s="1000" t="s">
        <v>1540</v>
      </c>
      <c r="F350" s="792">
        <v>6</v>
      </c>
      <c r="G350" s="792" t="s">
        <v>1395</v>
      </c>
      <c r="H350" s="992" t="s">
        <v>1537</v>
      </c>
      <c r="I350" s="1077">
        <v>10000000</v>
      </c>
      <c r="J350" s="832"/>
      <c r="K350" s="832"/>
      <c r="L350" s="832"/>
      <c r="M350" s="767">
        <v>20</v>
      </c>
      <c r="N350" s="784" t="s">
        <v>1800</v>
      </c>
      <c r="O350" s="859"/>
      <c r="P350" s="859"/>
      <c r="Q350" s="859"/>
      <c r="R350" s="859"/>
      <c r="S350" s="859"/>
      <c r="T350" s="859"/>
      <c r="U350" s="817">
        <v>41</v>
      </c>
      <c r="V350" s="817" t="s">
        <v>1477</v>
      </c>
      <c r="W350" s="793">
        <v>4102</v>
      </c>
      <c r="X350" s="857" t="s">
        <v>761</v>
      </c>
      <c r="Y350" s="849" t="s">
        <v>1942</v>
      </c>
      <c r="Z350" s="791" t="s">
        <v>1482</v>
      </c>
      <c r="AA350" s="1418" t="s">
        <v>137</v>
      </c>
      <c r="AB350" s="770" t="s">
        <v>790</v>
      </c>
      <c r="AC350" s="1064" t="s">
        <v>792</v>
      </c>
      <c r="AD350" s="886" t="s">
        <v>793</v>
      </c>
      <c r="AE350" s="965">
        <v>91119</v>
      </c>
      <c r="AF350" s="740" t="s">
        <v>1389</v>
      </c>
      <c r="AG350" s="887"/>
      <c r="AH350" s="895" t="str">
        <f t="shared" si="11"/>
        <v>2.3.2.02.02.009.DNP91119</v>
      </c>
      <c r="AI350" s="1234" t="s">
        <v>1483</v>
      </c>
      <c r="AJ350" s="18"/>
      <c r="AK350" s="18"/>
      <c r="AL350" s="18"/>
      <c r="AM350" s="18"/>
      <c r="AN350" s="18"/>
      <c r="AO350" s="18"/>
      <c r="AP350" s="18"/>
    </row>
    <row r="351" spans="1:42" s="11" customFormat="1" ht="198" hidden="1" customHeight="1" x14ac:dyDescent="0.2">
      <c r="A351" s="931">
        <v>316</v>
      </c>
      <c r="B351" s="882" t="s">
        <v>1475</v>
      </c>
      <c r="C351" s="793">
        <v>1</v>
      </c>
      <c r="D351" s="791" t="s">
        <v>1412</v>
      </c>
      <c r="E351" s="1000" t="s">
        <v>1596</v>
      </c>
      <c r="F351" s="792">
        <v>6</v>
      </c>
      <c r="G351" s="792" t="s">
        <v>1395</v>
      </c>
      <c r="H351" s="992" t="s">
        <v>1599</v>
      </c>
      <c r="I351" s="1077">
        <v>8000000</v>
      </c>
      <c r="J351" s="832"/>
      <c r="K351" s="832"/>
      <c r="L351" s="832"/>
      <c r="M351" s="767">
        <v>20</v>
      </c>
      <c r="N351" s="784" t="s">
        <v>1800</v>
      </c>
      <c r="O351" s="859"/>
      <c r="P351" s="859"/>
      <c r="Q351" s="859"/>
      <c r="R351" s="859"/>
      <c r="S351" s="859"/>
      <c r="T351" s="859"/>
      <c r="U351" s="817">
        <v>41</v>
      </c>
      <c r="V351" s="817" t="s">
        <v>1477</v>
      </c>
      <c r="W351" s="793">
        <v>4102</v>
      </c>
      <c r="X351" s="857" t="s">
        <v>761</v>
      </c>
      <c r="Y351" s="849" t="s">
        <v>1942</v>
      </c>
      <c r="Z351" s="791" t="s">
        <v>1482</v>
      </c>
      <c r="AA351" s="1418" t="s">
        <v>137</v>
      </c>
      <c r="AB351" s="770" t="s">
        <v>790</v>
      </c>
      <c r="AC351" s="1064" t="s">
        <v>792</v>
      </c>
      <c r="AD351" s="886" t="s">
        <v>793</v>
      </c>
      <c r="AE351" s="965">
        <v>32690</v>
      </c>
      <c r="AF351" s="740" t="s">
        <v>1594</v>
      </c>
      <c r="AG351" s="887"/>
      <c r="AH351" s="895" t="str">
        <f t="shared" si="11"/>
        <v>2.3.2.02.01.003.DNP32690</v>
      </c>
      <c r="AI351" s="1234" t="s">
        <v>1483</v>
      </c>
      <c r="AJ351" s="18"/>
      <c r="AK351" s="18"/>
      <c r="AL351" s="18"/>
      <c r="AM351" s="18"/>
      <c r="AN351" s="18"/>
      <c r="AO351" s="18"/>
      <c r="AP351" s="18"/>
    </row>
    <row r="352" spans="1:42" s="11" customFormat="1" ht="397.5" hidden="1" customHeight="1" x14ac:dyDescent="0.2">
      <c r="A352" s="931">
        <v>316</v>
      </c>
      <c r="B352" s="882" t="s">
        <v>1475</v>
      </c>
      <c r="C352" s="793">
        <v>1</v>
      </c>
      <c r="D352" s="791" t="s">
        <v>1412</v>
      </c>
      <c r="E352" s="1000" t="s">
        <v>1540</v>
      </c>
      <c r="F352" s="792">
        <v>6</v>
      </c>
      <c r="G352" s="792" t="s">
        <v>1395</v>
      </c>
      <c r="H352" s="992" t="s">
        <v>1537</v>
      </c>
      <c r="I352" s="1077">
        <v>20000000</v>
      </c>
      <c r="J352" s="832"/>
      <c r="K352" s="832"/>
      <c r="L352" s="832"/>
      <c r="M352" s="767">
        <v>20</v>
      </c>
      <c r="N352" s="784" t="s">
        <v>1800</v>
      </c>
      <c r="O352" s="859"/>
      <c r="P352" s="859"/>
      <c r="Q352" s="859"/>
      <c r="R352" s="859"/>
      <c r="S352" s="859"/>
      <c r="T352" s="859"/>
      <c r="U352" s="817">
        <v>41</v>
      </c>
      <c r="V352" s="817" t="s">
        <v>1484</v>
      </c>
      <c r="W352" s="793">
        <v>4102</v>
      </c>
      <c r="X352" s="857" t="s">
        <v>761</v>
      </c>
      <c r="Y352" s="849" t="s">
        <v>1942</v>
      </c>
      <c r="Z352" s="791" t="s">
        <v>1478</v>
      </c>
      <c r="AA352" s="255" t="s">
        <v>2329</v>
      </c>
      <c r="AB352" s="800" t="s">
        <v>796</v>
      </c>
      <c r="AC352" s="846" t="s">
        <v>798</v>
      </c>
      <c r="AD352" s="787" t="s">
        <v>799</v>
      </c>
      <c r="AE352" s="965">
        <v>91119</v>
      </c>
      <c r="AF352" s="740" t="s">
        <v>1389</v>
      </c>
      <c r="AG352" s="888"/>
      <c r="AH352" s="740" t="str">
        <f t="shared" si="11"/>
        <v>2.3.2.02.02.009.4102001.91119</v>
      </c>
      <c r="AI352" s="1235" t="s">
        <v>1485</v>
      </c>
      <c r="AJ352" s="18"/>
      <c r="AK352" s="18"/>
      <c r="AL352" s="18"/>
      <c r="AM352" s="18"/>
      <c r="AN352" s="18"/>
      <c r="AO352" s="18"/>
      <c r="AP352" s="18"/>
    </row>
    <row r="353" spans="1:42" s="11" customFormat="1" ht="409.5" hidden="1" customHeight="1" x14ac:dyDescent="0.2">
      <c r="A353" s="931">
        <v>316</v>
      </c>
      <c r="B353" s="882" t="s">
        <v>1475</v>
      </c>
      <c r="C353" s="793">
        <v>1</v>
      </c>
      <c r="D353" s="791" t="s">
        <v>1412</v>
      </c>
      <c r="E353" s="1000" t="s">
        <v>1540</v>
      </c>
      <c r="F353" s="792">
        <v>6</v>
      </c>
      <c r="G353" s="792" t="s">
        <v>1395</v>
      </c>
      <c r="H353" s="992" t="s">
        <v>1537</v>
      </c>
      <c r="I353" s="1077">
        <v>18000000</v>
      </c>
      <c r="J353" s="832"/>
      <c r="K353" s="832"/>
      <c r="L353" s="832"/>
      <c r="M353" s="767">
        <v>20</v>
      </c>
      <c r="N353" s="784" t="s">
        <v>1800</v>
      </c>
      <c r="O353" s="859"/>
      <c r="P353" s="859"/>
      <c r="Q353" s="859"/>
      <c r="R353" s="859"/>
      <c r="S353" s="859"/>
      <c r="T353" s="859"/>
      <c r="U353" s="817">
        <v>41</v>
      </c>
      <c r="V353" s="817" t="s">
        <v>1484</v>
      </c>
      <c r="W353" s="793">
        <v>4102</v>
      </c>
      <c r="X353" s="857" t="s">
        <v>761</v>
      </c>
      <c r="Y353" s="849" t="s">
        <v>1942</v>
      </c>
      <c r="Z353" s="791" t="s">
        <v>1478</v>
      </c>
      <c r="AA353" s="700" t="s">
        <v>2331</v>
      </c>
      <c r="AB353" s="886" t="s">
        <v>802</v>
      </c>
      <c r="AC353" s="846" t="s">
        <v>798</v>
      </c>
      <c r="AD353" s="787" t="s">
        <v>799</v>
      </c>
      <c r="AE353" s="965">
        <v>91119</v>
      </c>
      <c r="AF353" s="740" t="s">
        <v>1389</v>
      </c>
      <c r="AG353" s="888"/>
      <c r="AH353" s="740" t="str">
        <f t="shared" si="11"/>
        <v>2.3.2.02.02.009.4102046.91119</v>
      </c>
      <c r="AI353" s="1232"/>
      <c r="AJ353" s="18"/>
      <c r="AK353" s="18"/>
      <c r="AL353" s="18"/>
      <c r="AM353" s="18"/>
      <c r="AN353" s="18"/>
      <c r="AO353" s="18"/>
      <c r="AP353" s="18"/>
    </row>
    <row r="354" spans="1:42" s="11" customFormat="1" ht="193.5" hidden="1" customHeight="1" x14ac:dyDescent="0.2">
      <c r="A354" s="931">
        <v>316</v>
      </c>
      <c r="B354" s="882" t="s">
        <v>1475</v>
      </c>
      <c r="C354" s="793">
        <v>1</v>
      </c>
      <c r="D354" s="791" t="s">
        <v>1412</v>
      </c>
      <c r="E354" s="1000" t="s">
        <v>1394</v>
      </c>
      <c r="F354" s="792">
        <v>6</v>
      </c>
      <c r="G354" s="792" t="s">
        <v>1395</v>
      </c>
      <c r="H354" s="992" t="s">
        <v>1537</v>
      </c>
      <c r="I354" s="1077">
        <v>37000000</v>
      </c>
      <c r="J354" s="832"/>
      <c r="K354" s="832"/>
      <c r="L354" s="832"/>
      <c r="M354" s="767">
        <v>20</v>
      </c>
      <c r="N354" s="784" t="s">
        <v>1800</v>
      </c>
      <c r="O354" s="859"/>
      <c r="P354" s="859"/>
      <c r="Q354" s="859"/>
      <c r="R354" s="859"/>
      <c r="S354" s="859"/>
      <c r="T354" s="859"/>
      <c r="U354" s="817">
        <v>41</v>
      </c>
      <c r="V354" s="817" t="s">
        <v>1484</v>
      </c>
      <c r="W354" s="793">
        <v>4102</v>
      </c>
      <c r="X354" s="857" t="s">
        <v>761</v>
      </c>
      <c r="Y354" s="849" t="s">
        <v>1942</v>
      </c>
      <c r="Z354" s="791" t="s">
        <v>1478</v>
      </c>
      <c r="AA354" s="793">
        <v>4102038</v>
      </c>
      <c r="AB354" s="770" t="s">
        <v>805</v>
      </c>
      <c r="AC354" s="1064" t="s">
        <v>807</v>
      </c>
      <c r="AD354" s="886" t="s">
        <v>808</v>
      </c>
      <c r="AE354" s="965">
        <v>91119</v>
      </c>
      <c r="AF354" s="740" t="s">
        <v>1389</v>
      </c>
      <c r="AG354" s="889"/>
      <c r="AH354" s="740" t="str">
        <f t="shared" si="11"/>
        <v>2.3.2.02.02.009410203891119</v>
      </c>
      <c r="AI354" s="1232"/>
      <c r="AJ354" s="18"/>
      <c r="AK354" s="18"/>
      <c r="AL354" s="18"/>
      <c r="AM354" s="18"/>
      <c r="AN354" s="18"/>
      <c r="AO354" s="18"/>
      <c r="AP354" s="18"/>
    </row>
    <row r="355" spans="1:42" s="11" customFormat="1" ht="156" hidden="1" customHeight="1" x14ac:dyDescent="0.2">
      <c r="A355" s="931">
        <v>316</v>
      </c>
      <c r="B355" s="882" t="s">
        <v>1475</v>
      </c>
      <c r="C355" s="793">
        <v>1</v>
      </c>
      <c r="D355" s="791" t="s">
        <v>1412</v>
      </c>
      <c r="E355" s="1000" t="s">
        <v>1540</v>
      </c>
      <c r="F355" s="792">
        <v>6</v>
      </c>
      <c r="G355" s="792" t="s">
        <v>1395</v>
      </c>
      <c r="H355" s="992" t="s">
        <v>1537</v>
      </c>
      <c r="I355" s="1077">
        <v>15000000</v>
      </c>
      <c r="J355" s="832"/>
      <c r="K355" s="832"/>
      <c r="L355" s="832"/>
      <c r="M355" s="767">
        <v>20</v>
      </c>
      <c r="N355" s="784" t="s">
        <v>1800</v>
      </c>
      <c r="O355" s="859"/>
      <c r="P355" s="859"/>
      <c r="Q355" s="859"/>
      <c r="R355" s="859"/>
      <c r="S355" s="859"/>
      <c r="T355" s="859"/>
      <c r="U355" s="817">
        <v>41</v>
      </c>
      <c r="V355" s="817" t="s">
        <v>1484</v>
      </c>
      <c r="W355" s="793">
        <v>4103</v>
      </c>
      <c r="X355" s="857" t="s">
        <v>287</v>
      </c>
      <c r="Y355" s="793" t="s">
        <v>1943</v>
      </c>
      <c r="Z355" s="791" t="s">
        <v>1486</v>
      </c>
      <c r="AA355" s="797" t="s">
        <v>2332</v>
      </c>
      <c r="AB355" s="770" t="s">
        <v>811</v>
      </c>
      <c r="AC355" s="1064" t="s">
        <v>813</v>
      </c>
      <c r="AD355" s="783" t="s">
        <v>814</v>
      </c>
      <c r="AE355" s="965">
        <v>91119</v>
      </c>
      <c r="AF355" s="740" t="s">
        <v>1389</v>
      </c>
      <c r="AG355" s="890"/>
      <c r="AH355" s="740" t="str">
        <f t="shared" si="11"/>
        <v>2.3.2.02.02.009.4103059.91119</v>
      </c>
      <c r="AI355" s="1232"/>
      <c r="AJ355" s="18"/>
      <c r="AK355" s="18"/>
      <c r="AL355" s="18"/>
      <c r="AM355" s="18"/>
      <c r="AN355" s="18"/>
      <c r="AO355" s="18"/>
      <c r="AP355" s="18"/>
    </row>
    <row r="356" spans="1:42" s="11" customFormat="1" ht="165" hidden="1" customHeight="1" x14ac:dyDescent="0.2">
      <c r="A356" s="931">
        <v>316</v>
      </c>
      <c r="B356" s="882" t="s">
        <v>1475</v>
      </c>
      <c r="C356" s="793">
        <v>1</v>
      </c>
      <c r="D356" s="791" t="s">
        <v>1412</v>
      </c>
      <c r="E356" s="1000" t="s">
        <v>1540</v>
      </c>
      <c r="F356" s="792">
        <v>6</v>
      </c>
      <c r="G356" s="792" t="s">
        <v>1395</v>
      </c>
      <c r="H356" s="992" t="s">
        <v>1537</v>
      </c>
      <c r="I356" s="1077">
        <v>20000000</v>
      </c>
      <c r="J356" s="832"/>
      <c r="K356" s="832"/>
      <c r="L356" s="832"/>
      <c r="M356" s="767">
        <v>20</v>
      </c>
      <c r="N356" s="784" t="s">
        <v>1800</v>
      </c>
      <c r="O356" s="859"/>
      <c r="P356" s="859"/>
      <c r="Q356" s="859"/>
      <c r="R356" s="859"/>
      <c r="S356" s="859"/>
      <c r="T356" s="859"/>
      <c r="U356" s="817">
        <v>41</v>
      </c>
      <c r="V356" s="817" t="s">
        <v>1484</v>
      </c>
      <c r="W356" s="793">
        <v>4103</v>
      </c>
      <c r="X356" s="857" t="s">
        <v>287</v>
      </c>
      <c r="Y356" s="793" t="s">
        <v>1943</v>
      </c>
      <c r="Z356" s="791" t="s">
        <v>1486</v>
      </c>
      <c r="AA356" s="891" t="s">
        <v>1611</v>
      </c>
      <c r="AB356" s="1065" t="s">
        <v>817</v>
      </c>
      <c r="AC356" s="1064" t="s">
        <v>819</v>
      </c>
      <c r="AD356" s="783" t="s">
        <v>820</v>
      </c>
      <c r="AE356" s="965">
        <v>91119</v>
      </c>
      <c r="AF356" s="740" t="s">
        <v>1389</v>
      </c>
      <c r="AG356" s="890"/>
      <c r="AH356" s="740" t="str">
        <f t="shared" si="11"/>
        <v>2.3.2.02.02.009.4103052.91119</v>
      </c>
      <c r="AI356" s="1232"/>
      <c r="AJ356" s="18"/>
      <c r="AK356" s="18"/>
      <c r="AL356" s="18"/>
      <c r="AM356" s="18"/>
      <c r="AN356" s="18"/>
      <c r="AO356" s="18"/>
      <c r="AP356" s="18"/>
    </row>
    <row r="357" spans="1:42" s="11" customFormat="1" ht="162.75" hidden="1" customHeight="1" x14ac:dyDescent="0.2">
      <c r="A357" s="931">
        <v>316</v>
      </c>
      <c r="B357" s="882" t="s">
        <v>1475</v>
      </c>
      <c r="C357" s="793">
        <v>1</v>
      </c>
      <c r="D357" s="791" t="s">
        <v>1412</v>
      </c>
      <c r="E357" s="1000" t="s">
        <v>1540</v>
      </c>
      <c r="F357" s="792">
        <v>6</v>
      </c>
      <c r="G357" s="792" t="s">
        <v>1395</v>
      </c>
      <c r="H357" s="992" t="s">
        <v>1537</v>
      </c>
      <c r="I357" s="1077">
        <v>15000000</v>
      </c>
      <c r="J357" s="832"/>
      <c r="K357" s="832"/>
      <c r="L357" s="832"/>
      <c r="M357" s="767">
        <v>20</v>
      </c>
      <c r="N357" s="784" t="s">
        <v>1800</v>
      </c>
      <c r="O357" s="859"/>
      <c r="P357" s="859"/>
      <c r="Q357" s="859"/>
      <c r="R357" s="859"/>
      <c r="S357" s="859"/>
      <c r="T357" s="859"/>
      <c r="U357" s="817">
        <v>41</v>
      </c>
      <c r="V357" s="817" t="s">
        <v>1484</v>
      </c>
      <c r="W357" s="793">
        <v>4103</v>
      </c>
      <c r="X357" s="857" t="s">
        <v>287</v>
      </c>
      <c r="Y357" s="793" t="s">
        <v>1943</v>
      </c>
      <c r="Z357" s="791" t="s">
        <v>1486</v>
      </c>
      <c r="AA357" s="793" t="s">
        <v>2333</v>
      </c>
      <c r="AB357" s="770" t="s">
        <v>822</v>
      </c>
      <c r="AC357" s="1064" t="s">
        <v>824</v>
      </c>
      <c r="AD357" s="783" t="s">
        <v>825</v>
      </c>
      <c r="AE357" s="965">
        <v>91119</v>
      </c>
      <c r="AF357" s="740" t="s">
        <v>1389</v>
      </c>
      <c r="AG357" s="890"/>
      <c r="AH357" s="740" t="str">
        <f t="shared" si="11"/>
        <v>2.3.2.02.02.009.4103050.91119</v>
      </c>
      <c r="AI357" s="1232"/>
      <c r="AJ357" s="18"/>
      <c r="AK357" s="18"/>
      <c r="AL357" s="18"/>
      <c r="AM357" s="18"/>
      <c r="AN357" s="18"/>
      <c r="AO357" s="18"/>
      <c r="AP357" s="18"/>
    </row>
    <row r="358" spans="1:42" s="11" customFormat="1" ht="162.75" hidden="1" customHeight="1" x14ac:dyDescent="0.2">
      <c r="A358" s="931">
        <v>316</v>
      </c>
      <c r="B358" s="882" t="s">
        <v>1475</v>
      </c>
      <c r="C358" s="793">
        <v>1</v>
      </c>
      <c r="D358" s="791" t="s">
        <v>1412</v>
      </c>
      <c r="E358" s="1000" t="s">
        <v>2341</v>
      </c>
      <c r="F358" s="792">
        <v>6</v>
      </c>
      <c r="G358" s="792" t="s">
        <v>1395</v>
      </c>
      <c r="H358" s="1076" t="s">
        <v>1950</v>
      </c>
      <c r="I358" s="1077">
        <v>10000000</v>
      </c>
      <c r="J358" s="832"/>
      <c r="K358" s="832"/>
      <c r="L358" s="832"/>
      <c r="M358" s="767">
        <v>20</v>
      </c>
      <c r="N358" s="784" t="s">
        <v>1800</v>
      </c>
      <c r="O358" s="859"/>
      <c r="P358" s="859"/>
      <c r="Q358" s="859"/>
      <c r="R358" s="859"/>
      <c r="S358" s="859"/>
      <c r="T358" s="859"/>
      <c r="U358" s="817">
        <v>41</v>
      </c>
      <c r="V358" s="817" t="s">
        <v>1484</v>
      </c>
      <c r="W358" s="793">
        <v>4103</v>
      </c>
      <c r="X358" s="857" t="s">
        <v>287</v>
      </c>
      <c r="Y358" s="793" t="s">
        <v>1943</v>
      </c>
      <c r="Z358" s="791" t="s">
        <v>1486</v>
      </c>
      <c r="AA358" s="793" t="s">
        <v>2333</v>
      </c>
      <c r="AB358" s="770" t="s">
        <v>822</v>
      </c>
      <c r="AC358" s="1064" t="s">
        <v>824</v>
      </c>
      <c r="AD358" s="783" t="s">
        <v>825</v>
      </c>
      <c r="AE358" s="965">
        <v>23999</v>
      </c>
      <c r="AF358" s="740" t="s">
        <v>1951</v>
      </c>
      <c r="AG358" s="890"/>
      <c r="AH358" s="740" t="str">
        <f t="shared" si="11"/>
        <v>2.3.2.02.01.002.4103050.23999</v>
      </c>
      <c r="AI358" s="1232"/>
      <c r="AJ358" s="18"/>
      <c r="AK358" s="18"/>
      <c r="AL358" s="18"/>
      <c r="AM358" s="18"/>
      <c r="AN358" s="18"/>
      <c r="AO358" s="18"/>
      <c r="AP358" s="18"/>
    </row>
    <row r="359" spans="1:42" s="11" customFormat="1" ht="134.25" hidden="1" customHeight="1" x14ac:dyDescent="0.2">
      <c r="A359" s="931">
        <v>316</v>
      </c>
      <c r="B359" s="882" t="s">
        <v>1475</v>
      </c>
      <c r="C359" s="793">
        <v>1</v>
      </c>
      <c r="D359" s="791" t="s">
        <v>1412</v>
      </c>
      <c r="E359" s="1000" t="s">
        <v>1540</v>
      </c>
      <c r="F359" s="792">
        <v>6</v>
      </c>
      <c r="G359" s="792" t="s">
        <v>1395</v>
      </c>
      <c r="H359" s="992" t="s">
        <v>1537</v>
      </c>
      <c r="I359" s="1077">
        <v>28000000</v>
      </c>
      <c r="J359" s="832"/>
      <c r="K359" s="832"/>
      <c r="L359" s="832"/>
      <c r="M359" s="767">
        <v>20</v>
      </c>
      <c r="N359" s="784" t="s">
        <v>1800</v>
      </c>
      <c r="O359" s="859"/>
      <c r="P359" s="859"/>
      <c r="Q359" s="859"/>
      <c r="R359" s="859"/>
      <c r="S359" s="859"/>
      <c r="T359" s="859"/>
      <c r="U359" s="817">
        <v>41</v>
      </c>
      <c r="V359" s="817" t="s">
        <v>1484</v>
      </c>
      <c r="W359" s="793">
        <v>4103</v>
      </c>
      <c r="X359" s="857" t="s">
        <v>287</v>
      </c>
      <c r="Y359" s="793" t="s">
        <v>1943</v>
      </c>
      <c r="Z359" s="791" t="s">
        <v>1486</v>
      </c>
      <c r="AA359" s="797" t="s">
        <v>2334</v>
      </c>
      <c r="AB359" s="770" t="s">
        <v>828</v>
      </c>
      <c r="AC359" s="1064" t="s">
        <v>830</v>
      </c>
      <c r="AD359" s="783" t="s">
        <v>831</v>
      </c>
      <c r="AE359" s="965">
        <v>91119</v>
      </c>
      <c r="AF359" s="740" t="s">
        <v>1389</v>
      </c>
      <c r="AG359" s="890"/>
      <c r="AH359" s="740" t="str">
        <f t="shared" si="11"/>
        <v>2.3.2.02.02.009.4103058.91119</v>
      </c>
      <c r="AI359" s="1232"/>
      <c r="AJ359" s="18"/>
      <c r="AK359" s="18"/>
      <c r="AL359" s="18"/>
      <c r="AM359" s="18"/>
      <c r="AN359" s="18"/>
      <c r="AO359" s="18"/>
      <c r="AP359" s="18"/>
    </row>
    <row r="360" spans="1:42" s="11" customFormat="1" ht="189.75" hidden="1" customHeight="1" x14ac:dyDescent="0.2">
      <c r="A360" s="931">
        <v>316</v>
      </c>
      <c r="B360" s="882" t="s">
        <v>1475</v>
      </c>
      <c r="C360" s="793">
        <v>1</v>
      </c>
      <c r="D360" s="791" t="s">
        <v>1412</v>
      </c>
      <c r="E360" s="1000" t="s">
        <v>1540</v>
      </c>
      <c r="F360" s="792">
        <v>6</v>
      </c>
      <c r="G360" s="792" t="s">
        <v>1395</v>
      </c>
      <c r="H360" s="992" t="s">
        <v>1537</v>
      </c>
      <c r="I360" s="1077">
        <v>27000000</v>
      </c>
      <c r="J360" s="832"/>
      <c r="K360" s="832"/>
      <c r="L360" s="832"/>
      <c r="M360" s="767">
        <v>20</v>
      </c>
      <c r="N360" s="784" t="s">
        <v>1800</v>
      </c>
      <c r="O360" s="859"/>
      <c r="P360" s="859"/>
      <c r="Q360" s="859"/>
      <c r="R360" s="859"/>
      <c r="S360" s="859"/>
      <c r="T360" s="859"/>
      <c r="U360" s="817">
        <v>41</v>
      </c>
      <c r="V360" s="817" t="s">
        <v>1484</v>
      </c>
      <c r="W360" s="793">
        <v>4103</v>
      </c>
      <c r="X360" s="857" t="s">
        <v>287</v>
      </c>
      <c r="Y360" s="793" t="s">
        <v>1943</v>
      </c>
      <c r="Z360" s="791" t="s">
        <v>1486</v>
      </c>
      <c r="AA360" s="828" t="s">
        <v>2335</v>
      </c>
      <c r="AB360" s="770" t="s">
        <v>834</v>
      </c>
      <c r="AC360" s="843" t="s">
        <v>836</v>
      </c>
      <c r="AD360" s="783" t="s">
        <v>837</v>
      </c>
      <c r="AE360" s="965">
        <v>91119</v>
      </c>
      <c r="AF360" s="740" t="s">
        <v>1389</v>
      </c>
      <c r="AG360" s="890"/>
      <c r="AH360" s="740" t="str">
        <f t="shared" si="11"/>
        <v>2.3.2.02.02.009.4103060.91119</v>
      </c>
      <c r="AI360" s="1236" t="s">
        <v>1487</v>
      </c>
      <c r="AJ360" s="18"/>
      <c r="AK360" s="18"/>
      <c r="AL360" s="18"/>
      <c r="AM360" s="18"/>
      <c r="AN360" s="18"/>
      <c r="AO360" s="18"/>
      <c r="AP360" s="18"/>
    </row>
    <row r="361" spans="1:42" s="11" customFormat="1" ht="161.25" hidden="1" customHeight="1" x14ac:dyDescent="0.2">
      <c r="A361" s="931">
        <v>316</v>
      </c>
      <c r="B361" s="882" t="s">
        <v>1475</v>
      </c>
      <c r="C361" s="793">
        <v>1</v>
      </c>
      <c r="D361" s="791" t="s">
        <v>1412</v>
      </c>
      <c r="E361" s="1000" t="s">
        <v>1540</v>
      </c>
      <c r="F361" s="792">
        <v>6</v>
      </c>
      <c r="G361" s="792" t="s">
        <v>1395</v>
      </c>
      <c r="H361" s="992" t="s">
        <v>1537</v>
      </c>
      <c r="I361" s="1077">
        <v>20000000</v>
      </c>
      <c r="J361" s="832"/>
      <c r="K361" s="832"/>
      <c r="L361" s="832"/>
      <c r="M361" s="767">
        <v>20</v>
      </c>
      <c r="N361" s="784" t="s">
        <v>1800</v>
      </c>
      <c r="O361" s="859"/>
      <c r="P361" s="859"/>
      <c r="Q361" s="859"/>
      <c r="R361" s="859"/>
      <c r="S361" s="859"/>
      <c r="T361" s="859"/>
      <c r="U361" s="817">
        <v>41</v>
      </c>
      <c r="V361" s="817" t="s">
        <v>1484</v>
      </c>
      <c r="W361" s="793">
        <v>4103</v>
      </c>
      <c r="X361" s="857" t="s">
        <v>287</v>
      </c>
      <c r="Y361" s="793" t="s">
        <v>1943</v>
      </c>
      <c r="Z361" s="791" t="s">
        <v>1486</v>
      </c>
      <c r="AA361" s="828" t="s">
        <v>2335</v>
      </c>
      <c r="AB361" s="770" t="s">
        <v>840</v>
      </c>
      <c r="AC361" s="846" t="s">
        <v>836</v>
      </c>
      <c r="AD361" s="783" t="s">
        <v>837</v>
      </c>
      <c r="AE361" s="965">
        <v>91119</v>
      </c>
      <c r="AF361" s="740" t="s">
        <v>1389</v>
      </c>
      <c r="AG361" s="890"/>
      <c r="AH361" s="740" t="str">
        <f t="shared" si="11"/>
        <v>2.3.2.02.02.009.4103060.91119</v>
      </c>
      <c r="AI361" s="1236" t="s">
        <v>1487</v>
      </c>
      <c r="AJ361" s="18"/>
      <c r="AK361" s="18"/>
      <c r="AL361" s="18"/>
      <c r="AM361" s="18"/>
      <c r="AN361" s="18"/>
      <c r="AO361" s="18"/>
      <c r="AP361" s="18"/>
    </row>
    <row r="362" spans="1:42" s="11" customFormat="1" ht="152.25" hidden="1" customHeight="1" x14ac:dyDescent="0.2">
      <c r="A362" s="931">
        <v>316</v>
      </c>
      <c r="B362" s="882" t="s">
        <v>1475</v>
      </c>
      <c r="C362" s="793">
        <v>1</v>
      </c>
      <c r="D362" s="791" t="s">
        <v>1412</v>
      </c>
      <c r="E362" s="1152" t="s">
        <v>1540</v>
      </c>
      <c r="F362" s="792">
        <v>6</v>
      </c>
      <c r="G362" s="792" t="s">
        <v>1395</v>
      </c>
      <c r="H362" s="992" t="s">
        <v>1537</v>
      </c>
      <c r="I362" s="1077">
        <v>30800000</v>
      </c>
      <c r="J362" s="832"/>
      <c r="K362" s="832"/>
      <c r="L362" s="832"/>
      <c r="M362" s="767">
        <v>20</v>
      </c>
      <c r="N362" s="784" t="s">
        <v>1800</v>
      </c>
      <c r="O362" s="859"/>
      <c r="P362" s="859"/>
      <c r="Q362" s="859"/>
      <c r="R362" s="859"/>
      <c r="S362" s="859"/>
      <c r="T362" s="859"/>
      <c r="U362" s="817">
        <v>41</v>
      </c>
      <c r="V362" s="817" t="s">
        <v>1484</v>
      </c>
      <c r="W362" s="793">
        <v>4103</v>
      </c>
      <c r="X362" s="857" t="s">
        <v>287</v>
      </c>
      <c r="Y362" s="793" t="s">
        <v>1943</v>
      </c>
      <c r="Z362" s="791" t="s">
        <v>1486</v>
      </c>
      <c r="AA362" s="828" t="s">
        <v>2335</v>
      </c>
      <c r="AB362" s="770" t="s">
        <v>843</v>
      </c>
      <c r="AC362" s="1064" t="s">
        <v>845</v>
      </c>
      <c r="AD362" s="783" t="s">
        <v>846</v>
      </c>
      <c r="AE362" s="965">
        <v>91119</v>
      </c>
      <c r="AF362" s="740" t="s">
        <v>1389</v>
      </c>
      <c r="AG362" s="890"/>
      <c r="AH362" s="740" t="str">
        <f t="shared" si="11"/>
        <v>2.3.2.02.02.009.4103060.91119</v>
      </c>
      <c r="AI362" s="1237" t="s">
        <v>1345</v>
      </c>
      <c r="AJ362" s="18"/>
      <c r="AK362" s="18"/>
      <c r="AL362" s="18"/>
      <c r="AM362" s="18"/>
      <c r="AN362" s="18"/>
      <c r="AO362" s="18"/>
      <c r="AP362" s="18"/>
    </row>
    <row r="363" spans="1:42" s="18" customFormat="1" ht="152.25" hidden="1" customHeight="1" x14ac:dyDescent="0.2">
      <c r="A363" s="931">
        <v>316</v>
      </c>
      <c r="B363" s="1014" t="s">
        <v>1475</v>
      </c>
      <c r="C363" s="792">
        <v>1</v>
      </c>
      <c r="D363" s="702" t="s">
        <v>1412</v>
      </c>
      <c r="E363" s="1152" t="s">
        <v>2341</v>
      </c>
      <c r="F363" s="792">
        <v>6</v>
      </c>
      <c r="G363" s="792" t="s">
        <v>1395</v>
      </c>
      <c r="H363" s="1076" t="s">
        <v>1950</v>
      </c>
      <c r="I363" s="1077">
        <v>5200000</v>
      </c>
      <c r="J363" s="998"/>
      <c r="K363" s="998"/>
      <c r="L363" s="998"/>
      <c r="M363" s="961">
        <v>20</v>
      </c>
      <c r="N363" s="997" t="s">
        <v>1800</v>
      </c>
      <c r="O363" s="1012"/>
      <c r="P363" s="1012"/>
      <c r="Q363" s="1012"/>
      <c r="R363" s="1012"/>
      <c r="S363" s="1012"/>
      <c r="T363" s="1012"/>
      <c r="U363" s="1262">
        <v>41</v>
      </c>
      <c r="V363" s="1262" t="s">
        <v>1484</v>
      </c>
      <c r="W363" s="792">
        <v>4103</v>
      </c>
      <c r="X363" s="819" t="s">
        <v>287</v>
      </c>
      <c r="Y363" s="792" t="s">
        <v>1943</v>
      </c>
      <c r="Z363" s="702" t="s">
        <v>1486</v>
      </c>
      <c r="AA363" s="826" t="s">
        <v>2335</v>
      </c>
      <c r="AB363" s="842" t="s">
        <v>843</v>
      </c>
      <c r="AC363" s="996" t="s">
        <v>845</v>
      </c>
      <c r="AD363" s="1019" t="s">
        <v>846</v>
      </c>
      <c r="AE363" s="965">
        <v>23999</v>
      </c>
      <c r="AF363" s="740" t="s">
        <v>1951</v>
      </c>
      <c r="AG363" s="1033"/>
      <c r="AH363" s="740" t="str">
        <f t="shared" si="11"/>
        <v>2.3.2.02.01.002.4103060.23999</v>
      </c>
      <c r="AI363" s="1102" t="s">
        <v>1345</v>
      </c>
    </row>
    <row r="364" spans="1:42" s="18" customFormat="1" ht="187.5" hidden="1" customHeight="1" x14ac:dyDescent="0.2">
      <c r="A364" s="931">
        <v>316</v>
      </c>
      <c r="B364" s="1014" t="s">
        <v>1475</v>
      </c>
      <c r="C364" s="792">
        <v>1</v>
      </c>
      <c r="D364" s="702" t="s">
        <v>1412</v>
      </c>
      <c r="E364" s="1152" t="s">
        <v>1596</v>
      </c>
      <c r="F364" s="792">
        <v>6</v>
      </c>
      <c r="G364" s="792" t="s">
        <v>1395</v>
      </c>
      <c r="H364" s="992" t="s">
        <v>1599</v>
      </c>
      <c r="I364" s="1077">
        <v>4000000</v>
      </c>
      <c r="J364" s="998"/>
      <c r="K364" s="998"/>
      <c r="L364" s="998"/>
      <c r="M364" s="961">
        <v>20</v>
      </c>
      <c r="N364" s="997" t="s">
        <v>1800</v>
      </c>
      <c r="O364" s="1012"/>
      <c r="P364" s="1012"/>
      <c r="Q364" s="1012"/>
      <c r="R364" s="1012"/>
      <c r="S364" s="1012"/>
      <c r="T364" s="1012"/>
      <c r="U364" s="1262">
        <v>41</v>
      </c>
      <c r="V364" s="1262" t="s">
        <v>1484</v>
      </c>
      <c r="W364" s="792">
        <v>4103</v>
      </c>
      <c r="X364" s="819" t="s">
        <v>287</v>
      </c>
      <c r="Y364" s="792" t="s">
        <v>1943</v>
      </c>
      <c r="Z364" s="702" t="s">
        <v>1486</v>
      </c>
      <c r="AA364" s="826" t="s">
        <v>2335</v>
      </c>
      <c r="AB364" s="842" t="s">
        <v>843</v>
      </c>
      <c r="AC364" s="996" t="s">
        <v>845</v>
      </c>
      <c r="AD364" s="1019" t="s">
        <v>846</v>
      </c>
      <c r="AE364" s="965">
        <v>32690</v>
      </c>
      <c r="AF364" s="740" t="s">
        <v>1594</v>
      </c>
      <c r="AG364" s="1033"/>
      <c r="AH364" s="740" t="str">
        <f t="shared" si="11"/>
        <v>2.3.2.02.01.003.4103060.32690</v>
      </c>
      <c r="AI364" s="1231"/>
    </row>
    <row r="365" spans="1:42" s="11" customFormat="1" ht="162.75" hidden="1" customHeight="1" x14ac:dyDescent="0.2">
      <c r="A365" s="931">
        <v>316</v>
      </c>
      <c r="B365" s="882" t="s">
        <v>1475</v>
      </c>
      <c r="C365" s="793">
        <v>1</v>
      </c>
      <c r="D365" s="791" t="s">
        <v>1412</v>
      </c>
      <c r="E365" s="1000" t="s">
        <v>1540</v>
      </c>
      <c r="F365" s="792">
        <v>6</v>
      </c>
      <c r="G365" s="792" t="s">
        <v>1395</v>
      </c>
      <c r="H365" s="992" t="s">
        <v>1537</v>
      </c>
      <c r="I365" s="1077">
        <v>25000000</v>
      </c>
      <c r="J365" s="832"/>
      <c r="K365" s="832"/>
      <c r="L365" s="832"/>
      <c r="M365" s="767">
        <v>20</v>
      </c>
      <c r="N365" s="784" t="s">
        <v>1800</v>
      </c>
      <c r="O365" s="859"/>
      <c r="P365" s="859"/>
      <c r="Q365" s="859"/>
      <c r="R365" s="859"/>
      <c r="S365" s="859"/>
      <c r="T365" s="859"/>
      <c r="U365" s="817">
        <v>41</v>
      </c>
      <c r="V365" s="817" t="s">
        <v>1308</v>
      </c>
      <c r="W365" s="793">
        <v>4104</v>
      </c>
      <c r="X365" s="857" t="s">
        <v>848</v>
      </c>
      <c r="Y365" s="793">
        <v>41042</v>
      </c>
      <c r="Z365" s="791" t="s">
        <v>1488</v>
      </c>
      <c r="AA365" s="801" t="s">
        <v>2336</v>
      </c>
      <c r="AB365" s="770" t="s">
        <v>850</v>
      </c>
      <c r="AC365" s="846" t="s">
        <v>852</v>
      </c>
      <c r="AD365" s="770" t="s">
        <v>853</v>
      </c>
      <c r="AE365" s="965">
        <v>91119</v>
      </c>
      <c r="AF365" s="740" t="s">
        <v>1389</v>
      </c>
      <c r="AG365" s="845"/>
      <c r="AH365" s="740" t="str">
        <f t="shared" si="11"/>
        <v>2.3.2.02.02.009.4104020.91119</v>
      </c>
      <c r="AI365" s="1232"/>
      <c r="AJ365" s="18"/>
      <c r="AK365" s="18"/>
      <c r="AL365" s="18"/>
      <c r="AM365" s="18"/>
      <c r="AN365" s="18"/>
      <c r="AO365" s="18"/>
      <c r="AP365" s="18"/>
    </row>
    <row r="366" spans="1:42" s="11" customFormat="1" ht="155.25" hidden="1" customHeight="1" x14ac:dyDescent="0.2">
      <c r="A366" s="931">
        <v>316</v>
      </c>
      <c r="B366" s="882" t="s">
        <v>1475</v>
      </c>
      <c r="C366" s="793">
        <v>1</v>
      </c>
      <c r="D366" s="791" t="s">
        <v>1412</v>
      </c>
      <c r="E366" s="1000" t="s">
        <v>1540</v>
      </c>
      <c r="F366" s="792">
        <v>6</v>
      </c>
      <c r="G366" s="792" t="s">
        <v>1395</v>
      </c>
      <c r="H366" s="992" t="s">
        <v>1537</v>
      </c>
      <c r="I366" s="1077">
        <v>19000000</v>
      </c>
      <c r="J366" s="832"/>
      <c r="K366" s="832"/>
      <c r="L366" s="832"/>
      <c r="M366" s="767">
        <v>20</v>
      </c>
      <c r="N366" s="784" t="s">
        <v>1800</v>
      </c>
      <c r="O366" s="859"/>
      <c r="P366" s="859"/>
      <c r="Q366" s="859"/>
      <c r="R366" s="859"/>
      <c r="S366" s="859"/>
      <c r="T366" s="859"/>
      <c r="U366" s="817">
        <v>41</v>
      </c>
      <c r="V366" s="817" t="s">
        <v>1308</v>
      </c>
      <c r="W366" s="793">
        <v>4104</v>
      </c>
      <c r="X366" s="857" t="s">
        <v>848</v>
      </c>
      <c r="Y366" s="793">
        <v>41042</v>
      </c>
      <c r="Z366" s="791" t="s">
        <v>1489</v>
      </c>
      <c r="AA366" s="426" t="s">
        <v>2336</v>
      </c>
      <c r="AB366" s="770" t="s">
        <v>850</v>
      </c>
      <c r="AC366" s="846" t="s">
        <v>852</v>
      </c>
      <c r="AD366" s="770" t="s">
        <v>853</v>
      </c>
      <c r="AE366" s="965">
        <v>91119</v>
      </c>
      <c r="AF366" s="740" t="s">
        <v>1389</v>
      </c>
      <c r="AG366" s="845"/>
      <c r="AH366" s="740" t="str">
        <f t="shared" si="11"/>
        <v>2.3.2.02.02.009.4104020.91119</v>
      </c>
      <c r="AI366" s="1237" t="s">
        <v>1491</v>
      </c>
      <c r="AJ366" s="18"/>
      <c r="AK366" s="18"/>
      <c r="AL366" s="18"/>
      <c r="AM366" s="18"/>
      <c r="AN366" s="18"/>
      <c r="AO366" s="18"/>
      <c r="AP366" s="18"/>
    </row>
    <row r="367" spans="1:42" s="11" customFormat="1" ht="155.25" hidden="1" customHeight="1" x14ac:dyDescent="0.2">
      <c r="A367" s="931">
        <v>316</v>
      </c>
      <c r="B367" s="882" t="s">
        <v>1475</v>
      </c>
      <c r="C367" s="793">
        <v>1</v>
      </c>
      <c r="D367" s="791" t="s">
        <v>1412</v>
      </c>
      <c r="E367" s="1000" t="s">
        <v>1540</v>
      </c>
      <c r="F367" s="792">
        <v>6</v>
      </c>
      <c r="G367" s="792" t="s">
        <v>1395</v>
      </c>
      <c r="H367" s="992" t="s">
        <v>1537</v>
      </c>
      <c r="I367" s="1077">
        <v>33000000</v>
      </c>
      <c r="J367" s="832"/>
      <c r="K367" s="832"/>
      <c r="L367" s="832"/>
      <c r="M367" s="767">
        <v>20</v>
      </c>
      <c r="N367" s="784" t="s">
        <v>1800</v>
      </c>
      <c r="O367" s="859"/>
      <c r="P367" s="859"/>
      <c r="Q367" s="859"/>
      <c r="R367" s="859"/>
      <c r="S367" s="859"/>
      <c r="T367" s="859"/>
      <c r="U367" s="817">
        <v>41</v>
      </c>
      <c r="V367" s="817" t="s">
        <v>1308</v>
      </c>
      <c r="W367" s="793">
        <v>4104</v>
      </c>
      <c r="X367" s="857" t="s">
        <v>848</v>
      </c>
      <c r="Y367" s="793">
        <v>41043</v>
      </c>
      <c r="Z367" s="791" t="s">
        <v>1490</v>
      </c>
      <c r="AA367" s="426" t="s">
        <v>2337</v>
      </c>
      <c r="AB367" s="770" t="s">
        <v>858</v>
      </c>
      <c r="AC367" s="407" t="s">
        <v>860</v>
      </c>
      <c r="AD367" s="783" t="s">
        <v>861</v>
      </c>
      <c r="AE367" s="965">
        <v>91119</v>
      </c>
      <c r="AF367" s="740" t="s">
        <v>1389</v>
      </c>
      <c r="AG367" s="890"/>
      <c r="AH367" s="740" t="str">
        <f t="shared" si="11"/>
        <v>2.3.2.02.02.009.4104027.91119</v>
      </c>
      <c r="AI367" s="1237" t="s">
        <v>1491</v>
      </c>
      <c r="AJ367" s="18"/>
      <c r="AK367" s="18"/>
      <c r="AL367" s="18"/>
      <c r="AM367" s="18"/>
      <c r="AN367" s="18"/>
      <c r="AO367" s="18"/>
      <c r="AP367" s="18"/>
    </row>
    <row r="368" spans="1:42" s="11" customFormat="1" ht="150.75" hidden="1" customHeight="1" x14ac:dyDescent="0.2">
      <c r="A368" s="931">
        <v>316</v>
      </c>
      <c r="B368" s="882" t="s">
        <v>1475</v>
      </c>
      <c r="C368" s="793">
        <v>1</v>
      </c>
      <c r="D368" s="791" t="s">
        <v>1412</v>
      </c>
      <c r="E368" s="1000" t="s">
        <v>2341</v>
      </c>
      <c r="F368" s="792">
        <v>6</v>
      </c>
      <c r="G368" s="792" t="s">
        <v>1395</v>
      </c>
      <c r="H368" s="1076" t="s">
        <v>1950</v>
      </c>
      <c r="I368" s="1077">
        <v>2000000</v>
      </c>
      <c r="J368" s="832"/>
      <c r="K368" s="832"/>
      <c r="L368" s="832"/>
      <c r="M368" s="767">
        <v>20</v>
      </c>
      <c r="N368" s="784" t="s">
        <v>1800</v>
      </c>
      <c r="O368" s="859"/>
      <c r="P368" s="859"/>
      <c r="Q368" s="859"/>
      <c r="R368" s="859"/>
      <c r="S368" s="859"/>
      <c r="T368" s="859"/>
      <c r="U368" s="817">
        <v>41</v>
      </c>
      <c r="V368" s="817" t="s">
        <v>1308</v>
      </c>
      <c r="W368" s="793">
        <v>4104</v>
      </c>
      <c r="X368" s="857" t="s">
        <v>848</v>
      </c>
      <c r="Y368" s="793">
        <v>41043</v>
      </c>
      <c r="Z368" s="791" t="s">
        <v>1490</v>
      </c>
      <c r="AA368" s="426" t="s">
        <v>2337</v>
      </c>
      <c r="AB368" s="770" t="s">
        <v>858</v>
      </c>
      <c r="AC368" s="407" t="s">
        <v>860</v>
      </c>
      <c r="AD368" s="783" t="s">
        <v>861</v>
      </c>
      <c r="AE368" s="965">
        <v>23999</v>
      </c>
      <c r="AF368" s="740" t="s">
        <v>1951</v>
      </c>
      <c r="AG368" s="890"/>
      <c r="AH368" s="740" t="str">
        <f t="shared" si="11"/>
        <v>2.3.2.02.01.002.4104027.23999</v>
      </c>
      <c r="AI368" s="1238" t="s">
        <v>1343</v>
      </c>
      <c r="AJ368" s="18"/>
      <c r="AK368" s="18"/>
      <c r="AL368" s="18"/>
      <c r="AM368" s="18"/>
      <c r="AN368" s="18"/>
      <c r="AO368" s="18"/>
      <c r="AP368" s="18"/>
    </row>
    <row r="369" spans="1:42" s="11" customFormat="1" ht="150.75" hidden="1" customHeight="1" x14ac:dyDescent="0.2">
      <c r="A369" s="931">
        <v>316</v>
      </c>
      <c r="B369" s="882" t="s">
        <v>1475</v>
      </c>
      <c r="C369" s="793">
        <v>1</v>
      </c>
      <c r="D369" s="791" t="s">
        <v>1412</v>
      </c>
      <c r="E369" s="1000" t="s">
        <v>1540</v>
      </c>
      <c r="F369" s="792">
        <v>6</v>
      </c>
      <c r="G369" s="792" t="s">
        <v>1395</v>
      </c>
      <c r="H369" s="992" t="s">
        <v>1537</v>
      </c>
      <c r="I369" s="1077">
        <v>77000000</v>
      </c>
      <c r="J369" s="832"/>
      <c r="K369" s="832"/>
      <c r="L369" s="832"/>
      <c r="M369" s="767">
        <v>20</v>
      </c>
      <c r="N369" s="784" t="s">
        <v>1800</v>
      </c>
      <c r="O369" s="859"/>
      <c r="P369" s="859"/>
      <c r="Q369" s="859"/>
      <c r="R369" s="859"/>
      <c r="S369" s="859"/>
      <c r="T369" s="859"/>
      <c r="U369" s="817">
        <v>41</v>
      </c>
      <c r="V369" s="817" t="s">
        <v>1308</v>
      </c>
      <c r="W369" s="793">
        <v>4104</v>
      </c>
      <c r="X369" s="857" t="s">
        <v>848</v>
      </c>
      <c r="Y369" s="793">
        <v>41041</v>
      </c>
      <c r="Z369" s="791" t="s">
        <v>1492</v>
      </c>
      <c r="AA369" s="892" t="s">
        <v>137</v>
      </c>
      <c r="AB369" s="1007" t="s">
        <v>864</v>
      </c>
      <c r="AC369" s="1064" t="s">
        <v>866</v>
      </c>
      <c r="AD369" s="783" t="s">
        <v>867</v>
      </c>
      <c r="AE369" s="965">
        <v>91119</v>
      </c>
      <c r="AF369" s="740" t="s">
        <v>1389</v>
      </c>
      <c r="AG369" s="890"/>
      <c r="AH369" s="895" t="str">
        <f t="shared" si="11"/>
        <v>2.3.2.02.02.009.DNP91119</v>
      </c>
      <c r="AI369" s="1238" t="s">
        <v>1343</v>
      </c>
      <c r="AJ369" s="18"/>
      <c r="AK369" s="18"/>
      <c r="AL369" s="18"/>
      <c r="AM369" s="18"/>
      <c r="AN369" s="18"/>
      <c r="AO369" s="18"/>
      <c r="AP369" s="18"/>
    </row>
    <row r="370" spans="1:42" s="18" customFormat="1" ht="124.5" hidden="1" customHeight="1" x14ac:dyDescent="0.2">
      <c r="A370" s="931">
        <v>316</v>
      </c>
      <c r="B370" s="1014" t="s">
        <v>1475</v>
      </c>
      <c r="C370" s="792">
        <v>1</v>
      </c>
      <c r="D370" s="702" t="s">
        <v>1412</v>
      </c>
      <c r="E370" s="1000" t="s">
        <v>2341</v>
      </c>
      <c r="F370" s="792">
        <v>6</v>
      </c>
      <c r="G370" s="792" t="s">
        <v>1395</v>
      </c>
      <c r="H370" s="991" t="s">
        <v>1950</v>
      </c>
      <c r="I370" s="1077">
        <v>10000000</v>
      </c>
      <c r="J370" s="998"/>
      <c r="K370" s="998"/>
      <c r="L370" s="998"/>
      <c r="M370" s="961">
        <v>20</v>
      </c>
      <c r="N370" s="997" t="s">
        <v>1800</v>
      </c>
      <c r="O370" s="1012"/>
      <c r="P370" s="1012"/>
      <c r="Q370" s="1012"/>
      <c r="R370" s="1012"/>
      <c r="S370" s="1012"/>
      <c r="T370" s="1012"/>
      <c r="U370" s="1262">
        <v>41</v>
      </c>
      <c r="V370" s="1262" t="s">
        <v>1308</v>
      </c>
      <c r="W370" s="792">
        <v>4104</v>
      </c>
      <c r="X370" s="819" t="s">
        <v>848</v>
      </c>
      <c r="Y370" s="792">
        <v>41041</v>
      </c>
      <c r="Z370" s="702" t="s">
        <v>1492</v>
      </c>
      <c r="AA370" s="892" t="s">
        <v>137</v>
      </c>
      <c r="AB370" s="1007" t="s">
        <v>864</v>
      </c>
      <c r="AC370" s="996" t="s">
        <v>866</v>
      </c>
      <c r="AD370" s="1019" t="s">
        <v>867</v>
      </c>
      <c r="AE370" s="965">
        <v>23999</v>
      </c>
      <c r="AF370" s="740" t="s">
        <v>1951</v>
      </c>
      <c r="AG370" s="1033"/>
      <c r="AH370" s="895" t="str">
        <f t="shared" si="11"/>
        <v>2.3.2.02.01.002.DNP23999</v>
      </c>
      <c r="AI370" s="1264" t="s">
        <v>1344</v>
      </c>
    </row>
    <row r="371" spans="1:42" s="18" customFormat="1" ht="124.5" hidden="1" customHeight="1" x14ac:dyDescent="0.2">
      <c r="A371" s="931">
        <v>316</v>
      </c>
      <c r="B371" s="1014" t="s">
        <v>1475</v>
      </c>
      <c r="C371" s="792">
        <v>1</v>
      </c>
      <c r="D371" s="702" t="s">
        <v>1412</v>
      </c>
      <c r="E371" s="1000" t="s">
        <v>1596</v>
      </c>
      <c r="F371" s="792">
        <v>6</v>
      </c>
      <c r="G371" s="792" t="s">
        <v>1395</v>
      </c>
      <c r="H371" s="992" t="s">
        <v>1599</v>
      </c>
      <c r="I371" s="1077">
        <v>3000000</v>
      </c>
      <c r="J371" s="998"/>
      <c r="K371" s="998"/>
      <c r="L371" s="998"/>
      <c r="M371" s="961">
        <v>20</v>
      </c>
      <c r="N371" s="997" t="s">
        <v>1800</v>
      </c>
      <c r="O371" s="1012"/>
      <c r="P371" s="1012"/>
      <c r="Q371" s="1012"/>
      <c r="R371" s="1012"/>
      <c r="S371" s="1012"/>
      <c r="T371" s="1012"/>
      <c r="U371" s="1262">
        <v>41</v>
      </c>
      <c r="V371" s="1262" t="s">
        <v>1308</v>
      </c>
      <c r="W371" s="792">
        <v>4104</v>
      </c>
      <c r="X371" s="819" t="s">
        <v>848</v>
      </c>
      <c r="Y371" s="792">
        <v>41041</v>
      </c>
      <c r="Z371" s="702" t="s">
        <v>1492</v>
      </c>
      <c r="AA371" s="892" t="s">
        <v>137</v>
      </c>
      <c r="AB371" s="1007" t="s">
        <v>864</v>
      </c>
      <c r="AC371" s="996" t="s">
        <v>866</v>
      </c>
      <c r="AD371" s="1019" t="s">
        <v>867</v>
      </c>
      <c r="AE371" s="965">
        <v>32690</v>
      </c>
      <c r="AF371" s="740" t="s">
        <v>1594</v>
      </c>
      <c r="AG371" s="1033"/>
      <c r="AH371" s="895" t="str">
        <f t="shared" si="11"/>
        <v>2.3.2.02.01.003.DNP32690</v>
      </c>
      <c r="AI371" s="1264" t="s">
        <v>1344</v>
      </c>
    </row>
    <row r="372" spans="1:42" s="18" customFormat="1" ht="139.5" hidden="1" customHeight="1" x14ac:dyDescent="0.2">
      <c r="A372" s="931">
        <v>316</v>
      </c>
      <c r="B372" s="1014" t="s">
        <v>1475</v>
      </c>
      <c r="C372" s="792">
        <v>1</v>
      </c>
      <c r="D372" s="702" t="s">
        <v>1412</v>
      </c>
      <c r="E372" s="1000" t="s">
        <v>1540</v>
      </c>
      <c r="F372" s="792">
        <v>6</v>
      </c>
      <c r="G372" s="792" t="s">
        <v>1395</v>
      </c>
      <c r="H372" s="992" t="s">
        <v>1537</v>
      </c>
      <c r="I372" s="1077">
        <v>82600000</v>
      </c>
      <c r="J372" s="998"/>
      <c r="K372" s="998"/>
      <c r="L372" s="998"/>
      <c r="M372" s="961">
        <v>20</v>
      </c>
      <c r="N372" s="997" t="s">
        <v>1800</v>
      </c>
      <c r="O372" s="1012"/>
      <c r="P372" s="1012"/>
      <c r="Q372" s="1012"/>
      <c r="R372" s="1012"/>
      <c r="S372" s="1012"/>
      <c r="T372" s="1012"/>
      <c r="U372" s="1262">
        <v>41</v>
      </c>
      <c r="V372" s="1262" t="s">
        <v>1308</v>
      </c>
      <c r="W372" s="792">
        <v>4104</v>
      </c>
      <c r="X372" s="819" t="s">
        <v>848</v>
      </c>
      <c r="Y372" s="819"/>
      <c r="Z372" s="702" t="s">
        <v>41</v>
      </c>
      <c r="AA372" s="892" t="s">
        <v>137</v>
      </c>
      <c r="AB372" s="1007" t="s">
        <v>870</v>
      </c>
      <c r="AC372" s="996" t="s">
        <v>872</v>
      </c>
      <c r="AD372" s="1019" t="s">
        <v>873</v>
      </c>
      <c r="AE372" s="965">
        <v>91119</v>
      </c>
      <c r="AF372" s="740" t="s">
        <v>1389</v>
      </c>
      <c r="AG372" s="1033"/>
      <c r="AH372" s="895" t="str">
        <f t="shared" si="11"/>
        <v>2.3.2.02.02.009.DNP91119</v>
      </c>
      <c r="AI372" s="1264" t="s">
        <v>1345</v>
      </c>
    </row>
    <row r="373" spans="1:42" s="18" customFormat="1" ht="133.5" hidden="1" customHeight="1" x14ac:dyDescent="0.2">
      <c r="A373" s="931">
        <v>316</v>
      </c>
      <c r="B373" s="1014" t="s">
        <v>1475</v>
      </c>
      <c r="C373" s="792">
        <v>1</v>
      </c>
      <c r="D373" s="702" t="s">
        <v>1412</v>
      </c>
      <c r="E373" s="1000" t="s">
        <v>2341</v>
      </c>
      <c r="F373" s="792">
        <v>6</v>
      </c>
      <c r="G373" s="792" t="s">
        <v>1395</v>
      </c>
      <c r="H373" s="991" t="s">
        <v>1950</v>
      </c>
      <c r="I373" s="1077">
        <v>10000000</v>
      </c>
      <c r="J373" s="998"/>
      <c r="K373" s="998"/>
      <c r="L373" s="998"/>
      <c r="M373" s="961">
        <v>20</v>
      </c>
      <c r="N373" s="997" t="s">
        <v>1800</v>
      </c>
      <c r="O373" s="1012"/>
      <c r="P373" s="1012"/>
      <c r="Q373" s="1012"/>
      <c r="R373" s="1012"/>
      <c r="S373" s="1012"/>
      <c r="T373" s="1012"/>
      <c r="U373" s="1262">
        <v>41</v>
      </c>
      <c r="V373" s="1262" t="s">
        <v>1308</v>
      </c>
      <c r="W373" s="792">
        <v>4104</v>
      </c>
      <c r="X373" s="819" t="s">
        <v>848</v>
      </c>
      <c r="Y373" s="819"/>
      <c r="Z373" s="702" t="s">
        <v>41</v>
      </c>
      <c r="AA373" s="892" t="s">
        <v>137</v>
      </c>
      <c r="AB373" s="1007" t="s">
        <v>870</v>
      </c>
      <c r="AC373" s="996" t="s">
        <v>872</v>
      </c>
      <c r="AD373" s="1019" t="s">
        <v>873</v>
      </c>
      <c r="AE373" s="965">
        <v>23999</v>
      </c>
      <c r="AF373" s="740" t="s">
        <v>1951</v>
      </c>
      <c r="AG373" s="1033"/>
      <c r="AH373" s="895" t="str">
        <f t="shared" si="11"/>
        <v>2.3.2.02.01.002.DNP23999</v>
      </c>
      <c r="AI373" s="1224" t="s">
        <v>41</v>
      </c>
    </row>
    <row r="374" spans="1:42" s="11" customFormat="1" ht="133.5" hidden="1" customHeight="1" x14ac:dyDescent="0.2">
      <c r="A374" s="931">
        <v>316</v>
      </c>
      <c r="B374" s="882" t="s">
        <v>1475</v>
      </c>
      <c r="C374" s="793">
        <v>1</v>
      </c>
      <c r="D374" s="791" t="s">
        <v>1412</v>
      </c>
      <c r="E374" s="1000" t="s">
        <v>1596</v>
      </c>
      <c r="F374" s="792">
        <v>6</v>
      </c>
      <c r="G374" s="792" t="s">
        <v>1395</v>
      </c>
      <c r="H374" s="992" t="s">
        <v>1599</v>
      </c>
      <c r="I374" s="1077">
        <v>2400000</v>
      </c>
      <c r="J374" s="832"/>
      <c r="K374" s="832"/>
      <c r="L374" s="832"/>
      <c r="M374" s="767">
        <v>20</v>
      </c>
      <c r="N374" s="784" t="s">
        <v>1800</v>
      </c>
      <c r="O374" s="859"/>
      <c r="P374" s="859"/>
      <c r="Q374" s="859"/>
      <c r="R374" s="859"/>
      <c r="S374" s="859"/>
      <c r="T374" s="859"/>
      <c r="U374" s="817">
        <v>41</v>
      </c>
      <c r="V374" s="817" t="s">
        <v>1308</v>
      </c>
      <c r="W374" s="793">
        <v>4104</v>
      </c>
      <c r="X374" s="857" t="s">
        <v>848</v>
      </c>
      <c r="Y374" s="857"/>
      <c r="Z374" s="791" t="s">
        <v>41</v>
      </c>
      <c r="AA374" s="892" t="s">
        <v>137</v>
      </c>
      <c r="AB374" s="1007" t="s">
        <v>870</v>
      </c>
      <c r="AC374" s="1064" t="s">
        <v>872</v>
      </c>
      <c r="AD374" s="783" t="s">
        <v>873</v>
      </c>
      <c r="AE374" s="965">
        <v>32690</v>
      </c>
      <c r="AF374" s="740" t="s">
        <v>1594</v>
      </c>
      <c r="AG374" s="890"/>
      <c r="AH374" s="895" t="str">
        <f t="shared" si="11"/>
        <v>2.3.2.02.01.003.DNP32690</v>
      </c>
      <c r="AI374" s="1224" t="s">
        <v>41</v>
      </c>
      <c r="AJ374" s="18"/>
      <c r="AK374" s="18"/>
      <c r="AL374" s="18"/>
      <c r="AM374" s="18"/>
      <c r="AN374" s="18"/>
      <c r="AO374" s="18"/>
      <c r="AP374" s="18"/>
    </row>
    <row r="375" spans="1:42" s="11" customFormat="1" ht="203.25" hidden="1" customHeight="1" x14ac:dyDescent="0.2">
      <c r="A375" s="931">
        <v>316</v>
      </c>
      <c r="B375" s="882" t="s">
        <v>1475</v>
      </c>
      <c r="C375" s="793">
        <v>1</v>
      </c>
      <c r="D375" s="791" t="s">
        <v>1412</v>
      </c>
      <c r="E375" s="1000" t="s">
        <v>1540</v>
      </c>
      <c r="F375" s="792">
        <v>6</v>
      </c>
      <c r="G375" s="792" t="s">
        <v>1395</v>
      </c>
      <c r="H375" s="992" t="s">
        <v>1537</v>
      </c>
      <c r="I375" s="1077">
        <v>50000000</v>
      </c>
      <c r="J375" s="832"/>
      <c r="K375" s="832"/>
      <c r="L375" s="832"/>
      <c r="M375" s="767">
        <v>20</v>
      </c>
      <c r="N375" s="784" t="s">
        <v>1800</v>
      </c>
      <c r="O375" s="859"/>
      <c r="P375" s="859"/>
      <c r="Q375" s="859"/>
      <c r="R375" s="859"/>
      <c r="S375" s="859"/>
      <c r="T375" s="859"/>
      <c r="U375" s="817">
        <v>41</v>
      </c>
      <c r="V375" s="817" t="s">
        <v>1308</v>
      </c>
      <c r="W375" s="793">
        <v>4104</v>
      </c>
      <c r="X375" s="857" t="s">
        <v>848</v>
      </c>
      <c r="Y375" s="793">
        <v>41041</v>
      </c>
      <c r="Z375" s="791" t="s">
        <v>1493</v>
      </c>
      <c r="AA375" s="892" t="s">
        <v>137</v>
      </c>
      <c r="AB375" s="1261" t="s">
        <v>876</v>
      </c>
      <c r="AC375" s="846" t="s">
        <v>878</v>
      </c>
      <c r="AD375" s="770" t="s">
        <v>879</v>
      </c>
      <c r="AE375" s="965">
        <v>91119</v>
      </c>
      <c r="AF375" s="740" t="s">
        <v>1389</v>
      </c>
      <c r="AG375" s="856"/>
      <c r="AH375" s="895" t="str">
        <f t="shared" si="11"/>
        <v>2.3.2.02.02.009.DNP91119</v>
      </c>
      <c r="AI375" s="1233" t="s">
        <v>1495</v>
      </c>
      <c r="AJ375" s="18"/>
      <c r="AK375" s="18"/>
      <c r="AL375" s="18"/>
      <c r="AM375" s="18"/>
      <c r="AN375" s="18"/>
      <c r="AO375" s="18"/>
      <c r="AP375" s="18"/>
    </row>
    <row r="376" spans="1:42" s="11" customFormat="1" ht="165" hidden="1" customHeight="1" x14ac:dyDescent="0.2">
      <c r="A376" s="931">
        <v>316</v>
      </c>
      <c r="B376" s="882" t="s">
        <v>1475</v>
      </c>
      <c r="C376" s="793">
        <v>1</v>
      </c>
      <c r="D376" s="791" t="s">
        <v>1412</v>
      </c>
      <c r="E376" s="1000" t="s">
        <v>1540</v>
      </c>
      <c r="F376" s="792">
        <v>6</v>
      </c>
      <c r="G376" s="792" t="s">
        <v>1395</v>
      </c>
      <c r="H376" s="992" t="s">
        <v>1537</v>
      </c>
      <c r="I376" s="1077">
        <v>19000000</v>
      </c>
      <c r="J376" s="832"/>
      <c r="K376" s="832"/>
      <c r="L376" s="832"/>
      <c r="M376" s="767">
        <v>20</v>
      </c>
      <c r="N376" s="784" t="s">
        <v>1800</v>
      </c>
      <c r="O376" s="859"/>
      <c r="P376" s="859"/>
      <c r="Q376" s="859"/>
      <c r="R376" s="859"/>
      <c r="S376" s="859"/>
      <c r="T376" s="859"/>
      <c r="U376" s="817">
        <v>41</v>
      </c>
      <c r="V376" s="817" t="s">
        <v>1308</v>
      </c>
      <c r="W376" s="793">
        <v>4104</v>
      </c>
      <c r="X376" s="857" t="s">
        <v>848</v>
      </c>
      <c r="Y376" s="793">
        <v>41041</v>
      </c>
      <c r="Z376" s="791" t="s">
        <v>1494</v>
      </c>
      <c r="AA376" s="893" t="s">
        <v>2338</v>
      </c>
      <c r="AB376" s="1261" t="s">
        <v>882</v>
      </c>
      <c r="AC376" s="846" t="s">
        <v>878</v>
      </c>
      <c r="AD376" s="770" t="s">
        <v>879</v>
      </c>
      <c r="AE376" s="965">
        <v>91119</v>
      </c>
      <c r="AF376" s="740" t="s">
        <v>1389</v>
      </c>
      <c r="AG376" s="856"/>
      <c r="AH376" s="740" t="str">
        <f t="shared" si="11"/>
        <v>2.3.2.02.02.009.4104015.91119</v>
      </c>
      <c r="AI376" s="1239" t="s">
        <v>1344</v>
      </c>
      <c r="AJ376" s="18"/>
      <c r="AK376" s="18"/>
      <c r="AL376" s="18"/>
      <c r="AM376" s="18"/>
      <c r="AN376" s="18"/>
      <c r="AO376" s="18"/>
      <c r="AP376" s="18"/>
    </row>
    <row r="377" spans="1:42" s="18" customFormat="1" ht="127.5" hidden="1" customHeight="1" x14ac:dyDescent="0.2">
      <c r="A377" s="931">
        <v>316</v>
      </c>
      <c r="B377" s="1014" t="s">
        <v>1475</v>
      </c>
      <c r="C377" s="792">
        <v>1</v>
      </c>
      <c r="D377" s="702" t="s">
        <v>1412</v>
      </c>
      <c r="E377" s="1000" t="s">
        <v>2341</v>
      </c>
      <c r="F377" s="792">
        <v>6</v>
      </c>
      <c r="G377" s="792" t="s">
        <v>1395</v>
      </c>
      <c r="H377" s="991" t="s">
        <v>1950</v>
      </c>
      <c r="I377" s="1077">
        <v>1000000</v>
      </c>
      <c r="J377" s="832"/>
      <c r="K377" s="832"/>
      <c r="L377" s="832"/>
      <c r="M377" s="961">
        <v>20</v>
      </c>
      <c r="N377" s="997" t="s">
        <v>1800</v>
      </c>
      <c r="O377" s="859"/>
      <c r="P377" s="859"/>
      <c r="Q377" s="859"/>
      <c r="R377" s="859"/>
      <c r="S377" s="859"/>
      <c r="T377" s="859"/>
      <c r="U377" s="1262">
        <v>41</v>
      </c>
      <c r="V377" s="1262" t="s">
        <v>1308</v>
      </c>
      <c r="W377" s="792">
        <v>4104</v>
      </c>
      <c r="X377" s="819" t="s">
        <v>848</v>
      </c>
      <c r="Y377" s="792">
        <v>41041</v>
      </c>
      <c r="Z377" s="702" t="s">
        <v>1494</v>
      </c>
      <c r="AA377" s="826" t="s">
        <v>2338</v>
      </c>
      <c r="AB377" s="1261" t="s">
        <v>882</v>
      </c>
      <c r="AC377" s="843" t="s">
        <v>878</v>
      </c>
      <c r="AD377" s="842" t="s">
        <v>879</v>
      </c>
      <c r="AE377" s="965">
        <v>23999</v>
      </c>
      <c r="AF377" s="740" t="s">
        <v>1951</v>
      </c>
      <c r="AG377" s="1276"/>
      <c r="AH377" s="740" t="str">
        <f t="shared" si="11"/>
        <v>2.3.2.02.01.002.4104015.23999</v>
      </c>
      <c r="AI377" s="1239" t="s">
        <v>1344</v>
      </c>
    </row>
    <row r="378" spans="1:42" s="11" customFormat="1" ht="181.5" hidden="1" customHeight="1" x14ac:dyDescent="0.2">
      <c r="A378" s="931">
        <v>316</v>
      </c>
      <c r="B378" s="882" t="s">
        <v>1475</v>
      </c>
      <c r="C378" s="793">
        <v>1</v>
      </c>
      <c r="D378" s="791" t="s">
        <v>1412</v>
      </c>
      <c r="E378" s="1000" t="s">
        <v>1540</v>
      </c>
      <c r="F378" s="792">
        <v>6</v>
      </c>
      <c r="G378" s="792" t="s">
        <v>1395</v>
      </c>
      <c r="H378" s="992" t="s">
        <v>1537</v>
      </c>
      <c r="I378" s="1077">
        <v>3526539574</v>
      </c>
      <c r="J378" s="832"/>
      <c r="K378" s="832"/>
      <c r="L378" s="832"/>
      <c r="M378" s="1477" t="s">
        <v>1802</v>
      </c>
      <c r="N378" s="784" t="s">
        <v>1803</v>
      </c>
      <c r="O378" s="859"/>
      <c r="P378" s="859"/>
      <c r="Q378" s="859"/>
      <c r="R378" s="859"/>
      <c r="S378" s="859"/>
      <c r="T378" s="859"/>
      <c r="U378" s="817">
        <v>41</v>
      </c>
      <c r="V378" s="817" t="s">
        <v>1308</v>
      </c>
      <c r="W378" s="793">
        <v>4104</v>
      </c>
      <c r="X378" s="857" t="s">
        <v>848</v>
      </c>
      <c r="Y378" s="793">
        <v>41041</v>
      </c>
      <c r="Z378" s="791" t="s">
        <v>1493</v>
      </c>
      <c r="AA378" s="894" t="s">
        <v>2339</v>
      </c>
      <c r="AB378" s="1261" t="s">
        <v>885</v>
      </c>
      <c r="AC378" s="846" t="s">
        <v>878</v>
      </c>
      <c r="AD378" s="770" t="s">
        <v>879</v>
      </c>
      <c r="AE378" s="965">
        <v>91119</v>
      </c>
      <c r="AF378" s="740" t="s">
        <v>1389</v>
      </c>
      <c r="AG378" s="856"/>
      <c r="AH378" s="740" t="str">
        <f t="shared" si="11"/>
        <v>2.3.2.02.02.009.4104008.91119</v>
      </c>
      <c r="AI378" s="1240">
        <v>450202400</v>
      </c>
      <c r="AJ378" s="18"/>
      <c r="AK378" s="18"/>
      <c r="AL378" s="18"/>
      <c r="AM378" s="18"/>
      <c r="AN378" s="18"/>
      <c r="AO378" s="18"/>
      <c r="AP378" s="18"/>
    </row>
    <row r="379" spans="1:42" s="11" customFormat="1" ht="159" hidden="1" customHeight="1" x14ac:dyDescent="0.2">
      <c r="A379" s="931">
        <v>316</v>
      </c>
      <c r="B379" s="882" t="s">
        <v>1475</v>
      </c>
      <c r="C379" s="793">
        <v>1</v>
      </c>
      <c r="D379" s="791" t="s">
        <v>1412</v>
      </c>
      <c r="E379" s="1000" t="s">
        <v>1540</v>
      </c>
      <c r="F379" s="792">
        <v>6</v>
      </c>
      <c r="G379" s="792" t="s">
        <v>1395</v>
      </c>
      <c r="H379" s="992" t="s">
        <v>1537</v>
      </c>
      <c r="I379" s="1077">
        <v>80000000</v>
      </c>
      <c r="J379" s="832"/>
      <c r="K379" s="832"/>
      <c r="L379" s="832"/>
      <c r="M379" s="767">
        <v>20</v>
      </c>
      <c r="N379" s="784" t="s">
        <v>1800</v>
      </c>
      <c r="O379" s="859"/>
      <c r="P379" s="859"/>
      <c r="Q379" s="859"/>
      <c r="R379" s="859"/>
      <c r="S379" s="859"/>
      <c r="T379" s="859"/>
      <c r="U379" s="817">
        <v>41</v>
      </c>
      <c r="V379" s="817" t="s">
        <v>1308</v>
      </c>
      <c r="W379" s="793">
        <v>4104</v>
      </c>
      <c r="X379" s="857" t="s">
        <v>848</v>
      </c>
      <c r="Y379" s="793">
        <v>41042</v>
      </c>
      <c r="Z379" s="854" t="s">
        <v>1496</v>
      </c>
      <c r="AA379" s="892" t="s">
        <v>137</v>
      </c>
      <c r="AB379" s="1261" t="s">
        <v>888</v>
      </c>
      <c r="AC379" s="1064" t="s">
        <v>890</v>
      </c>
      <c r="AD379" s="783" t="s">
        <v>891</v>
      </c>
      <c r="AE379" s="965">
        <v>91119</v>
      </c>
      <c r="AF379" s="740" t="s">
        <v>1389</v>
      </c>
      <c r="AG379" s="890"/>
      <c r="AH379" s="895" t="str">
        <f t="shared" si="11"/>
        <v>2.3.2.02.02.009.DNP91119</v>
      </c>
      <c r="AI379" s="1240">
        <v>4502024</v>
      </c>
      <c r="AJ379" s="18"/>
      <c r="AK379" s="18"/>
      <c r="AL379" s="18"/>
      <c r="AM379" s="18"/>
      <c r="AN379" s="18"/>
      <c r="AO379" s="18"/>
      <c r="AP379" s="18"/>
    </row>
    <row r="380" spans="1:42" s="11" customFormat="1" ht="241.5" hidden="1" customHeight="1" x14ac:dyDescent="0.2">
      <c r="A380" s="931">
        <v>316</v>
      </c>
      <c r="B380" s="882" t="s">
        <v>1475</v>
      </c>
      <c r="C380" s="793">
        <v>1</v>
      </c>
      <c r="D380" s="702" t="s">
        <v>1412</v>
      </c>
      <c r="E380" s="1000" t="s">
        <v>2341</v>
      </c>
      <c r="F380" s="792">
        <v>6</v>
      </c>
      <c r="G380" s="792" t="s">
        <v>1395</v>
      </c>
      <c r="H380" s="991" t="s">
        <v>1950</v>
      </c>
      <c r="I380" s="1077">
        <v>10000000</v>
      </c>
      <c r="J380" s="832"/>
      <c r="K380" s="832"/>
      <c r="L380" s="832"/>
      <c r="M380" s="767">
        <v>20</v>
      </c>
      <c r="N380" s="784" t="s">
        <v>1800</v>
      </c>
      <c r="O380" s="859"/>
      <c r="P380" s="859"/>
      <c r="Q380" s="859"/>
      <c r="R380" s="859"/>
      <c r="S380" s="859"/>
      <c r="T380" s="859"/>
      <c r="U380" s="817">
        <v>41</v>
      </c>
      <c r="V380" s="817" t="s">
        <v>1308</v>
      </c>
      <c r="W380" s="793">
        <v>4104</v>
      </c>
      <c r="X380" s="857" t="s">
        <v>848</v>
      </c>
      <c r="Y380" s="793">
        <v>41042</v>
      </c>
      <c r="Z380" s="854" t="s">
        <v>1496</v>
      </c>
      <c r="AA380" s="892" t="s">
        <v>137</v>
      </c>
      <c r="AB380" s="1261" t="s">
        <v>888</v>
      </c>
      <c r="AC380" s="1064" t="s">
        <v>890</v>
      </c>
      <c r="AD380" s="783" t="s">
        <v>891</v>
      </c>
      <c r="AE380" s="965">
        <v>23999</v>
      </c>
      <c r="AF380" s="740" t="s">
        <v>1951</v>
      </c>
      <c r="AG380" s="890"/>
      <c r="AH380" s="895" t="str">
        <f t="shared" si="11"/>
        <v>2.3.2.02.01.002.DNP23999</v>
      </c>
      <c r="AI380" s="1232"/>
      <c r="AJ380" s="18"/>
      <c r="AK380" s="18"/>
      <c r="AL380" s="18"/>
      <c r="AM380" s="18"/>
      <c r="AN380" s="18"/>
      <c r="AO380" s="18"/>
      <c r="AP380" s="18"/>
    </row>
    <row r="381" spans="1:42" ht="162" hidden="1" customHeight="1" x14ac:dyDescent="0.2">
      <c r="A381" s="931">
        <v>316</v>
      </c>
      <c r="B381" s="882" t="s">
        <v>1475</v>
      </c>
      <c r="C381" s="793">
        <v>2</v>
      </c>
      <c r="D381" s="791" t="s">
        <v>1451</v>
      </c>
      <c r="E381" s="1000" t="s">
        <v>1540</v>
      </c>
      <c r="F381" s="792">
        <v>6</v>
      </c>
      <c r="G381" s="792" t="s">
        <v>1395</v>
      </c>
      <c r="H381" s="992" t="s">
        <v>1537</v>
      </c>
      <c r="I381" s="1077">
        <v>18000000</v>
      </c>
      <c r="J381" s="832"/>
      <c r="K381" s="832"/>
      <c r="L381" s="832"/>
      <c r="M381" s="767">
        <v>20</v>
      </c>
      <c r="N381" s="784" t="s">
        <v>1800</v>
      </c>
      <c r="O381" s="859"/>
      <c r="P381" s="859"/>
      <c r="Q381" s="859"/>
      <c r="R381" s="859"/>
      <c r="S381" s="859"/>
      <c r="T381" s="859"/>
      <c r="U381" s="898">
        <v>17</v>
      </c>
      <c r="V381" s="899" t="s">
        <v>1311</v>
      </c>
      <c r="W381" s="793">
        <v>1702</v>
      </c>
      <c r="X381" s="857" t="s">
        <v>431</v>
      </c>
      <c r="Y381" s="793" t="s">
        <v>1916</v>
      </c>
      <c r="Z381" s="791" t="s">
        <v>1458</v>
      </c>
      <c r="AA381" s="900" t="s">
        <v>1675</v>
      </c>
      <c r="AB381" s="1007" t="s">
        <v>1498</v>
      </c>
      <c r="AC381" s="1064" t="s">
        <v>906</v>
      </c>
      <c r="AD381" s="771" t="s">
        <v>1499</v>
      </c>
      <c r="AE381" s="965">
        <v>91119</v>
      </c>
      <c r="AF381" s="740" t="s">
        <v>1389</v>
      </c>
      <c r="AG381" s="837"/>
      <c r="AH381" s="740" t="str">
        <f t="shared" si="11"/>
        <v>2.3.2.02.02.009.1702011.91119</v>
      </c>
      <c r="AI381" s="913"/>
    </row>
    <row r="382" spans="1:42" s="4" customFormat="1" ht="119.25" hidden="1" customHeight="1" x14ac:dyDescent="0.2">
      <c r="A382" s="931">
        <v>316</v>
      </c>
      <c r="B382" s="882" t="s">
        <v>1475</v>
      </c>
      <c r="C382" s="793">
        <v>2</v>
      </c>
      <c r="D382" s="791" t="s">
        <v>1451</v>
      </c>
      <c r="E382" s="1000" t="s">
        <v>1540</v>
      </c>
      <c r="F382" s="792">
        <v>6</v>
      </c>
      <c r="G382" s="792" t="s">
        <v>1395</v>
      </c>
      <c r="H382" s="992" t="s">
        <v>1537</v>
      </c>
      <c r="I382" s="1077">
        <v>18000000</v>
      </c>
      <c r="J382" s="832"/>
      <c r="K382" s="832"/>
      <c r="L382" s="832"/>
      <c r="M382" s="767">
        <v>20</v>
      </c>
      <c r="N382" s="784" t="s">
        <v>1800</v>
      </c>
      <c r="O382" s="859"/>
      <c r="P382" s="859"/>
      <c r="Q382" s="859"/>
      <c r="R382" s="859"/>
      <c r="S382" s="859"/>
      <c r="T382" s="859"/>
      <c r="U382" s="863">
        <v>36</v>
      </c>
      <c r="V382" s="863" t="s">
        <v>1310</v>
      </c>
      <c r="W382" s="793">
        <v>3604</v>
      </c>
      <c r="X382" s="857" t="s">
        <v>909</v>
      </c>
      <c r="Y382" s="793">
        <v>36041</v>
      </c>
      <c r="Z382" s="901" t="s">
        <v>1500</v>
      </c>
      <c r="AA382" s="891" t="s">
        <v>2340</v>
      </c>
      <c r="AB382" s="1007" t="s">
        <v>911</v>
      </c>
      <c r="AC382" s="1064" t="s">
        <v>913</v>
      </c>
      <c r="AD382" s="902" t="s">
        <v>1501</v>
      </c>
      <c r="AE382" s="965">
        <v>91119</v>
      </c>
      <c r="AF382" s="740" t="s">
        <v>1389</v>
      </c>
      <c r="AG382" s="903"/>
      <c r="AH382" s="740" t="str">
        <f t="shared" si="11"/>
        <v>2.3.2.02.02.009.3604006.91119</v>
      </c>
      <c r="AI382" s="915"/>
    </row>
    <row r="383" spans="1:42" ht="134.25" hidden="1" customHeight="1" x14ac:dyDescent="0.2">
      <c r="A383" s="931">
        <v>316</v>
      </c>
      <c r="B383" s="1014" t="s">
        <v>1475</v>
      </c>
      <c r="C383" s="961">
        <v>4</v>
      </c>
      <c r="D383" s="961" t="s">
        <v>1386</v>
      </c>
      <c r="E383" s="1000" t="s">
        <v>1540</v>
      </c>
      <c r="F383" s="792">
        <v>6</v>
      </c>
      <c r="G383" s="792" t="s">
        <v>1395</v>
      </c>
      <c r="H383" s="992" t="s">
        <v>1537</v>
      </c>
      <c r="I383" s="1077">
        <v>18000000</v>
      </c>
      <c r="J383" s="998"/>
      <c r="K383" s="998"/>
      <c r="L383" s="998"/>
      <c r="M383" s="961">
        <v>20</v>
      </c>
      <c r="N383" s="997" t="s">
        <v>1800</v>
      </c>
      <c r="O383" s="1012"/>
      <c r="P383" s="1012"/>
      <c r="Q383" s="1012"/>
      <c r="R383" s="1012"/>
      <c r="S383" s="1012"/>
      <c r="T383" s="1012"/>
      <c r="U383" s="57">
        <v>45</v>
      </c>
      <c r="V383" s="57" t="s">
        <v>1313</v>
      </c>
      <c r="W383" s="792">
        <v>4502</v>
      </c>
      <c r="X383" s="819" t="s">
        <v>61</v>
      </c>
      <c r="Y383" s="792">
        <v>45022</v>
      </c>
      <c r="Z383" s="702" t="s">
        <v>1398</v>
      </c>
      <c r="AA383" s="826" t="s">
        <v>1548</v>
      </c>
      <c r="AB383" s="1007" t="s">
        <v>71</v>
      </c>
      <c r="AC383" s="996" t="s">
        <v>918</v>
      </c>
      <c r="AD383" s="702" t="s">
        <v>919</v>
      </c>
      <c r="AE383" s="965">
        <v>91119</v>
      </c>
      <c r="AF383" s="740" t="s">
        <v>1389</v>
      </c>
      <c r="AG383" s="877"/>
      <c r="AH383" s="740" t="str">
        <f t="shared" si="11"/>
        <v>2.3.2.02.02.009.4502001.91119</v>
      </c>
      <c r="AI383" s="913"/>
    </row>
    <row r="384" spans="1:42" s="18" customFormat="1" ht="189.75" hidden="1" customHeight="1" x14ac:dyDescent="0.2">
      <c r="A384" s="931">
        <v>316</v>
      </c>
      <c r="B384" s="1014" t="s">
        <v>1475</v>
      </c>
      <c r="C384" s="792">
        <v>1</v>
      </c>
      <c r="D384" s="702" t="s">
        <v>1412</v>
      </c>
      <c r="E384" s="1000" t="s">
        <v>1540</v>
      </c>
      <c r="F384" s="792">
        <v>6</v>
      </c>
      <c r="G384" s="792" t="s">
        <v>1395</v>
      </c>
      <c r="H384" s="992" t="s">
        <v>1537</v>
      </c>
      <c r="I384" s="1077">
        <v>33000000</v>
      </c>
      <c r="J384" s="1311"/>
      <c r="K384" s="1311"/>
      <c r="L384" s="1311"/>
      <c r="M384" s="961">
        <v>20</v>
      </c>
      <c r="N384" s="997" t="s">
        <v>1800</v>
      </c>
      <c r="O384" s="1312"/>
      <c r="P384" s="1312"/>
      <c r="Q384" s="1312"/>
      <c r="R384" s="1312"/>
      <c r="S384" s="1312"/>
      <c r="T384" s="1312"/>
      <c r="U384" s="57">
        <v>45</v>
      </c>
      <c r="V384" s="57" t="s">
        <v>1313</v>
      </c>
      <c r="W384" s="792">
        <v>4502</v>
      </c>
      <c r="X384" s="819" t="s">
        <v>61</v>
      </c>
      <c r="Y384" s="792">
        <v>45021</v>
      </c>
      <c r="Z384" s="702" t="s">
        <v>1969</v>
      </c>
      <c r="AA384" s="1191" t="s">
        <v>1968</v>
      </c>
      <c r="AB384" s="842" t="s">
        <v>303</v>
      </c>
      <c r="AC384" s="996" t="s">
        <v>895</v>
      </c>
      <c r="AD384" s="1019" t="s">
        <v>1497</v>
      </c>
      <c r="AE384" s="965">
        <v>91119</v>
      </c>
      <c r="AF384" s="740" t="s">
        <v>1389</v>
      </c>
      <c r="AG384" s="1033"/>
      <c r="AH384" s="740" t="str">
        <f>CONCATENATE(E384,AA384,AE384)</f>
        <v>2.3.2.02.02.009.4502024.91119</v>
      </c>
      <c r="AI384" s="1313"/>
    </row>
    <row r="385" spans="1:37" s="18" customFormat="1" ht="176.25" hidden="1" customHeight="1" x14ac:dyDescent="0.2">
      <c r="A385" s="931">
        <v>316</v>
      </c>
      <c r="B385" s="1014" t="s">
        <v>1475</v>
      </c>
      <c r="C385" s="792">
        <v>1</v>
      </c>
      <c r="D385" s="702" t="s">
        <v>1412</v>
      </c>
      <c r="E385" s="1000" t="s">
        <v>1540</v>
      </c>
      <c r="F385" s="792">
        <v>6</v>
      </c>
      <c r="G385" s="792" t="s">
        <v>1395</v>
      </c>
      <c r="H385" s="992" t="s">
        <v>1537</v>
      </c>
      <c r="I385" s="1077">
        <v>33000000</v>
      </c>
      <c r="J385" s="1311"/>
      <c r="K385" s="1311"/>
      <c r="L385" s="1311"/>
      <c r="M385" s="961">
        <v>20</v>
      </c>
      <c r="N385" s="997" t="s">
        <v>1800</v>
      </c>
      <c r="O385" s="1312"/>
      <c r="P385" s="1312"/>
      <c r="Q385" s="1312"/>
      <c r="R385" s="1312"/>
      <c r="S385" s="1312"/>
      <c r="T385" s="1312"/>
      <c r="U385" s="57">
        <v>45</v>
      </c>
      <c r="V385" s="57" t="s">
        <v>1313</v>
      </c>
      <c r="W385" s="792">
        <v>4502</v>
      </c>
      <c r="X385" s="819" t="s">
        <v>61</v>
      </c>
      <c r="Y385" s="792">
        <v>45021</v>
      </c>
      <c r="Z385" s="702" t="s">
        <v>1969</v>
      </c>
      <c r="AA385" s="1191" t="s">
        <v>1968</v>
      </c>
      <c r="AB385" s="842" t="s">
        <v>303</v>
      </c>
      <c r="AC385" s="996" t="s">
        <v>899</v>
      </c>
      <c r="AD385" s="702" t="s">
        <v>900</v>
      </c>
      <c r="AE385" s="965">
        <v>91119</v>
      </c>
      <c r="AF385" s="740" t="s">
        <v>1389</v>
      </c>
      <c r="AG385" s="877"/>
      <c r="AH385" s="740" t="str">
        <f>CONCATENATE(E385,AA385,AE385)</f>
        <v>2.3.2.02.02.009.4502024.91119</v>
      </c>
      <c r="AI385" s="1313"/>
    </row>
    <row r="386" spans="1:37" ht="130.5" hidden="1" customHeight="1" x14ac:dyDescent="0.2">
      <c r="A386" s="931">
        <v>318</v>
      </c>
      <c r="B386" s="820" t="s">
        <v>1502</v>
      </c>
      <c r="C386" s="793">
        <v>1</v>
      </c>
      <c r="D386" s="702" t="s">
        <v>1412</v>
      </c>
      <c r="E386" s="830" t="s">
        <v>1540</v>
      </c>
      <c r="F386" s="793">
        <v>6</v>
      </c>
      <c r="G386" s="793" t="s">
        <v>1395</v>
      </c>
      <c r="H386" s="897" t="s">
        <v>1537</v>
      </c>
      <c r="I386" s="1056">
        <v>38000000</v>
      </c>
      <c r="J386" s="832"/>
      <c r="K386" s="832"/>
      <c r="L386" s="832"/>
      <c r="M386" s="961">
        <v>61</v>
      </c>
      <c r="N386" s="961" t="s">
        <v>2259</v>
      </c>
      <c r="O386" s="859"/>
      <c r="P386" s="859"/>
      <c r="Q386" s="859"/>
      <c r="R386" s="859"/>
      <c r="S386" s="859"/>
      <c r="T386" s="859"/>
      <c r="U386" s="904">
        <v>19</v>
      </c>
      <c r="V386" s="905" t="s">
        <v>1304</v>
      </c>
      <c r="W386" s="793">
        <v>1903</v>
      </c>
      <c r="X386" s="713" t="s">
        <v>922</v>
      </c>
      <c r="Y386" s="793">
        <v>19031</v>
      </c>
      <c r="Z386" s="791" t="s">
        <v>1503</v>
      </c>
      <c r="AA386" s="793" t="s">
        <v>1760</v>
      </c>
      <c r="AB386" s="770" t="s">
        <v>924</v>
      </c>
      <c r="AC386" s="843" t="s">
        <v>926</v>
      </c>
      <c r="AD386" s="771" t="s">
        <v>1504</v>
      </c>
      <c r="AE386" s="961" t="s">
        <v>1764</v>
      </c>
      <c r="AF386" s="876" t="s">
        <v>1763</v>
      </c>
      <c r="AG386" s="877"/>
      <c r="AH386" s="1052" t="str">
        <f t="shared" ref="AH386:AH408" si="12">CONCATENATE(E386,AA386,AE386)</f>
        <v>2.3.2.02.02.009.1903009.91122.</v>
      </c>
      <c r="AI386" s="913"/>
    </row>
    <row r="387" spans="1:37" ht="100.5" hidden="1" customHeight="1" x14ac:dyDescent="0.2">
      <c r="A387" s="931">
        <v>318</v>
      </c>
      <c r="B387" s="820" t="s">
        <v>1502</v>
      </c>
      <c r="C387" s="793">
        <v>1</v>
      </c>
      <c r="D387" s="702" t="s">
        <v>1412</v>
      </c>
      <c r="E387" s="830" t="s">
        <v>1540</v>
      </c>
      <c r="F387" s="793">
        <v>6</v>
      </c>
      <c r="G387" s="793" t="s">
        <v>1395</v>
      </c>
      <c r="H387" s="897" t="s">
        <v>1537</v>
      </c>
      <c r="I387" s="1056">
        <v>74000000</v>
      </c>
      <c r="J387" s="832"/>
      <c r="K387" s="832"/>
      <c r="L387" s="832"/>
      <c r="M387" s="961">
        <v>61</v>
      </c>
      <c r="N387" s="961" t="s">
        <v>2259</v>
      </c>
      <c r="O387" s="859"/>
      <c r="P387" s="859"/>
      <c r="Q387" s="859"/>
      <c r="R387" s="859"/>
      <c r="S387" s="859"/>
      <c r="T387" s="859"/>
      <c r="U387" s="904">
        <v>19</v>
      </c>
      <c r="V387" s="905" t="s">
        <v>1304</v>
      </c>
      <c r="W387" s="793">
        <v>1903</v>
      </c>
      <c r="X387" s="713" t="s">
        <v>922</v>
      </c>
      <c r="Y387" s="793">
        <v>19031</v>
      </c>
      <c r="Z387" s="791" t="s">
        <v>1503</v>
      </c>
      <c r="AA387" s="792" t="s">
        <v>1761</v>
      </c>
      <c r="AB387" s="770" t="s">
        <v>932</v>
      </c>
      <c r="AC387" s="843" t="s">
        <v>926</v>
      </c>
      <c r="AD387" s="771" t="s">
        <v>1504</v>
      </c>
      <c r="AE387" s="961" t="s">
        <v>1764</v>
      </c>
      <c r="AF387" s="876" t="s">
        <v>1763</v>
      </c>
      <c r="AG387" s="877"/>
      <c r="AH387" s="1052" t="str">
        <f t="shared" si="12"/>
        <v>2.3.2.02.02.009.1903031.91122.</v>
      </c>
      <c r="AI387" s="913"/>
    </row>
    <row r="388" spans="1:37" ht="126" hidden="1" customHeight="1" x14ac:dyDescent="0.2">
      <c r="A388" s="931">
        <v>318</v>
      </c>
      <c r="B388" s="820" t="s">
        <v>1502</v>
      </c>
      <c r="C388" s="793">
        <v>1</v>
      </c>
      <c r="D388" s="702" t="s">
        <v>1412</v>
      </c>
      <c r="E388" s="830" t="s">
        <v>1540</v>
      </c>
      <c r="F388" s="793">
        <v>6</v>
      </c>
      <c r="G388" s="793" t="s">
        <v>1395</v>
      </c>
      <c r="H388" s="897" t="s">
        <v>1537</v>
      </c>
      <c r="I388" s="1056">
        <v>28000000</v>
      </c>
      <c r="J388" s="832"/>
      <c r="K388" s="832"/>
      <c r="L388" s="832"/>
      <c r="M388" s="961">
        <v>61</v>
      </c>
      <c r="N388" s="961" t="s">
        <v>2259</v>
      </c>
      <c r="O388" s="859"/>
      <c r="P388" s="859"/>
      <c r="Q388" s="859"/>
      <c r="R388" s="859"/>
      <c r="S388" s="859"/>
      <c r="T388" s="859"/>
      <c r="U388" s="904">
        <v>19</v>
      </c>
      <c r="V388" s="905" t="s">
        <v>1304</v>
      </c>
      <c r="W388" s="793">
        <v>1903</v>
      </c>
      <c r="X388" s="713" t="s">
        <v>922</v>
      </c>
      <c r="Y388" s="793">
        <v>19031</v>
      </c>
      <c r="Z388" s="791" t="s">
        <v>1505</v>
      </c>
      <c r="AA388" s="793" t="s">
        <v>1762</v>
      </c>
      <c r="AB388" s="770" t="s">
        <v>935</v>
      </c>
      <c r="AC388" s="843" t="s">
        <v>926</v>
      </c>
      <c r="AD388" s="771" t="s">
        <v>1504</v>
      </c>
      <c r="AE388" s="961" t="s">
        <v>1764</v>
      </c>
      <c r="AF388" s="876" t="s">
        <v>1763</v>
      </c>
      <c r="AG388" s="877"/>
      <c r="AH388" s="1052" t="str">
        <f t="shared" si="12"/>
        <v>2.3.2.02.02.009.1903023.91122.</v>
      </c>
      <c r="AI388" s="913"/>
    </row>
    <row r="389" spans="1:37" ht="121.5" hidden="1" customHeight="1" x14ac:dyDescent="0.2">
      <c r="A389" s="931">
        <v>318</v>
      </c>
      <c r="B389" s="820" t="s">
        <v>1502</v>
      </c>
      <c r="C389" s="793">
        <v>1</v>
      </c>
      <c r="D389" s="702" t="s">
        <v>1412</v>
      </c>
      <c r="E389" s="830" t="s">
        <v>1540</v>
      </c>
      <c r="F389" s="793">
        <v>6</v>
      </c>
      <c r="G389" s="793" t="s">
        <v>1395</v>
      </c>
      <c r="H389" s="897" t="s">
        <v>1537</v>
      </c>
      <c r="I389" s="1056">
        <v>28000000</v>
      </c>
      <c r="J389" s="832"/>
      <c r="K389" s="832"/>
      <c r="L389" s="832"/>
      <c r="M389" s="999">
        <v>61</v>
      </c>
      <c r="N389" s="961" t="s">
        <v>2259</v>
      </c>
      <c r="O389" s="859"/>
      <c r="P389" s="859"/>
      <c r="Q389" s="859"/>
      <c r="R389" s="859"/>
      <c r="S389" s="859"/>
      <c r="T389" s="859"/>
      <c r="U389" s="904">
        <v>19</v>
      </c>
      <c r="V389" s="905" t="s">
        <v>1304</v>
      </c>
      <c r="W389" s="793">
        <v>1903</v>
      </c>
      <c r="X389" s="713" t="s">
        <v>922</v>
      </c>
      <c r="Y389" s="793">
        <v>19031</v>
      </c>
      <c r="Z389" s="791" t="s">
        <v>1503</v>
      </c>
      <c r="AA389" s="772" t="s">
        <v>1765</v>
      </c>
      <c r="AB389" s="770" t="s">
        <v>938</v>
      </c>
      <c r="AC389" s="843" t="s">
        <v>926</v>
      </c>
      <c r="AD389" s="771" t="s">
        <v>1504</v>
      </c>
      <c r="AE389" s="961" t="s">
        <v>1764</v>
      </c>
      <c r="AF389" s="876" t="s">
        <v>1763</v>
      </c>
      <c r="AG389" s="877"/>
      <c r="AH389" s="1052" t="str">
        <f t="shared" si="12"/>
        <v>2.3.2.02.02.009.1903050.91122.</v>
      </c>
      <c r="AI389" s="913"/>
    </row>
    <row r="390" spans="1:37" ht="84" hidden="1" customHeight="1" x14ac:dyDescent="0.2">
      <c r="A390" s="931">
        <v>318</v>
      </c>
      <c r="B390" s="820" t="s">
        <v>1502</v>
      </c>
      <c r="C390" s="793">
        <v>1</v>
      </c>
      <c r="D390" s="702" t="s">
        <v>1412</v>
      </c>
      <c r="E390" s="830" t="s">
        <v>1540</v>
      </c>
      <c r="F390" s="793">
        <v>6</v>
      </c>
      <c r="G390" s="793" t="s">
        <v>1395</v>
      </c>
      <c r="H390" s="897" t="s">
        <v>1537</v>
      </c>
      <c r="I390" s="1056">
        <v>48000000</v>
      </c>
      <c r="J390" s="832"/>
      <c r="K390" s="832"/>
      <c r="L390" s="832"/>
      <c r="M390" s="999">
        <v>61</v>
      </c>
      <c r="N390" s="961" t="s">
        <v>2259</v>
      </c>
      <c r="O390" s="859"/>
      <c r="P390" s="859"/>
      <c r="Q390" s="859"/>
      <c r="R390" s="859"/>
      <c r="S390" s="859"/>
      <c r="T390" s="859"/>
      <c r="U390" s="1389">
        <v>19</v>
      </c>
      <c r="V390" s="1390" t="s">
        <v>1304</v>
      </c>
      <c r="W390" s="1082">
        <v>1903</v>
      </c>
      <c r="X390" s="1391" t="s">
        <v>922</v>
      </c>
      <c r="Y390" s="1082">
        <v>19031</v>
      </c>
      <c r="Z390" s="1392" t="s">
        <v>1503</v>
      </c>
      <c r="AA390" s="1393" t="s">
        <v>1766</v>
      </c>
      <c r="AB390" s="1394" t="s">
        <v>940</v>
      </c>
      <c r="AC390" s="1395" t="s">
        <v>926</v>
      </c>
      <c r="AD390" s="1125" t="s">
        <v>1504</v>
      </c>
      <c r="AE390" s="961" t="s">
        <v>1764</v>
      </c>
      <c r="AF390" s="876" t="s">
        <v>1763</v>
      </c>
      <c r="AG390" s="877"/>
      <c r="AH390" s="1052" t="str">
        <f t="shared" si="12"/>
        <v>2.3.2.02.02.009.1903038.91122.</v>
      </c>
      <c r="AI390" s="913"/>
    </row>
    <row r="391" spans="1:37" ht="104.25" hidden="1" customHeight="1" x14ac:dyDescent="0.2">
      <c r="A391" s="931">
        <v>318</v>
      </c>
      <c r="B391" s="820" t="s">
        <v>1502</v>
      </c>
      <c r="C391" s="793">
        <v>1</v>
      </c>
      <c r="D391" s="702" t="s">
        <v>1412</v>
      </c>
      <c r="E391" s="1439" t="s">
        <v>1596</v>
      </c>
      <c r="F391" s="1428">
        <v>6</v>
      </c>
      <c r="G391" s="1428" t="s">
        <v>1395</v>
      </c>
      <c r="H391" s="1440" t="s">
        <v>1593</v>
      </c>
      <c r="I391" s="1456">
        <v>694700000</v>
      </c>
      <c r="J391" s="832"/>
      <c r="K391" s="832"/>
      <c r="L391" s="832"/>
      <c r="M391" s="999">
        <v>63</v>
      </c>
      <c r="N391" s="961" t="s">
        <v>2260</v>
      </c>
      <c r="O391" s="859">
        <v>19</v>
      </c>
      <c r="P391" s="859" t="s">
        <v>1304</v>
      </c>
      <c r="Q391" s="859">
        <v>1903</v>
      </c>
      <c r="R391" s="859" t="s">
        <v>922</v>
      </c>
      <c r="S391" s="859">
        <v>19031</v>
      </c>
      <c r="T391" s="859"/>
      <c r="U391" s="817">
        <v>19</v>
      </c>
      <c r="V391" s="1400" t="s">
        <v>1304</v>
      </c>
      <c r="W391" s="1051">
        <v>1903</v>
      </c>
      <c r="X391" s="844" t="s">
        <v>922</v>
      </c>
      <c r="Y391" s="1051">
        <v>19031</v>
      </c>
      <c r="Z391" s="836" t="s">
        <v>1503</v>
      </c>
      <c r="AA391" s="1401" t="s">
        <v>1766</v>
      </c>
      <c r="AB391" s="873" t="s">
        <v>940</v>
      </c>
      <c r="AC391" s="1402" t="s">
        <v>926</v>
      </c>
      <c r="AD391" s="954" t="s">
        <v>1504</v>
      </c>
      <c r="AE391" s="1441">
        <v>35261</v>
      </c>
      <c r="AF391" s="1442" t="s">
        <v>2261</v>
      </c>
      <c r="AG391" s="877"/>
      <c r="AH391" s="1052" t="str">
        <f t="shared" si="12"/>
        <v>2.3.2.02.01.003.1903038.35261</v>
      </c>
      <c r="AI391" s="914" t="s">
        <v>1524</v>
      </c>
    </row>
    <row r="392" spans="1:37" ht="104.25" hidden="1" customHeight="1" x14ac:dyDescent="0.2">
      <c r="A392" s="931">
        <v>318</v>
      </c>
      <c r="B392" s="820" t="s">
        <v>1502</v>
      </c>
      <c r="C392" s="793">
        <v>1</v>
      </c>
      <c r="D392" s="702" t="s">
        <v>1412</v>
      </c>
      <c r="E392" s="1439" t="s">
        <v>1540</v>
      </c>
      <c r="F392" s="1428">
        <v>6</v>
      </c>
      <c r="G392" s="1428" t="s">
        <v>1395</v>
      </c>
      <c r="H392" s="1440" t="s">
        <v>1537</v>
      </c>
      <c r="I392" s="1456">
        <v>150000000</v>
      </c>
      <c r="J392" s="832"/>
      <c r="K392" s="832"/>
      <c r="L392" s="832"/>
      <c r="M392" s="999">
        <v>63</v>
      </c>
      <c r="N392" s="961" t="s">
        <v>2260</v>
      </c>
      <c r="O392" s="859">
        <v>19</v>
      </c>
      <c r="P392" s="859" t="s">
        <v>1304</v>
      </c>
      <c r="Q392" s="859">
        <v>1903</v>
      </c>
      <c r="R392" s="859" t="s">
        <v>922</v>
      </c>
      <c r="S392" s="859">
        <v>19031</v>
      </c>
      <c r="T392" s="859"/>
      <c r="U392" s="817">
        <v>19</v>
      </c>
      <c r="V392" s="1400" t="s">
        <v>1304</v>
      </c>
      <c r="W392" s="1051">
        <v>1903</v>
      </c>
      <c r="X392" s="844" t="s">
        <v>922</v>
      </c>
      <c r="Y392" s="1051">
        <v>19031</v>
      </c>
      <c r="Z392" s="836" t="s">
        <v>1503</v>
      </c>
      <c r="AA392" s="1401" t="s">
        <v>1766</v>
      </c>
      <c r="AB392" s="873" t="s">
        <v>940</v>
      </c>
      <c r="AC392" s="1402" t="s">
        <v>926</v>
      </c>
      <c r="AD392" s="954" t="s">
        <v>1504</v>
      </c>
      <c r="AE392" s="1441" t="s">
        <v>1764</v>
      </c>
      <c r="AF392" s="1442" t="s">
        <v>1763</v>
      </c>
      <c r="AG392" s="877"/>
      <c r="AH392" s="1052" t="str">
        <f t="shared" si="12"/>
        <v>2.3.2.02.02.009.1903038.91122.</v>
      </c>
      <c r="AI392" s="914"/>
    </row>
    <row r="393" spans="1:37" ht="124.5" hidden="1" customHeight="1" x14ac:dyDescent="0.2">
      <c r="A393" s="931">
        <v>318</v>
      </c>
      <c r="B393" s="820" t="s">
        <v>1502</v>
      </c>
      <c r="C393" s="793">
        <v>1</v>
      </c>
      <c r="D393" s="702" t="s">
        <v>1412</v>
      </c>
      <c r="E393" s="830" t="s">
        <v>1540</v>
      </c>
      <c r="F393" s="793">
        <v>6</v>
      </c>
      <c r="G393" s="793" t="s">
        <v>1395</v>
      </c>
      <c r="H393" s="897" t="s">
        <v>1537</v>
      </c>
      <c r="I393" s="1056">
        <v>19000000</v>
      </c>
      <c r="J393" s="832"/>
      <c r="K393" s="832"/>
      <c r="L393" s="832"/>
      <c r="M393" s="961">
        <v>61</v>
      </c>
      <c r="N393" s="961" t="s">
        <v>2259</v>
      </c>
      <c r="O393" s="859"/>
      <c r="P393" s="859"/>
      <c r="Q393" s="859"/>
      <c r="R393" s="859"/>
      <c r="S393" s="859"/>
      <c r="T393" s="859"/>
      <c r="U393" s="904">
        <v>19</v>
      </c>
      <c r="V393" s="905" t="s">
        <v>1304</v>
      </c>
      <c r="W393" s="1396">
        <v>1903</v>
      </c>
      <c r="X393" s="1397" t="s">
        <v>922</v>
      </c>
      <c r="Y393" s="1396">
        <v>19031</v>
      </c>
      <c r="Z393" s="1398" t="s">
        <v>1503</v>
      </c>
      <c r="AA393" s="1396" t="s">
        <v>1766</v>
      </c>
      <c r="AB393" s="1103" t="s">
        <v>943</v>
      </c>
      <c r="AC393" s="1399" t="s">
        <v>926</v>
      </c>
      <c r="AD393" s="1307" t="s">
        <v>1504</v>
      </c>
      <c r="AE393" s="961" t="s">
        <v>1764</v>
      </c>
      <c r="AF393" s="876" t="s">
        <v>1763</v>
      </c>
      <c r="AG393" s="877"/>
      <c r="AH393" s="1052" t="str">
        <f t="shared" si="12"/>
        <v>2.3.2.02.02.009.1903038.91122.</v>
      </c>
      <c r="AI393" s="914" t="s">
        <v>1347</v>
      </c>
    </row>
    <row r="394" spans="1:37" ht="81" hidden="1" customHeight="1" x14ac:dyDescent="0.2">
      <c r="A394" s="931">
        <v>318</v>
      </c>
      <c r="B394" s="820" t="s">
        <v>1502</v>
      </c>
      <c r="C394" s="793">
        <v>1</v>
      </c>
      <c r="D394" s="702" t="s">
        <v>1412</v>
      </c>
      <c r="E394" s="830" t="s">
        <v>1540</v>
      </c>
      <c r="F394" s="793">
        <v>6</v>
      </c>
      <c r="G394" s="793" t="s">
        <v>1395</v>
      </c>
      <c r="H394" s="897" t="s">
        <v>1537</v>
      </c>
      <c r="I394" s="1056">
        <v>19000000</v>
      </c>
      <c r="J394" s="832"/>
      <c r="K394" s="832"/>
      <c r="L394" s="832"/>
      <c r="M394" s="961">
        <v>61</v>
      </c>
      <c r="N394" s="961" t="s">
        <v>2259</v>
      </c>
      <c r="O394" s="859"/>
      <c r="P394" s="859"/>
      <c r="Q394" s="859"/>
      <c r="R394" s="859"/>
      <c r="S394" s="859"/>
      <c r="T394" s="859"/>
      <c r="U394" s="904">
        <v>19</v>
      </c>
      <c r="V394" s="905" t="s">
        <v>1304</v>
      </c>
      <c r="W394" s="793">
        <v>1903</v>
      </c>
      <c r="X394" s="713" t="s">
        <v>922</v>
      </c>
      <c r="Y394" s="793">
        <v>19031</v>
      </c>
      <c r="Z394" s="791" t="s">
        <v>1503</v>
      </c>
      <c r="AA394" s="793" t="s">
        <v>1767</v>
      </c>
      <c r="AB394" s="770" t="s">
        <v>945</v>
      </c>
      <c r="AC394" s="846" t="s">
        <v>926</v>
      </c>
      <c r="AD394" s="771" t="s">
        <v>1504</v>
      </c>
      <c r="AE394" s="961" t="s">
        <v>1764</v>
      </c>
      <c r="AF394" s="876" t="s">
        <v>1763</v>
      </c>
      <c r="AG394" s="877"/>
      <c r="AH394" s="1052" t="str">
        <f t="shared" si="12"/>
        <v>2.3.2.02.02.009.1903027.91122.</v>
      </c>
      <c r="AI394" s="914" t="s">
        <v>1348</v>
      </c>
    </row>
    <row r="395" spans="1:37" ht="103.5" hidden="1" customHeight="1" x14ac:dyDescent="0.2">
      <c r="A395" s="931">
        <v>318</v>
      </c>
      <c r="B395" s="820" t="s">
        <v>1502</v>
      </c>
      <c r="C395" s="793">
        <v>1</v>
      </c>
      <c r="D395" s="702" t="s">
        <v>1412</v>
      </c>
      <c r="E395" s="830" t="s">
        <v>1540</v>
      </c>
      <c r="F395" s="793">
        <v>6</v>
      </c>
      <c r="G395" s="793" t="s">
        <v>1395</v>
      </c>
      <c r="H395" s="897" t="s">
        <v>1537</v>
      </c>
      <c r="I395" s="1056">
        <v>19000000</v>
      </c>
      <c r="J395" s="832"/>
      <c r="K395" s="832"/>
      <c r="L395" s="832"/>
      <c r="M395" s="961">
        <v>61</v>
      </c>
      <c r="N395" s="961" t="s">
        <v>2259</v>
      </c>
      <c r="O395" s="859"/>
      <c r="P395" s="859"/>
      <c r="Q395" s="859"/>
      <c r="R395" s="859"/>
      <c r="S395" s="859"/>
      <c r="T395" s="859"/>
      <c r="U395" s="904">
        <v>19</v>
      </c>
      <c r="V395" s="905" t="s">
        <v>1304</v>
      </c>
      <c r="W395" s="793">
        <v>1903</v>
      </c>
      <c r="X395" s="713" t="s">
        <v>922</v>
      </c>
      <c r="Y395" s="793">
        <v>19031</v>
      </c>
      <c r="Z395" s="791" t="s">
        <v>1503</v>
      </c>
      <c r="AA395" s="793" t="s">
        <v>1768</v>
      </c>
      <c r="AB395" s="770" t="s">
        <v>948</v>
      </c>
      <c r="AC395" s="846" t="s">
        <v>926</v>
      </c>
      <c r="AD395" s="771" t="s">
        <v>1504</v>
      </c>
      <c r="AE395" s="961" t="s">
        <v>1764</v>
      </c>
      <c r="AF395" s="876" t="s">
        <v>1763</v>
      </c>
      <c r="AG395" s="877"/>
      <c r="AH395" s="1052" t="str">
        <f t="shared" si="12"/>
        <v>2.3.2.02.02.009.1903011.91122.</v>
      </c>
      <c r="AI395" s="914" t="s">
        <v>1349</v>
      </c>
    </row>
    <row r="396" spans="1:37" ht="139.5" hidden="1" customHeight="1" x14ac:dyDescent="0.2">
      <c r="A396" s="931">
        <v>318</v>
      </c>
      <c r="B396" s="820" t="s">
        <v>1502</v>
      </c>
      <c r="C396" s="793">
        <v>1</v>
      </c>
      <c r="D396" s="702" t="s">
        <v>1412</v>
      </c>
      <c r="E396" s="830" t="s">
        <v>1540</v>
      </c>
      <c r="F396" s="793">
        <v>6</v>
      </c>
      <c r="G396" s="793" t="s">
        <v>1395</v>
      </c>
      <c r="H396" s="897" t="s">
        <v>1537</v>
      </c>
      <c r="I396" s="1056">
        <v>81470000</v>
      </c>
      <c r="J396" s="832"/>
      <c r="K396" s="832"/>
      <c r="L396" s="832"/>
      <c r="M396" s="961">
        <v>61</v>
      </c>
      <c r="N396" s="961" t="s">
        <v>2259</v>
      </c>
      <c r="O396" s="859"/>
      <c r="P396" s="859"/>
      <c r="Q396" s="859"/>
      <c r="R396" s="859"/>
      <c r="S396" s="859"/>
      <c r="T396" s="859"/>
      <c r="U396" s="904">
        <v>19</v>
      </c>
      <c r="V396" s="905" t="s">
        <v>1304</v>
      </c>
      <c r="W396" s="793">
        <v>1903</v>
      </c>
      <c r="X396" s="713" t="s">
        <v>922</v>
      </c>
      <c r="Y396" s="793">
        <v>19031</v>
      </c>
      <c r="Z396" s="791" t="s">
        <v>1506</v>
      </c>
      <c r="AA396" s="793" t="s">
        <v>1769</v>
      </c>
      <c r="AB396" s="770" t="s">
        <v>85</v>
      </c>
      <c r="AC396" s="846" t="s">
        <v>952</v>
      </c>
      <c r="AD396" s="770" t="s">
        <v>1507</v>
      </c>
      <c r="AE396" s="961" t="s">
        <v>1764</v>
      </c>
      <c r="AF396" s="876" t="s">
        <v>1763</v>
      </c>
      <c r="AG396" s="845"/>
      <c r="AH396" s="1052" t="str">
        <f t="shared" si="12"/>
        <v>2.3.2.02.02.009.1903001.91122.</v>
      </c>
      <c r="AI396" s="913"/>
    </row>
    <row r="397" spans="1:37" s="4" customFormat="1" ht="112.5" hidden="1" customHeight="1" x14ac:dyDescent="0.2">
      <c r="A397" s="931">
        <v>318</v>
      </c>
      <c r="B397" s="820" t="s">
        <v>1502</v>
      </c>
      <c r="C397" s="793">
        <v>1</v>
      </c>
      <c r="D397" s="702" t="s">
        <v>1412</v>
      </c>
      <c r="E397" s="830" t="s">
        <v>1540</v>
      </c>
      <c r="F397" s="793">
        <v>6</v>
      </c>
      <c r="G397" s="793" t="s">
        <v>1395</v>
      </c>
      <c r="H397" s="897" t="s">
        <v>1537</v>
      </c>
      <c r="I397" s="1056">
        <v>211530000</v>
      </c>
      <c r="J397" s="832"/>
      <c r="K397" s="832"/>
      <c r="L397" s="832"/>
      <c r="M397" s="961">
        <v>61</v>
      </c>
      <c r="N397" s="961" t="s">
        <v>2259</v>
      </c>
      <c r="O397" s="859"/>
      <c r="P397" s="859"/>
      <c r="Q397" s="859"/>
      <c r="R397" s="859"/>
      <c r="S397" s="859"/>
      <c r="T397" s="859"/>
      <c r="U397" s="904">
        <v>19</v>
      </c>
      <c r="V397" s="905" t="s">
        <v>1304</v>
      </c>
      <c r="W397" s="793">
        <v>1903</v>
      </c>
      <c r="X397" s="713" t="s">
        <v>922</v>
      </c>
      <c r="Y397" s="793">
        <v>19031</v>
      </c>
      <c r="Z397" s="791" t="s">
        <v>1506</v>
      </c>
      <c r="AA397" s="793" t="s">
        <v>1770</v>
      </c>
      <c r="AB397" s="770" t="s">
        <v>956</v>
      </c>
      <c r="AC397" s="846" t="s">
        <v>952</v>
      </c>
      <c r="AD397" s="770" t="s">
        <v>1507</v>
      </c>
      <c r="AE397" s="961" t="s">
        <v>1764</v>
      </c>
      <c r="AF397" s="876" t="s">
        <v>1763</v>
      </c>
      <c r="AG397" s="845"/>
      <c r="AH397" s="1052" t="str">
        <f t="shared" si="12"/>
        <v>2.3.2.02.02.009.1903015.91122.</v>
      </c>
      <c r="AI397" s="915"/>
    </row>
    <row r="398" spans="1:37" ht="225" hidden="1" x14ac:dyDescent="0.2">
      <c r="A398" s="931">
        <v>318</v>
      </c>
      <c r="B398" s="820" t="s">
        <v>1502</v>
      </c>
      <c r="C398" s="793">
        <v>1</v>
      </c>
      <c r="D398" s="702" t="s">
        <v>1412</v>
      </c>
      <c r="E398" s="830" t="s">
        <v>1540</v>
      </c>
      <c r="F398" s="793">
        <v>6</v>
      </c>
      <c r="G398" s="793" t="s">
        <v>1395</v>
      </c>
      <c r="H398" s="897" t="s">
        <v>1537</v>
      </c>
      <c r="I398" s="1056">
        <v>195901448</v>
      </c>
      <c r="J398" s="832"/>
      <c r="K398" s="832"/>
      <c r="L398" s="832"/>
      <c r="M398" s="815">
        <v>61</v>
      </c>
      <c r="N398" s="1051" t="s">
        <v>2259</v>
      </c>
      <c r="O398" s="859"/>
      <c r="P398" s="859"/>
      <c r="Q398" s="859"/>
      <c r="R398" s="859"/>
      <c r="S398" s="859"/>
      <c r="T398" s="859"/>
      <c r="U398" s="904">
        <v>19</v>
      </c>
      <c r="V398" s="905" t="s">
        <v>1304</v>
      </c>
      <c r="W398" s="793">
        <v>1903</v>
      </c>
      <c r="X398" s="713" t="s">
        <v>922</v>
      </c>
      <c r="Y398" s="793">
        <v>19031</v>
      </c>
      <c r="Z398" s="791" t="s">
        <v>1503</v>
      </c>
      <c r="AA398" s="793" t="s">
        <v>1771</v>
      </c>
      <c r="AB398" s="770" t="s">
        <v>959</v>
      </c>
      <c r="AC398" s="846" t="s">
        <v>961</v>
      </c>
      <c r="AD398" s="770" t="s">
        <v>1508</v>
      </c>
      <c r="AE398" s="1443">
        <v>93195</v>
      </c>
      <c r="AF398" s="1444" t="s">
        <v>2266</v>
      </c>
      <c r="AG398" s="874"/>
      <c r="AH398" s="1052" t="str">
        <f t="shared" si="12"/>
        <v>2.3.2.02.02.009.1903012.93195</v>
      </c>
      <c r="AI398" s="913"/>
    </row>
    <row r="399" spans="1:37" ht="121.5" hidden="1" customHeight="1" x14ac:dyDescent="0.2">
      <c r="A399" s="931">
        <v>318</v>
      </c>
      <c r="B399" s="820" t="s">
        <v>1502</v>
      </c>
      <c r="C399" s="793">
        <v>1</v>
      </c>
      <c r="D399" s="702" t="s">
        <v>1412</v>
      </c>
      <c r="E399" s="1448" t="s">
        <v>2262</v>
      </c>
      <c r="F399" s="930">
        <v>8</v>
      </c>
      <c r="G399" s="930" t="s">
        <v>1395</v>
      </c>
      <c r="H399" s="1449" t="s">
        <v>2263</v>
      </c>
      <c r="I399" s="1056">
        <v>90000000</v>
      </c>
      <c r="J399" s="832"/>
      <c r="K399" s="832"/>
      <c r="L399" s="832"/>
      <c r="M399" s="815">
        <v>61</v>
      </c>
      <c r="N399" s="1051" t="s">
        <v>2259</v>
      </c>
      <c r="O399" s="859"/>
      <c r="P399" s="859"/>
      <c r="Q399" s="859"/>
      <c r="R399" s="859"/>
      <c r="S399" s="859"/>
      <c r="T399" s="859"/>
      <c r="U399" s="904">
        <v>19</v>
      </c>
      <c r="V399" s="905" t="s">
        <v>1304</v>
      </c>
      <c r="W399" s="793">
        <v>1903</v>
      </c>
      <c r="X399" s="713" t="s">
        <v>922</v>
      </c>
      <c r="Y399" s="793">
        <v>19031</v>
      </c>
      <c r="Z399" s="791" t="s">
        <v>1503</v>
      </c>
      <c r="AA399" s="793" t="s">
        <v>1771</v>
      </c>
      <c r="AB399" s="770" t="s">
        <v>959</v>
      </c>
      <c r="AC399" s="846" t="s">
        <v>961</v>
      </c>
      <c r="AD399" s="770" t="s">
        <v>1508</v>
      </c>
      <c r="AE399" s="1445" t="s">
        <v>2264</v>
      </c>
      <c r="AF399" s="1429" t="s">
        <v>2265</v>
      </c>
      <c r="AG399" s="845" t="s">
        <v>41</v>
      </c>
      <c r="AH399" s="1052" t="str">
        <f t="shared" si="12"/>
        <v>2.3.2.01.01.003.06.011903012.48150</v>
      </c>
      <c r="AI399" s="1446"/>
      <c r="AJ399" s="928"/>
      <c r="AK399" s="1447"/>
    </row>
    <row r="400" spans="1:37" ht="139.5" hidden="1" customHeight="1" x14ac:dyDescent="0.2">
      <c r="A400" s="931">
        <v>318</v>
      </c>
      <c r="B400" s="820" t="s">
        <v>1502</v>
      </c>
      <c r="C400" s="793">
        <v>1</v>
      </c>
      <c r="D400" s="702" t="s">
        <v>1412</v>
      </c>
      <c r="E400" s="830" t="s">
        <v>1596</v>
      </c>
      <c r="F400" s="793">
        <v>6</v>
      </c>
      <c r="G400" s="793" t="s">
        <v>1395</v>
      </c>
      <c r="H400" s="897" t="s">
        <v>1593</v>
      </c>
      <c r="I400" s="1056">
        <v>350000000</v>
      </c>
      <c r="J400" s="832"/>
      <c r="K400" s="832"/>
      <c r="L400" s="832"/>
      <c r="M400" s="815">
        <v>61</v>
      </c>
      <c r="N400" s="1051" t="s">
        <v>2259</v>
      </c>
      <c r="O400" s="859"/>
      <c r="P400" s="859"/>
      <c r="Q400" s="859"/>
      <c r="R400" s="859"/>
      <c r="S400" s="859"/>
      <c r="T400" s="859"/>
      <c r="U400" s="904">
        <v>19</v>
      </c>
      <c r="V400" s="905" t="s">
        <v>1304</v>
      </c>
      <c r="W400" s="793">
        <v>1903</v>
      </c>
      <c r="X400" s="713" t="s">
        <v>922</v>
      </c>
      <c r="Y400" s="793">
        <v>19031</v>
      </c>
      <c r="Z400" s="791" t="s">
        <v>1503</v>
      </c>
      <c r="AA400" s="793" t="s">
        <v>1771</v>
      </c>
      <c r="AB400" s="770" t="s">
        <v>959</v>
      </c>
      <c r="AC400" s="846" t="s">
        <v>961</v>
      </c>
      <c r="AD400" s="770" t="s">
        <v>1508</v>
      </c>
      <c r="AE400" s="1162"/>
      <c r="AF400" s="959"/>
      <c r="AG400" s="845"/>
      <c r="AH400" s="1052" t="str">
        <f t="shared" si="12"/>
        <v>2.3.2.02.01.003.1903012.</v>
      </c>
      <c r="AI400" s="916" t="s">
        <v>1347</v>
      </c>
    </row>
    <row r="401" spans="1:35" ht="141" hidden="1" customHeight="1" x14ac:dyDescent="0.2">
      <c r="A401" s="931">
        <v>318</v>
      </c>
      <c r="B401" s="820" t="s">
        <v>1502</v>
      </c>
      <c r="C401" s="793">
        <v>1</v>
      </c>
      <c r="D401" s="702" t="s">
        <v>1412</v>
      </c>
      <c r="E401" s="830" t="s">
        <v>1540</v>
      </c>
      <c r="F401" s="793">
        <v>6</v>
      </c>
      <c r="G401" s="793" t="s">
        <v>1395</v>
      </c>
      <c r="H401" s="897" t="s">
        <v>1537</v>
      </c>
      <c r="I401" s="993">
        <v>94000000</v>
      </c>
      <c r="J401" s="832"/>
      <c r="K401" s="832"/>
      <c r="L401" s="832"/>
      <c r="M401" s="999">
        <v>61</v>
      </c>
      <c r="N401" s="961" t="s">
        <v>2259</v>
      </c>
      <c r="O401" s="859"/>
      <c r="P401" s="859"/>
      <c r="Q401" s="859"/>
      <c r="R401" s="859"/>
      <c r="S401" s="859"/>
      <c r="T401" s="859"/>
      <c r="U401" s="904">
        <v>19</v>
      </c>
      <c r="V401" s="905" t="s">
        <v>1304</v>
      </c>
      <c r="W401" s="793">
        <v>1903</v>
      </c>
      <c r="X401" s="713" t="s">
        <v>922</v>
      </c>
      <c r="Y401" s="793">
        <v>19031</v>
      </c>
      <c r="Z401" s="791" t="s">
        <v>1506</v>
      </c>
      <c r="AA401" s="793" t="s">
        <v>1772</v>
      </c>
      <c r="AB401" s="770" t="s">
        <v>965</v>
      </c>
      <c r="AC401" s="846" t="s">
        <v>961</v>
      </c>
      <c r="AD401" s="770" t="s">
        <v>1508</v>
      </c>
      <c r="AE401" s="793" t="s">
        <v>1549</v>
      </c>
      <c r="AF401" s="1068" t="s">
        <v>1389</v>
      </c>
      <c r="AG401" s="845"/>
      <c r="AH401" s="1052" t="str">
        <f t="shared" si="12"/>
        <v>2.3.2.02.02.009.1903016.91119.</v>
      </c>
      <c r="AI401" s="913"/>
    </row>
    <row r="402" spans="1:35" ht="162" hidden="1" customHeight="1" x14ac:dyDescent="0.2">
      <c r="A402" s="931">
        <v>318</v>
      </c>
      <c r="B402" s="820" t="s">
        <v>1502</v>
      </c>
      <c r="C402" s="793">
        <v>1</v>
      </c>
      <c r="D402" s="702" t="s">
        <v>1412</v>
      </c>
      <c r="E402" s="830" t="s">
        <v>1540</v>
      </c>
      <c r="F402" s="793">
        <v>6</v>
      </c>
      <c r="G402" s="793" t="s">
        <v>1395</v>
      </c>
      <c r="H402" s="897" t="s">
        <v>1537</v>
      </c>
      <c r="I402" s="1056">
        <v>94000000</v>
      </c>
      <c r="J402" s="832"/>
      <c r="K402" s="832"/>
      <c r="L402" s="832"/>
      <c r="M402" s="1051">
        <v>61</v>
      </c>
      <c r="N402" s="1051" t="s">
        <v>2259</v>
      </c>
      <c r="O402" s="859"/>
      <c r="P402" s="859"/>
      <c r="Q402" s="859"/>
      <c r="R402" s="859"/>
      <c r="S402" s="859"/>
      <c r="T402" s="859"/>
      <c r="U402" s="904">
        <v>19</v>
      </c>
      <c r="V402" s="905" t="s">
        <v>1304</v>
      </c>
      <c r="W402" s="793">
        <v>1903</v>
      </c>
      <c r="X402" s="713" t="s">
        <v>922</v>
      </c>
      <c r="Y402" s="793">
        <v>19031</v>
      </c>
      <c r="Z402" s="791" t="s">
        <v>1506</v>
      </c>
      <c r="AA402" s="793" t="s">
        <v>1768</v>
      </c>
      <c r="AB402" s="770" t="s">
        <v>948</v>
      </c>
      <c r="AC402" s="846" t="s">
        <v>961</v>
      </c>
      <c r="AD402" s="770" t="s">
        <v>1508</v>
      </c>
      <c r="AE402" s="793" t="s">
        <v>1549</v>
      </c>
      <c r="AF402" s="1068" t="s">
        <v>1389</v>
      </c>
      <c r="AG402" s="845"/>
      <c r="AH402" s="1052" t="str">
        <f t="shared" si="12"/>
        <v>2.3.2.02.02.009.1903011.91119.</v>
      </c>
      <c r="AI402" s="913"/>
    </row>
    <row r="403" spans="1:35" ht="120.75" hidden="1" customHeight="1" x14ac:dyDescent="0.2">
      <c r="A403" s="931">
        <v>318</v>
      </c>
      <c r="B403" s="820" t="s">
        <v>1502</v>
      </c>
      <c r="C403" s="793">
        <v>1</v>
      </c>
      <c r="D403" s="702" t="s">
        <v>1412</v>
      </c>
      <c r="E403" s="830" t="s">
        <v>1540</v>
      </c>
      <c r="F403" s="793">
        <v>6</v>
      </c>
      <c r="G403" s="793" t="s">
        <v>1395</v>
      </c>
      <c r="H403" s="897" t="s">
        <v>1537</v>
      </c>
      <c r="I403" s="1457">
        <v>96954000</v>
      </c>
      <c r="J403" s="832"/>
      <c r="K403" s="832"/>
      <c r="L403" s="832"/>
      <c r="M403" s="1051">
        <v>20</v>
      </c>
      <c r="N403" s="1051" t="s">
        <v>2267</v>
      </c>
      <c r="O403" s="859"/>
      <c r="P403" s="859"/>
      <c r="Q403" s="859"/>
      <c r="R403" s="859"/>
      <c r="S403" s="859"/>
      <c r="T403" s="859"/>
      <c r="U403" s="904">
        <v>19</v>
      </c>
      <c r="V403" s="905" t="s">
        <v>1304</v>
      </c>
      <c r="W403" s="793">
        <v>1903</v>
      </c>
      <c r="X403" s="713" t="s">
        <v>922</v>
      </c>
      <c r="Y403" s="793">
        <v>19031</v>
      </c>
      <c r="Z403" s="791" t="s">
        <v>1506</v>
      </c>
      <c r="AA403" s="793" t="s">
        <v>1773</v>
      </c>
      <c r="AB403" s="770" t="s">
        <v>102</v>
      </c>
      <c r="AC403" s="846" t="s">
        <v>969</v>
      </c>
      <c r="AD403" s="770" t="s">
        <v>1509</v>
      </c>
      <c r="AE403" s="793" t="s">
        <v>1549</v>
      </c>
      <c r="AF403" s="1068" t="s">
        <v>1389</v>
      </c>
      <c r="AG403" s="845"/>
      <c r="AH403" s="1052" t="str">
        <f t="shared" si="12"/>
        <v>2.3.2.02.02.009.1903034.91119.</v>
      </c>
      <c r="AI403" s="913"/>
    </row>
    <row r="404" spans="1:35" ht="171" hidden="1" customHeight="1" x14ac:dyDescent="0.2">
      <c r="A404" s="931">
        <v>318</v>
      </c>
      <c r="B404" s="820" t="s">
        <v>1502</v>
      </c>
      <c r="C404" s="793">
        <v>1</v>
      </c>
      <c r="D404" s="702" t="s">
        <v>1412</v>
      </c>
      <c r="E404" s="830" t="s">
        <v>1540</v>
      </c>
      <c r="F404" s="793">
        <v>6</v>
      </c>
      <c r="G404" s="793" t="s">
        <v>1395</v>
      </c>
      <c r="H404" s="897" t="s">
        <v>1537</v>
      </c>
      <c r="I404" s="1056">
        <v>19636000</v>
      </c>
      <c r="J404" s="832"/>
      <c r="K404" s="832"/>
      <c r="L404" s="832"/>
      <c r="M404" s="815">
        <v>20</v>
      </c>
      <c r="N404" s="861" t="s">
        <v>2267</v>
      </c>
      <c r="O404" s="859"/>
      <c r="P404" s="859"/>
      <c r="Q404" s="859"/>
      <c r="R404" s="859"/>
      <c r="S404" s="859"/>
      <c r="T404" s="859"/>
      <c r="U404" s="904">
        <v>19</v>
      </c>
      <c r="V404" s="905" t="s">
        <v>1304</v>
      </c>
      <c r="W404" s="793">
        <v>1903</v>
      </c>
      <c r="X404" s="713" t="s">
        <v>922</v>
      </c>
      <c r="Y404" s="793">
        <v>19031</v>
      </c>
      <c r="Z404" s="791" t="s">
        <v>1505</v>
      </c>
      <c r="AA404" s="793" t="s">
        <v>1774</v>
      </c>
      <c r="AB404" s="770" t="s">
        <v>973</v>
      </c>
      <c r="AC404" s="846" t="s">
        <v>975</v>
      </c>
      <c r="AD404" s="770" t="s">
        <v>1510</v>
      </c>
      <c r="AE404" s="793" t="s">
        <v>1549</v>
      </c>
      <c r="AF404" s="1068" t="s">
        <v>1389</v>
      </c>
      <c r="AG404" s="845"/>
      <c r="AH404" s="1052" t="str">
        <f t="shared" si="12"/>
        <v>2.3.2.02.02.009.1903045.91119.</v>
      </c>
      <c r="AI404" s="913"/>
    </row>
    <row r="405" spans="1:35" ht="166.5" hidden="1" customHeight="1" x14ac:dyDescent="0.2">
      <c r="A405" s="931">
        <v>318</v>
      </c>
      <c r="B405" s="820" t="s">
        <v>1502</v>
      </c>
      <c r="C405" s="793">
        <v>1</v>
      </c>
      <c r="D405" s="702" t="s">
        <v>1412</v>
      </c>
      <c r="E405" s="830" t="s">
        <v>1540</v>
      </c>
      <c r="F405" s="793">
        <v>6</v>
      </c>
      <c r="G405" s="793" t="s">
        <v>1395</v>
      </c>
      <c r="H405" s="897" t="s">
        <v>1537</v>
      </c>
      <c r="I405" s="1056">
        <v>15000000</v>
      </c>
      <c r="J405" s="832"/>
      <c r="K405" s="832"/>
      <c r="L405" s="832"/>
      <c r="M405" s="815">
        <v>20</v>
      </c>
      <c r="N405" s="861" t="s">
        <v>2267</v>
      </c>
      <c r="O405" s="859"/>
      <c r="P405" s="859"/>
      <c r="Q405" s="859"/>
      <c r="R405" s="859"/>
      <c r="S405" s="859"/>
      <c r="T405" s="859"/>
      <c r="U405" s="904">
        <v>19</v>
      </c>
      <c r="V405" s="905" t="s">
        <v>1304</v>
      </c>
      <c r="W405" s="793">
        <v>1903</v>
      </c>
      <c r="X405" s="713" t="s">
        <v>922</v>
      </c>
      <c r="Y405" s="793" t="s">
        <v>1944</v>
      </c>
      <c r="Z405" s="791" t="s">
        <v>1506</v>
      </c>
      <c r="AA405" s="793" t="s">
        <v>1769</v>
      </c>
      <c r="AB405" s="770" t="s">
        <v>85</v>
      </c>
      <c r="AC405" s="846" t="s">
        <v>975</v>
      </c>
      <c r="AD405" s="770" t="s">
        <v>1510</v>
      </c>
      <c r="AE405" s="793" t="s">
        <v>1549</v>
      </c>
      <c r="AF405" s="1068" t="s">
        <v>1389</v>
      </c>
      <c r="AG405" s="845"/>
      <c r="AH405" s="1052" t="str">
        <f t="shared" si="12"/>
        <v>2.3.2.02.02.009.1903001.91119.</v>
      </c>
      <c r="AI405" s="913"/>
    </row>
    <row r="406" spans="1:35" ht="137.25" hidden="1" customHeight="1" x14ac:dyDescent="0.2">
      <c r="A406" s="931">
        <v>318</v>
      </c>
      <c r="B406" s="820" t="s">
        <v>1502</v>
      </c>
      <c r="C406" s="793">
        <v>1</v>
      </c>
      <c r="D406" s="702" t="s">
        <v>1412</v>
      </c>
      <c r="E406" s="830" t="s">
        <v>1540</v>
      </c>
      <c r="F406" s="793">
        <v>6</v>
      </c>
      <c r="G406" s="793" t="s">
        <v>1395</v>
      </c>
      <c r="H406" s="897" t="s">
        <v>1537</v>
      </c>
      <c r="I406" s="1056">
        <v>15000000</v>
      </c>
      <c r="J406" s="832"/>
      <c r="K406" s="832"/>
      <c r="L406" s="832"/>
      <c r="M406" s="1051">
        <v>20</v>
      </c>
      <c r="N406" s="1051" t="s">
        <v>2267</v>
      </c>
      <c r="O406" s="859"/>
      <c r="P406" s="859"/>
      <c r="Q406" s="859"/>
      <c r="R406" s="859"/>
      <c r="S406" s="859"/>
      <c r="T406" s="859"/>
      <c r="U406" s="904">
        <v>19</v>
      </c>
      <c r="V406" s="905" t="s">
        <v>1304</v>
      </c>
      <c r="W406" s="793">
        <v>1903</v>
      </c>
      <c r="X406" s="713" t="s">
        <v>922</v>
      </c>
      <c r="Y406" s="793" t="s">
        <v>1944</v>
      </c>
      <c r="Z406" s="791" t="s">
        <v>1506</v>
      </c>
      <c r="AA406" s="907" t="s">
        <v>1775</v>
      </c>
      <c r="AB406" s="908" t="s">
        <v>979</v>
      </c>
      <c r="AC406" s="846" t="s">
        <v>975</v>
      </c>
      <c r="AD406" s="770" t="s">
        <v>1510</v>
      </c>
      <c r="AE406" s="793" t="s">
        <v>1549</v>
      </c>
      <c r="AF406" s="1068" t="s">
        <v>1389</v>
      </c>
      <c r="AG406" s="845"/>
      <c r="AH406" s="1052" t="str">
        <f t="shared" si="12"/>
        <v>2.3.2.02.02.009.1903010.91119.</v>
      </c>
      <c r="AI406" s="913"/>
    </row>
    <row r="407" spans="1:35" ht="150" hidden="1" customHeight="1" x14ac:dyDescent="0.2">
      <c r="A407" s="931">
        <v>318</v>
      </c>
      <c r="B407" s="820" t="s">
        <v>1502</v>
      </c>
      <c r="C407" s="793">
        <v>1</v>
      </c>
      <c r="D407" s="702" t="s">
        <v>1412</v>
      </c>
      <c r="E407" s="830" t="s">
        <v>1540</v>
      </c>
      <c r="F407" s="793">
        <v>6</v>
      </c>
      <c r="G407" s="793" t="s">
        <v>1395</v>
      </c>
      <c r="H407" s="897" t="s">
        <v>1537</v>
      </c>
      <c r="I407" s="1056">
        <v>15000000</v>
      </c>
      <c r="J407" s="832"/>
      <c r="K407" s="832"/>
      <c r="L407" s="832"/>
      <c r="M407" s="1051">
        <v>20</v>
      </c>
      <c r="N407" s="1051" t="s">
        <v>2267</v>
      </c>
      <c r="O407" s="859"/>
      <c r="P407" s="859"/>
      <c r="Q407" s="859"/>
      <c r="R407" s="859"/>
      <c r="S407" s="859"/>
      <c r="T407" s="859"/>
      <c r="U407" s="904">
        <v>19</v>
      </c>
      <c r="V407" s="905" t="s">
        <v>1304</v>
      </c>
      <c r="W407" s="793">
        <v>1903</v>
      </c>
      <c r="X407" s="713" t="s">
        <v>922</v>
      </c>
      <c r="Y407" s="793" t="s">
        <v>1944</v>
      </c>
      <c r="Z407" s="791" t="s">
        <v>1506</v>
      </c>
      <c r="AA407" s="793" t="s">
        <v>1768</v>
      </c>
      <c r="AB407" s="770" t="s">
        <v>948</v>
      </c>
      <c r="AC407" s="846" t="s">
        <v>975</v>
      </c>
      <c r="AD407" s="770" t="s">
        <v>1510</v>
      </c>
      <c r="AE407" s="793" t="s">
        <v>1549</v>
      </c>
      <c r="AF407" s="1068" t="s">
        <v>1389</v>
      </c>
      <c r="AG407" s="845"/>
      <c r="AH407" s="1052" t="str">
        <f t="shared" si="12"/>
        <v>2.3.2.02.02.009.1903011.91119.</v>
      </c>
      <c r="AI407" s="913"/>
    </row>
    <row r="408" spans="1:35" ht="168.75" hidden="1" customHeight="1" x14ac:dyDescent="0.2">
      <c r="A408" s="931">
        <v>318</v>
      </c>
      <c r="B408" s="820" t="s">
        <v>1502</v>
      </c>
      <c r="C408" s="793">
        <v>1</v>
      </c>
      <c r="D408" s="702" t="s">
        <v>1412</v>
      </c>
      <c r="E408" s="830" t="s">
        <v>1540</v>
      </c>
      <c r="F408" s="793">
        <v>6</v>
      </c>
      <c r="G408" s="793" t="s">
        <v>1395</v>
      </c>
      <c r="H408" s="897" t="s">
        <v>1537</v>
      </c>
      <c r="I408" s="1056">
        <v>15000000</v>
      </c>
      <c r="J408" s="832"/>
      <c r="K408" s="832"/>
      <c r="L408" s="832"/>
      <c r="M408" s="815">
        <v>72</v>
      </c>
      <c r="N408" s="861" t="s">
        <v>2268</v>
      </c>
      <c r="O408" s="859"/>
      <c r="P408" s="859"/>
      <c r="Q408" s="859"/>
      <c r="R408" s="859"/>
      <c r="S408" s="859"/>
      <c r="T408" s="859"/>
      <c r="U408" s="904">
        <v>19</v>
      </c>
      <c r="V408" s="905" t="s">
        <v>1304</v>
      </c>
      <c r="W408" s="793">
        <v>1903</v>
      </c>
      <c r="X408" s="713" t="s">
        <v>922</v>
      </c>
      <c r="Y408" s="793" t="s">
        <v>1944</v>
      </c>
      <c r="Z408" s="791" t="s">
        <v>1506</v>
      </c>
      <c r="AA408" s="793" t="s">
        <v>1776</v>
      </c>
      <c r="AB408" s="770" t="s">
        <v>983</v>
      </c>
      <c r="AC408" s="846" t="s">
        <v>985</v>
      </c>
      <c r="AD408" s="770" t="s">
        <v>1511</v>
      </c>
      <c r="AE408" s="793" t="s">
        <v>1549</v>
      </c>
      <c r="AF408" s="1068" t="s">
        <v>1389</v>
      </c>
      <c r="AG408" s="845"/>
      <c r="AH408" s="1052" t="str">
        <f t="shared" si="12"/>
        <v>2.3.2.02.02.009.1903047.91119.</v>
      </c>
      <c r="AI408" s="913"/>
    </row>
    <row r="409" spans="1:35" ht="175.5" hidden="1" customHeight="1" x14ac:dyDescent="0.2">
      <c r="A409" s="931">
        <v>318</v>
      </c>
      <c r="B409" s="820" t="s">
        <v>1502</v>
      </c>
      <c r="C409" s="793">
        <v>1</v>
      </c>
      <c r="D409" s="702" t="s">
        <v>1412</v>
      </c>
      <c r="E409" s="830" t="s">
        <v>1540</v>
      </c>
      <c r="F409" s="793">
        <v>6</v>
      </c>
      <c r="G409" s="793" t="s">
        <v>1395</v>
      </c>
      <c r="H409" s="897" t="s">
        <v>1537</v>
      </c>
      <c r="I409" s="1056">
        <v>55000000</v>
      </c>
      <c r="J409" s="832"/>
      <c r="K409" s="832"/>
      <c r="L409" s="832"/>
      <c r="M409" s="815">
        <v>72</v>
      </c>
      <c r="N409" s="861" t="s">
        <v>2268</v>
      </c>
      <c r="O409" s="859"/>
      <c r="P409" s="859"/>
      <c r="Q409" s="859"/>
      <c r="R409" s="859"/>
      <c r="S409" s="859"/>
      <c r="T409" s="859"/>
      <c r="U409" s="904">
        <v>19</v>
      </c>
      <c r="V409" s="905" t="s">
        <v>1304</v>
      </c>
      <c r="W409" s="793">
        <v>1903</v>
      </c>
      <c r="X409" s="713" t="s">
        <v>922</v>
      </c>
      <c r="Y409" s="793" t="s">
        <v>1944</v>
      </c>
      <c r="Z409" s="791" t="s">
        <v>1506</v>
      </c>
      <c r="AA409" s="793" t="s">
        <v>1777</v>
      </c>
      <c r="AB409" s="770" t="s">
        <v>989</v>
      </c>
      <c r="AC409" s="846" t="s">
        <v>985</v>
      </c>
      <c r="AD409" s="770" t="s">
        <v>1511</v>
      </c>
      <c r="AE409" s="793" t="s">
        <v>1549</v>
      </c>
      <c r="AF409" s="1068" t="s">
        <v>1389</v>
      </c>
      <c r="AG409" s="845"/>
      <c r="AH409" s="1052" t="str">
        <f t="shared" ref="AH409:AH482" si="13">CONCATENATE(E409,AA409,AE409)</f>
        <v>2.3.2.02.02.009.1903019.91119.</v>
      </c>
      <c r="AI409" s="913"/>
    </row>
    <row r="410" spans="1:35" ht="124.5" hidden="1" customHeight="1" x14ac:dyDescent="0.2">
      <c r="A410" s="931">
        <v>318</v>
      </c>
      <c r="B410" s="820" t="s">
        <v>1502</v>
      </c>
      <c r="C410" s="793">
        <v>1</v>
      </c>
      <c r="D410" s="702" t="s">
        <v>1412</v>
      </c>
      <c r="E410" s="830" t="s">
        <v>1540</v>
      </c>
      <c r="F410" s="793">
        <v>6</v>
      </c>
      <c r="G410" s="793" t="s">
        <v>1395</v>
      </c>
      <c r="H410" s="897" t="s">
        <v>1537</v>
      </c>
      <c r="I410" s="1056">
        <v>40000000</v>
      </c>
      <c r="J410" s="832"/>
      <c r="K410" s="832"/>
      <c r="L410" s="832"/>
      <c r="M410" s="815">
        <v>72</v>
      </c>
      <c r="N410" s="861" t="s">
        <v>2268</v>
      </c>
      <c r="O410" s="859"/>
      <c r="P410" s="859"/>
      <c r="Q410" s="859"/>
      <c r="R410" s="859"/>
      <c r="S410" s="859"/>
      <c r="T410" s="859"/>
      <c r="U410" s="904">
        <v>19</v>
      </c>
      <c r="V410" s="905" t="s">
        <v>1304</v>
      </c>
      <c r="W410" s="793">
        <v>1903</v>
      </c>
      <c r="X410" s="713" t="s">
        <v>922</v>
      </c>
      <c r="Y410" s="793" t="s">
        <v>1944</v>
      </c>
      <c r="Z410" s="791" t="s">
        <v>1506</v>
      </c>
      <c r="AA410" s="793" t="s">
        <v>1778</v>
      </c>
      <c r="AB410" s="770" t="s">
        <v>992</v>
      </c>
      <c r="AC410" s="846" t="s">
        <v>985</v>
      </c>
      <c r="AD410" s="770" t="s">
        <v>1511</v>
      </c>
      <c r="AE410" s="793" t="s">
        <v>1549</v>
      </c>
      <c r="AF410" s="1068" t="s">
        <v>1389</v>
      </c>
      <c r="AG410" s="845"/>
      <c r="AH410" s="1052" t="str">
        <f t="shared" si="13"/>
        <v>2.3.2.02.02.009.1903028.91119.</v>
      </c>
      <c r="AI410" s="913"/>
    </row>
    <row r="411" spans="1:35" ht="135" hidden="1" customHeight="1" x14ac:dyDescent="0.2">
      <c r="A411" s="931">
        <v>318</v>
      </c>
      <c r="B411" s="820" t="s">
        <v>1502</v>
      </c>
      <c r="C411" s="793">
        <v>1</v>
      </c>
      <c r="D411" s="702" t="s">
        <v>1412</v>
      </c>
      <c r="E411" s="830" t="s">
        <v>1540</v>
      </c>
      <c r="F411" s="793">
        <v>6</v>
      </c>
      <c r="G411" s="793" t="s">
        <v>1395</v>
      </c>
      <c r="H411" s="897" t="s">
        <v>1537</v>
      </c>
      <c r="I411" s="1056">
        <v>40000000</v>
      </c>
      <c r="J411" s="832"/>
      <c r="K411" s="832"/>
      <c r="L411" s="832"/>
      <c r="M411" s="815">
        <v>72</v>
      </c>
      <c r="N411" s="861" t="s">
        <v>2268</v>
      </c>
      <c r="O411" s="859"/>
      <c r="P411" s="859"/>
      <c r="Q411" s="859"/>
      <c r="R411" s="859"/>
      <c r="S411" s="859"/>
      <c r="T411" s="859"/>
      <c r="U411" s="904">
        <v>19</v>
      </c>
      <c r="V411" s="905" t="s">
        <v>1304</v>
      </c>
      <c r="W411" s="793">
        <v>1903</v>
      </c>
      <c r="X411" s="713" t="s">
        <v>922</v>
      </c>
      <c r="Y411" s="793" t="s">
        <v>1944</v>
      </c>
      <c r="Z411" s="791" t="s">
        <v>1506</v>
      </c>
      <c r="AA411" s="793" t="s">
        <v>1779</v>
      </c>
      <c r="AB411" s="770" t="s">
        <v>994</v>
      </c>
      <c r="AC411" s="846" t="s">
        <v>985</v>
      </c>
      <c r="AD411" s="770" t="s">
        <v>1511</v>
      </c>
      <c r="AE411" s="793" t="s">
        <v>1549</v>
      </c>
      <c r="AF411" s="1068" t="s">
        <v>1389</v>
      </c>
      <c r="AG411" s="845"/>
      <c r="AH411" s="1052" t="str">
        <f t="shared" si="13"/>
        <v>2.3.2.02.02.009.1903025.91119.</v>
      </c>
      <c r="AI411" s="913"/>
    </row>
    <row r="412" spans="1:35" ht="162" hidden="1" customHeight="1" x14ac:dyDescent="0.2">
      <c r="A412" s="931">
        <v>318</v>
      </c>
      <c r="B412" s="820" t="s">
        <v>1502</v>
      </c>
      <c r="C412" s="793">
        <v>1</v>
      </c>
      <c r="D412" s="702" t="s">
        <v>1412</v>
      </c>
      <c r="E412" s="830" t="s">
        <v>1540</v>
      </c>
      <c r="F412" s="793">
        <v>6</v>
      </c>
      <c r="G412" s="793" t="s">
        <v>1395</v>
      </c>
      <c r="H412" s="897" t="s">
        <v>1537</v>
      </c>
      <c r="I412" s="1056">
        <v>38000000</v>
      </c>
      <c r="J412" s="832"/>
      <c r="K412" s="832"/>
      <c r="L412" s="832"/>
      <c r="M412" s="1051">
        <v>61</v>
      </c>
      <c r="N412" s="1051" t="s">
        <v>2259</v>
      </c>
      <c r="O412" s="859"/>
      <c r="P412" s="859"/>
      <c r="Q412" s="859"/>
      <c r="R412" s="859"/>
      <c r="S412" s="859"/>
      <c r="T412" s="859"/>
      <c r="U412" s="904">
        <v>19</v>
      </c>
      <c r="V412" s="905" t="s">
        <v>1304</v>
      </c>
      <c r="W412" s="793">
        <v>1905</v>
      </c>
      <c r="X412" s="713" t="s">
        <v>743</v>
      </c>
      <c r="Y412" s="793" t="s">
        <v>1945</v>
      </c>
      <c r="Z412" s="791" t="s">
        <v>1476</v>
      </c>
      <c r="AA412" s="793" t="s">
        <v>1780</v>
      </c>
      <c r="AB412" s="770" t="s">
        <v>996</v>
      </c>
      <c r="AC412" s="846" t="s">
        <v>998</v>
      </c>
      <c r="AD412" s="770" t="s">
        <v>1512</v>
      </c>
      <c r="AE412" s="793" t="s">
        <v>1549</v>
      </c>
      <c r="AF412" s="1068" t="s">
        <v>1389</v>
      </c>
      <c r="AG412" s="856"/>
      <c r="AH412" s="1052" t="str">
        <f t="shared" si="13"/>
        <v>2.3.2.02.02.009.1905028.91119.</v>
      </c>
      <c r="AI412" s="913"/>
    </row>
    <row r="413" spans="1:35" ht="148.5" hidden="1" customHeight="1" x14ac:dyDescent="0.2">
      <c r="A413" s="931">
        <v>318</v>
      </c>
      <c r="B413" s="820" t="s">
        <v>1502</v>
      </c>
      <c r="C413" s="793">
        <v>1</v>
      </c>
      <c r="D413" s="702" t="s">
        <v>1412</v>
      </c>
      <c r="E413" s="830" t="s">
        <v>1540</v>
      </c>
      <c r="F413" s="793">
        <v>6</v>
      </c>
      <c r="G413" s="793" t="s">
        <v>1395</v>
      </c>
      <c r="H413" s="897" t="s">
        <v>1537</v>
      </c>
      <c r="I413" s="1056">
        <v>38000000</v>
      </c>
      <c r="J413" s="832"/>
      <c r="K413" s="832"/>
      <c r="L413" s="832"/>
      <c r="M413" s="1051">
        <v>61</v>
      </c>
      <c r="N413" s="1051" t="s">
        <v>2259</v>
      </c>
      <c r="O413" s="859"/>
      <c r="P413" s="859"/>
      <c r="Q413" s="859"/>
      <c r="R413" s="859"/>
      <c r="S413" s="859"/>
      <c r="T413" s="859"/>
      <c r="U413" s="904">
        <v>19</v>
      </c>
      <c r="V413" s="905" t="s">
        <v>1304</v>
      </c>
      <c r="W413" s="793">
        <v>1905</v>
      </c>
      <c r="X413" s="713" t="s">
        <v>743</v>
      </c>
      <c r="Y413" s="793" t="s">
        <v>1945</v>
      </c>
      <c r="Z413" s="791" t="s">
        <v>1476</v>
      </c>
      <c r="AA413" s="793" t="s">
        <v>1781</v>
      </c>
      <c r="AB413" s="770" t="s">
        <v>1001</v>
      </c>
      <c r="AC413" s="846" t="s">
        <v>998</v>
      </c>
      <c r="AD413" s="770" t="s">
        <v>1512</v>
      </c>
      <c r="AE413" s="793" t="s">
        <v>1549</v>
      </c>
      <c r="AF413" s="1068" t="s">
        <v>1389</v>
      </c>
      <c r="AG413" s="856"/>
      <c r="AH413" s="1052" t="str">
        <f t="shared" si="13"/>
        <v>2.3.2.02.02.009.1905031.91119.</v>
      </c>
      <c r="AI413" s="913"/>
    </row>
    <row r="414" spans="1:35" ht="147" hidden="1" customHeight="1" x14ac:dyDescent="0.2">
      <c r="A414" s="931">
        <v>318</v>
      </c>
      <c r="B414" s="820" t="s">
        <v>1502</v>
      </c>
      <c r="C414" s="793">
        <v>1</v>
      </c>
      <c r="D414" s="702" t="s">
        <v>1412</v>
      </c>
      <c r="E414" s="830" t="s">
        <v>1540</v>
      </c>
      <c r="F414" s="793">
        <v>6</v>
      </c>
      <c r="G414" s="793" t="s">
        <v>1395</v>
      </c>
      <c r="H414" s="897" t="s">
        <v>1537</v>
      </c>
      <c r="I414" s="1457">
        <v>20000000</v>
      </c>
      <c r="J414" s="832"/>
      <c r="K414" s="832"/>
      <c r="L414" s="832"/>
      <c r="M414" s="1051">
        <v>61</v>
      </c>
      <c r="N414" s="1051" t="s">
        <v>2259</v>
      </c>
      <c r="O414" s="859"/>
      <c r="P414" s="859"/>
      <c r="Q414" s="859"/>
      <c r="R414" s="859"/>
      <c r="S414" s="859"/>
      <c r="T414" s="859"/>
      <c r="U414" s="904">
        <v>19</v>
      </c>
      <c r="V414" s="905" t="s">
        <v>1304</v>
      </c>
      <c r="W414" s="793">
        <v>1905</v>
      </c>
      <c r="X414" s="713" t="s">
        <v>743</v>
      </c>
      <c r="Y414" s="793" t="s">
        <v>1945</v>
      </c>
      <c r="Z414" s="791" t="s">
        <v>1476</v>
      </c>
      <c r="AA414" s="793" t="s">
        <v>1782</v>
      </c>
      <c r="AB414" s="770" t="s">
        <v>1004</v>
      </c>
      <c r="AC414" s="846" t="s">
        <v>1005</v>
      </c>
      <c r="AD414" s="770" t="s">
        <v>1006</v>
      </c>
      <c r="AE414" s="793" t="s">
        <v>1549</v>
      </c>
      <c r="AF414" s="1068" t="s">
        <v>1389</v>
      </c>
      <c r="AG414" s="845"/>
      <c r="AH414" s="1052" t="str">
        <f t="shared" si="13"/>
        <v>2.3.2.02.02.009.1905019.91119.</v>
      </c>
      <c r="AI414" s="913"/>
    </row>
    <row r="415" spans="1:35" ht="150" hidden="1" customHeight="1" x14ac:dyDescent="0.2">
      <c r="A415" s="931">
        <v>318</v>
      </c>
      <c r="B415" s="820" t="s">
        <v>1502</v>
      </c>
      <c r="C415" s="793">
        <v>1</v>
      </c>
      <c r="D415" s="702" t="s">
        <v>1412</v>
      </c>
      <c r="E415" s="830" t="s">
        <v>1540</v>
      </c>
      <c r="F415" s="793">
        <v>6</v>
      </c>
      <c r="G415" s="793" t="s">
        <v>1395</v>
      </c>
      <c r="H415" s="897" t="s">
        <v>1537</v>
      </c>
      <c r="I415" s="1457">
        <v>20000000</v>
      </c>
      <c r="J415" s="832"/>
      <c r="K415" s="832"/>
      <c r="L415" s="832"/>
      <c r="M415" s="1051">
        <v>61</v>
      </c>
      <c r="N415" s="1051" t="s">
        <v>2259</v>
      </c>
      <c r="O415" s="859"/>
      <c r="P415" s="859"/>
      <c r="Q415" s="859"/>
      <c r="R415" s="859"/>
      <c r="S415" s="859"/>
      <c r="T415" s="859"/>
      <c r="U415" s="904">
        <v>19</v>
      </c>
      <c r="V415" s="905" t="s">
        <v>1304</v>
      </c>
      <c r="W415" s="793">
        <v>1905</v>
      </c>
      <c r="X415" s="713" t="s">
        <v>743</v>
      </c>
      <c r="Y415" s="793" t="s">
        <v>1945</v>
      </c>
      <c r="Z415" s="791" t="s">
        <v>1476</v>
      </c>
      <c r="AA415" s="275" t="s">
        <v>1783</v>
      </c>
      <c r="AB415" s="770" t="s">
        <v>1009</v>
      </c>
      <c r="AC415" s="846" t="s">
        <v>1005</v>
      </c>
      <c r="AD415" s="770" t="s">
        <v>1006</v>
      </c>
      <c r="AE415" s="793" t="s">
        <v>1549</v>
      </c>
      <c r="AF415" s="1068" t="s">
        <v>1389</v>
      </c>
      <c r="AG415" s="845"/>
      <c r="AH415" s="1052" t="str">
        <f t="shared" si="13"/>
        <v>2.3.2.02.02.009.1905021.91119.</v>
      </c>
      <c r="AI415" s="913"/>
    </row>
    <row r="416" spans="1:35" ht="159" hidden="1" customHeight="1" x14ac:dyDescent="0.2">
      <c r="A416" s="931">
        <v>318</v>
      </c>
      <c r="B416" s="820" t="s">
        <v>1502</v>
      </c>
      <c r="C416" s="793">
        <v>1</v>
      </c>
      <c r="D416" s="702" t="s">
        <v>1412</v>
      </c>
      <c r="E416" s="830" t="s">
        <v>1540</v>
      </c>
      <c r="F416" s="793">
        <v>6</v>
      </c>
      <c r="G416" s="793" t="s">
        <v>1395</v>
      </c>
      <c r="H416" s="897" t="s">
        <v>1537</v>
      </c>
      <c r="I416" s="1457">
        <v>20000000</v>
      </c>
      <c r="J416" s="832"/>
      <c r="K416" s="832"/>
      <c r="L416" s="832"/>
      <c r="M416" s="1051">
        <v>61</v>
      </c>
      <c r="N416" s="1051" t="s">
        <v>2259</v>
      </c>
      <c r="O416" s="859"/>
      <c r="P416" s="859"/>
      <c r="Q416" s="859"/>
      <c r="R416" s="859"/>
      <c r="S416" s="859"/>
      <c r="T416" s="859"/>
      <c r="U416" s="904">
        <v>19</v>
      </c>
      <c r="V416" s="905" t="s">
        <v>1304</v>
      </c>
      <c r="W416" s="793">
        <v>1905</v>
      </c>
      <c r="X416" s="713" t="s">
        <v>743</v>
      </c>
      <c r="Y416" s="793" t="s">
        <v>1945</v>
      </c>
      <c r="Z416" s="791" t="s">
        <v>1476</v>
      </c>
      <c r="AA416" s="275" t="s">
        <v>1784</v>
      </c>
      <c r="AB416" s="770" t="s">
        <v>1012</v>
      </c>
      <c r="AC416" s="846" t="s">
        <v>1005</v>
      </c>
      <c r="AD416" s="770" t="s">
        <v>1006</v>
      </c>
      <c r="AE416" s="793" t="s">
        <v>1549</v>
      </c>
      <c r="AF416" s="1068" t="s">
        <v>1389</v>
      </c>
      <c r="AG416" s="845"/>
      <c r="AH416" s="1052" t="str">
        <f t="shared" si="13"/>
        <v>2.3.2.02.02.009.1905015.91119.</v>
      </c>
      <c r="AI416" s="913"/>
    </row>
    <row r="417" spans="1:35" ht="126" hidden="1" customHeight="1" x14ac:dyDescent="0.2">
      <c r="A417" s="931">
        <v>318</v>
      </c>
      <c r="B417" s="820" t="s">
        <v>1502</v>
      </c>
      <c r="C417" s="793">
        <v>1</v>
      </c>
      <c r="D417" s="702" t="s">
        <v>1412</v>
      </c>
      <c r="E417" s="830" t="s">
        <v>1540</v>
      </c>
      <c r="F417" s="793">
        <v>6</v>
      </c>
      <c r="G417" s="793" t="s">
        <v>1395</v>
      </c>
      <c r="H417" s="897" t="s">
        <v>1537</v>
      </c>
      <c r="I417" s="1457">
        <v>64000000</v>
      </c>
      <c r="J417" s="832"/>
      <c r="K417" s="832"/>
      <c r="L417" s="832"/>
      <c r="M417" s="1051">
        <v>61</v>
      </c>
      <c r="N417" s="1051" t="s">
        <v>2259</v>
      </c>
      <c r="O417" s="859"/>
      <c r="P417" s="859"/>
      <c r="Q417" s="859"/>
      <c r="R417" s="859"/>
      <c r="S417" s="859"/>
      <c r="T417" s="859"/>
      <c r="U417" s="904">
        <v>19</v>
      </c>
      <c r="V417" s="905" t="s">
        <v>1304</v>
      </c>
      <c r="W417" s="793">
        <v>1905</v>
      </c>
      <c r="X417" s="713" t="s">
        <v>743</v>
      </c>
      <c r="Y417" s="793" t="s">
        <v>1945</v>
      </c>
      <c r="Z417" s="791" t="s">
        <v>1476</v>
      </c>
      <c r="AA417" s="275" t="s">
        <v>1785</v>
      </c>
      <c r="AB417" s="770" t="s">
        <v>1014</v>
      </c>
      <c r="AC417" s="846" t="s">
        <v>1005</v>
      </c>
      <c r="AD417" s="770" t="s">
        <v>1006</v>
      </c>
      <c r="AE417" s="793" t="s">
        <v>1549</v>
      </c>
      <c r="AF417" s="1068" t="s">
        <v>1389</v>
      </c>
      <c r="AG417" s="845"/>
      <c r="AH417" s="1052" t="str">
        <f t="shared" si="13"/>
        <v>2.3.2.02.02.009.1905014.91119.</v>
      </c>
      <c r="AI417" s="913"/>
    </row>
    <row r="418" spans="1:35" ht="124.5" hidden="1" customHeight="1" x14ac:dyDescent="0.2">
      <c r="A418" s="931">
        <v>318</v>
      </c>
      <c r="B418" s="820" t="s">
        <v>1502</v>
      </c>
      <c r="C418" s="793">
        <v>1</v>
      </c>
      <c r="D418" s="702" t="s">
        <v>1412</v>
      </c>
      <c r="E418" s="830" t="s">
        <v>1394</v>
      </c>
      <c r="F418" s="793">
        <v>6</v>
      </c>
      <c r="G418" s="793" t="s">
        <v>1395</v>
      </c>
      <c r="H418" s="897" t="s">
        <v>1537</v>
      </c>
      <c r="I418" s="1457">
        <v>20000000</v>
      </c>
      <c r="J418" s="832"/>
      <c r="K418" s="832"/>
      <c r="L418" s="832"/>
      <c r="M418" s="1051">
        <v>61</v>
      </c>
      <c r="N418" s="1051" t="s">
        <v>2259</v>
      </c>
      <c r="O418" s="859"/>
      <c r="P418" s="859"/>
      <c r="Q418" s="859"/>
      <c r="R418" s="859"/>
      <c r="S418" s="859"/>
      <c r="T418" s="859"/>
      <c r="U418" s="904">
        <v>19</v>
      </c>
      <c r="V418" s="905" t="s">
        <v>1304</v>
      </c>
      <c r="W418" s="793">
        <v>1905</v>
      </c>
      <c r="X418" s="713" t="s">
        <v>743</v>
      </c>
      <c r="Y418" s="793" t="s">
        <v>1945</v>
      </c>
      <c r="Z418" s="791" t="s">
        <v>1476</v>
      </c>
      <c r="AA418" s="275" t="s">
        <v>1784</v>
      </c>
      <c r="AB418" s="770" t="s">
        <v>1017</v>
      </c>
      <c r="AC418" s="846" t="s">
        <v>1005</v>
      </c>
      <c r="AD418" s="770" t="s">
        <v>1006</v>
      </c>
      <c r="AE418" s="793" t="s">
        <v>1549</v>
      </c>
      <c r="AF418" s="1068" t="s">
        <v>1389</v>
      </c>
      <c r="AG418" s="845"/>
      <c r="AH418" s="1052" t="str">
        <f t="shared" si="13"/>
        <v>2.3.2.02.02.0091905015.91119.</v>
      </c>
      <c r="AI418" s="913"/>
    </row>
    <row r="419" spans="1:35" s="4" customFormat="1" ht="118.5" hidden="1" customHeight="1" x14ac:dyDescent="0.2">
      <c r="A419" s="931">
        <v>318</v>
      </c>
      <c r="B419" s="820" t="s">
        <v>1502</v>
      </c>
      <c r="C419" s="793">
        <v>1</v>
      </c>
      <c r="D419" s="702" t="s">
        <v>1412</v>
      </c>
      <c r="E419" s="830" t="s">
        <v>1540</v>
      </c>
      <c r="F419" s="793">
        <v>6</v>
      </c>
      <c r="G419" s="793" t="s">
        <v>1395</v>
      </c>
      <c r="H419" s="897" t="s">
        <v>1537</v>
      </c>
      <c r="I419" s="1457">
        <v>28000000</v>
      </c>
      <c r="J419" s="832"/>
      <c r="K419" s="832"/>
      <c r="L419" s="832"/>
      <c r="M419" s="1051">
        <v>61</v>
      </c>
      <c r="N419" s="1051" t="s">
        <v>2259</v>
      </c>
      <c r="O419" s="859"/>
      <c r="P419" s="859"/>
      <c r="Q419" s="859"/>
      <c r="R419" s="859"/>
      <c r="S419" s="859"/>
      <c r="T419" s="859"/>
      <c r="U419" s="904">
        <v>19</v>
      </c>
      <c r="V419" s="905" t="s">
        <v>1304</v>
      </c>
      <c r="W419" s="793">
        <v>1905</v>
      </c>
      <c r="X419" s="713" t="s">
        <v>743</v>
      </c>
      <c r="Y419" s="793" t="s">
        <v>1945</v>
      </c>
      <c r="Z419" s="791" t="s">
        <v>1476</v>
      </c>
      <c r="AA419" s="699" t="s">
        <v>1786</v>
      </c>
      <c r="AB419" s="770" t="s">
        <v>1019</v>
      </c>
      <c r="AC419" s="846" t="s">
        <v>1005</v>
      </c>
      <c r="AD419" s="770" t="s">
        <v>1006</v>
      </c>
      <c r="AE419" s="793" t="s">
        <v>1549</v>
      </c>
      <c r="AF419" s="1068" t="s">
        <v>1389</v>
      </c>
      <c r="AG419" s="845"/>
      <c r="AH419" s="1052" t="str">
        <f t="shared" si="13"/>
        <v>2.3.2.02.02.009.1905024.91119.</v>
      </c>
      <c r="AI419" s="915"/>
    </row>
    <row r="420" spans="1:35" ht="89.25" hidden="1" customHeight="1" x14ac:dyDescent="0.2">
      <c r="A420" s="931">
        <v>318</v>
      </c>
      <c r="B420" s="820" t="s">
        <v>1502</v>
      </c>
      <c r="C420" s="793">
        <v>1</v>
      </c>
      <c r="D420" s="702" t="s">
        <v>1412</v>
      </c>
      <c r="E420" s="830" t="s">
        <v>1540</v>
      </c>
      <c r="F420" s="793">
        <v>6</v>
      </c>
      <c r="G420" s="793" t="s">
        <v>1395</v>
      </c>
      <c r="H420" s="897" t="s">
        <v>1537</v>
      </c>
      <c r="I420" s="1457">
        <v>28000000</v>
      </c>
      <c r="J420" s="832"/>
      <c r="K420" s="832"/>
      <c r="L420" s="832"/>
      <c r="M420" s="1051">
        <v>61</v>
      </c>
      <c r="N420" s="1051" t="s">
        <v>2259</v>
      </c>
      <c r="O420" s="859"/>
      <c r="P420" s="859"/>
      <c r="Q420" s="859"/>
      <c r="R420" s="859"/>
      <c r="S420" s="859"/>
      <c r="T420" s="859"/>
      <c r="U420" s="904">
        <v>19</v>
      </c>
      <c r="V420" s="905" t="s">
        <v>1304</v>
      </c>
      <c r="W420" s="793">
        <v>1905</v>
      </c>
      <c r="X420" s="713" t="s">
        <v>743</v>
      </c>
      <c r="Y420" s="793" t="s">
        <v>1945</v>
      </c>
      <c r="Z420" s="791" t="s">
        <v>1476</v>
      </c>
      <c r="AA420" s="699" t="s">
        <v>1786</v>
      </c>
      <c r="AB420" s="770" t="s">
        <v>1021</v>
      </c>
      <c r="AC420" s="846" t="s">
        <v>1005</v>
      </c>
      <c r="AD420" s="770" t="s">
        <v>1006</v>
      </c>
      <c r="AE420" s="793" t="s">
        <v>1549</v>
      </c>
      <c r="AF420" s="1068" t="s">
        <v>1389</v>
      </c>
      <c r="AG420" s="845"/>
      <c r="AH420" s="1052" t="str">
        <f t="shared" si="13"/>
        <v>2.3.2.02.02.009.1905024.91119.</v>
      </c>
      <c r="AI420" s="913"/>
    </row>
    <row r="421" spans="1:35" ht="99" hidden="1" customHeight="1" x14ac:dyDescent="0.2">
      <c r="A421" s="931">
        <v>318</v>
      </c>
      <c r="B421" s="820" t="s">
        <v>1502</v>
      </c>
      <c r="C421" s="793">
        <v>1</v>
      </c>
      <c r="D421" s="702" t="s">
        <v>1412</v>
      </c>
      <c r="E421" s="830" t="s">
        <v>1540</v>
      </c>
      <c r="F421" s="793">
        <v>6</v>
      </c>
      <c r="G421" s="793" t="s">
        <v>1395</v>
      </c>
      <c r="H421" s="897" t="s">
        <v>1537</v>
      </c>
      <c r="I421" s="1056">
        <v>105000000</v>
      </c>
      <c r="J421" s="832"/>
      <c r="K421" s="832"/>
      <c r="L421" s="832"/>
      <c r="M421" s="1051">
        <v>61</v>
      </c>
      <c r="N421" s="1051" t="s">
        <v>2259</v>
      </c>
      <c r="O421" s="859"/>
      <c r="P421" s="859"/>
      <c r="Q421" s="859"/>
      <c r="R421" s="859"/>
      <c r="S421" s="859"/>
      <c r="T421" s="859"/>
      <c r="U421" s="904">
        <v>19</v>
      </c>
      <c r="V421" s="905" t="s">
        <v>1304</v>
      </c>
      <c r="W421" s="793">
        <v>1905</v>
      </c>
      <c r="X421" s="713" t="s">
        <v>743</v>
      </c>
      <c r="Y421" s="793" t="s">
        <v>1945</v>
      </c>
      <c r="Z421" s="791" t="s">
        <v>1476</v>
      </c>
      <c r="AA421" s="793" t="s">
        <v>1783</v>
      </c>
      <c r="AB421" s="770" t="s">
        <v>745</v>
      </c>
      <c r="AC421" s="846" t="s">
        <v>1023</v>
      </c>
      <c r="AD421" s="770" t="s">
        <v>1513</v>
      </c>
      <c r="AE421" s="835" t="s">
        <v>1764</v>
      </c>
      <c r="AF421" s="844" t="s">
        <v>1763</v>
      </c>
      <c r="AG421" s="845"/>
      <c r="AH421" s="1052" t="str">
        <f t="shared" si="13"/>
        <v>2.3.2.02.02.009.1905021.91122.</v>
      </c>
      <c r="AI421" s="913"/>
    </row>
    <row r="422" spans="1:35" ht="114" hidden="1" customHeight="1" x14ac:dyDescent="0.2">
      <c r="A422" s="931">
        <v>318</v>
      </c>
      <c r="B422" s="820" t="s">
        <v>1502</v>
      </c>
      <c r="C422" s="793">
        <v>1</v>
      </c>
      <c r="D422" s="702" t="s">
        <v>1412</v>
      </c>
      <c r="E422" s="830" t="s">
        <v>1540</v>
      </c>
      <c r="F422" s="793">
        <v>6</v>
      </c>
      <c r="G422" s="793" t="s">
        <v>1395</v>
      </c>
      <c r="H422" s="897" t="s">
        <v>1537</v>
      </c>
      <c r="I422" s="1056">
        <v>56000000</v>
      </c>
      <c r="J422" s="832"/>
      <c r="K422" s="832"/>
      <c r="L422" s="832"/>
      <c r="M422" s="1051">
        <v>61</v>
      </c>
      <c r="N422" s="1051" t="s">
        <v>2259</v>
      </c>
      <c r="O422" s="859"/>
      <c r="P422" s="859"/>
      <c r="Q422" s="859"/>
      <c r="R422" s="859"/>
      <c r="S422" s="859"/>
      <c r="T422" s="859"/>
      <c r="U422" s="904">
        <v>19</v>
      </c>
      <c r="V422" s="905" t="s">
        <v>1304</v>
      </c>
      <c r="W422" s="793">
        <v>1905</v>
      </c>
      <c r="X422" s="713" t="s">
        <v>743</v>
      </c>
      <c r="Y422" s="793" t="s">
        <v>1945</v>
      </c>
      <c r="Z422" s="791" t="s">
        <v>1476</v>
      </c>
      <c r="AA422" s="699" t="s">
        <v>1783</v>
      </c>
      <c r="AB422" s="770" t="s">
        <v>1026</v>
      </c>
      <c r="AC422" s="846" t="s">
        <v>1023</v>
      </c>
      <c r="AD422" s="770" t="s">
        <v>1513</v>
      </c>
      <c r="AE422" s="835" t="s">
        <v>1764</v>
      </c>
      <c r="AF422" s="844" t="s">
        <v>1763</v>
      </c>
      <c r="AG422" s="845"/>
      <c r="AH422" s="1052" t="str">
        <f t="shared" si="13"/>
        <v>2.3.2.02.02.009.1905021.91122.</v>
      </c>
      <c r="AI422" s="913"/>
    </row>
    <row r="423" spans="1:35" ht="126" hidden="1" customHeight="1" x14ac:dyDescent="0.2">
      <c r="A423" s="931">
        <v>318</v>
      </c>
      <c r="B423" s="820" t="s">
        <v>1502</v>
      </c>
      <c r="C423" s="793">
        <v>1</v>
      </c>
      <c r="D423" s="702" t="s">
        <v>1412</v>
      </c>
      <c r="E423" s="830" t="s">
        <v>1540</v>
      </c>
      <c r="F423" s="793">
        <v>6</v>
      </c>
      <c r="G423" s="793" t="s">
        <v>1395</v>
      </c>
      <c r="H423" s="897" t="s">
        <v>1537</v>
      </c>
      <c r="I423" s="1056">
        <v>38000000</v>
      </c>
      <c r="J423" s="832"/>
      <c r="K423" s="832"/>
      <c r="L423" s="832"/>
      <c r="M423" s="1051">
        <v>61</v>
      </c>
      <c r="N423" s="1051" t="s">
        <v>2259</v>
      </c>
      <c r="O423" s="859"/>
      <c r="P423" s="859"/>
      <c r="Q423" s="859"/>
      <c r="R423" s="859"/>
      <c r="S423" s="859"/>
      <c r="T423" s="859"/>
      <c r="U423" s="904">
        <v>19</v>
      </c>
      <c r="V423" s="905" t="s">
        <v>1304</v>
      </c>
      <c r="W423" s="793">
        <v>1905</v>
      </c>
      <c r="X423" s="713" t="s">
        <v>743</v>
      </c>
      <c r="Y423" s="793" t="s">
        <v>1945</v>
      </c>
      <c r="Z423" s="791" t="s">
        <v>1476</v>
      </c>
      <c r="AA423" s="820" t="s">
        <v>1787</v>
      </c>
      <c r="AB423" s="770" t="s">
        <v>1027</v>
      </c>
      <c r="AC423" s="909" t="s">
        <v>1029</v>
      </c>
      <c r="AD423" s="773" t="s">
        <v>1514</v>
      </c>
      <c r="AE423" s="823">
        <v>91122</v>
      </c>
      <c r="AF423" s="824" t="s">
        <v>1763</v>
      </c>
      <c r="AG423" s="825"/>
      <c r="AH423" s="1052" t="str">
        <f t="shared" si="13"/>
        <v>2.3.2.02.02.009.1905020.91122</v>
      </c>
      <c r="AI423" s="913"/>
    </row>
    <row r="424" spans="1:35" ht="119.25" hidden="1" customHeight="1" x14ac:dyDescent="0.2">
      <c r="A424" s="931">
        <v>318</v>
      </c>
      <c r="B424" s="820" t="s">
        <v>1502</v>
      </c>
      <c r="C424" s="793">
        <v>1</v>
      </c>
      <c r="D424" s="702" t="s">
        <v>1412</v>
      </c>
      <c r="E424" s="830" t="s">
        <v>1540</v>
      </c>
      <c r="F424" s="793">
        <v>6</v>
      </c>
      <c r="G424" s="793" t="s">
        <v>1395</v>
      </c>
      <c r="H424" s="897" t="s">
        <v>1537</v>
      </c>
      <c r="I424" s="1056">
        <v>57000000</v>
      </c>
      <c r="J424" s="832"/>
      <c r="K424" s="832"/>
      <c r="L424" s="832"/>
      <c r="M424" s="1051">
        <v>61</v>
      </c>
      <c r="N424" s="1051" t="s">
        <v>2259</v>
      </c>
      <c r="O424" s="859"/>
      <c r="P424" s="859"/>
      <c r="Q424" s="859"/>
      <c r="R424" s="859"/>
      <c r="S424" s="859"/>
      <c r="T424" s="859"/>
      <c r="U424" s="904">
        <v>19</v>
      </c>
      <c r="V424" s="905" t="s">
        <v>1304</v>
      </c>
      <c r="W424" s="793">
        <v>1905</v>
      </c>
      <c r="X424" s="713" t="s">
        <v>743</v>
      </c>
      <c r="Y424" s="793" t="s">
        <v>1945</v>
      </c>
      <c r="Z424" s="791" t="s">
        <v>1476</v>
      </c>
      <c r="AA424" s="820" t="s">
        <v>1788</v>
      </c>
      <c r="AB424" s="770" t="s">
        <v>753</v>
      </c>
      <c r="AC424" s="909" t="s">
        <v>1029</v>
      </c>
      <c r="AD424" s="773" t="s">
        <v>1514</v>
      </c>
      <c r="AE424" s="823">
        <v>91122</v>
      </c>
      <c r="AF424" s="824" t="s">
        <v>1763</v>
      </c>
      <c r="AG424" s="825"/>
      <c r="AH424" s="1052" t="str">
        <f t="shared" si="13"/>
        <v>2.3.2.02.02.009.1905022.91122</v>
      </c>
      <c r="AI424" s="913"/>
    </row>
    <row r="425" spans="1:35" ht="112.5" hidden="1" customHeight="1" x14ac:dyDescent="0.2">
      <c r="A425" s="931">
        <v>318</v>
      </c>
      <c r="B425" s="820" t="s">
        <v>1502</v>
      </c>
      <c r="C425" s="793">
        <v>1</v>
      </c>
      <c r="D425" s="702" t="s">
        <v>1412</v>
      </c>
      <c r="E425" s="830" t="s">
        <v>1394</v>
      </c>
      <c r="F425" s="793">
        <v>6</v>
      </c>
      <c r="G425" s="793" t="s">
        <v>1395</v>
      </c>
      <c r="H425" s="897" t="s">
        <v>1537</v>
      </c>
      <c r="I425" s="1056">
        <v>58000000</v>
      </c>
      <c r="J425" s="832"/>
      <c r="K425" s="832"/>
      <c r="L425" s="832"/>
      <c r="M425" s="1051">
        <v>61</v>
      </c>
      <c r="N425" s="1051" t="s">
        <v>2259</v>
      </c>
      <c r="O425" s="859"/>
      <c r="P425" s="859"/>
      <c r="Q425" s="859"/>
      <c r="R425" s="859"/>
      <c r="S425" s="859"/>
      <c r="T425" s="859"/>
      <c r="U425" s="904">
        <v>19</v>
      </c>
      <c r="V425" s="905" t="s">
        <v>1304</v>
      </c>
      <c r="W425" s="793">
        <v>1905</v>
      </c>
      <c r="X425" s="713" t="s">
        <v>743</v>
      </c>
      <c r="Y425" s="713"/>
      <c r="Z425" s="791" t="s">
        <v>1476</v>
      </c>
      <c r="AA425" s="699" t="s">
        <v>1784</v>
      </c>
      <c r="AB425" s="770" t="s">
        <v>1032</v>
      </c>
      <c r="AC425" s="909" t="s">
        <v>1029</v>
      </c>
      <c r="AD425" s="773" t="s">
        <v>1514</v>
      </c>
      <c r="AE425" s="823">
        <v>91122</v>
      </c>
      <c r="AF425" s="824" t="s">
        <v>1763</v>
      </c>
      <c r="AG425" s="825"/>
      <c r="AH425" s="1052" t="str">
        <f t="shared" si="13"/>
        <v>2.3.2.02.02.0091905015.91122</v>
      </c>
      <c r="AI425" s="913"/>
    </row>
    <row r="426" spans="1:35" ht="151.5" hidden="1" customHeight="1" x14ac:dyDescent="0.2">
      <c r="A426" s="931">
        <v>318</v>
      </c>
      <c r="B426" s="820" t="s">
        <v>1502</v>
      </c>
      <c r="C426" s="793">
        <v>1</v>
      </c>
      <c r="D426" s="702" t="s">
        <v>1412</v>
      </c>
      <c r="E426" s="830" t="s">
        <v>1394</v>
      </c>
      <c r="F426" s="793">
        <v>6</v>
      </c>
      <c r="G426" s="793" t="s">
        <v>1395</v>
      </c>
      <c r="H426" s="897" t="s">
        <v>1537</v>
      </c>
      <c r="I426" s="1056">
        <v>105000000</v>
      </c>
      <c r="J426" s="832"/>
      <c r="K426" s="832"/>
      <c r="L426" s="832"/>
      <c r="M426" s="1051">
        <v>61</v>
      </c>
      <c r="N426" s="1051" t="s">
        <v>2259</v>
      </c>
      <c r="O426" s="859"/>
      <c r="P426" s="859"/>
      <c r="Q426" s="859"/>
      <c r="R426" s="859"/>
      <c r="S426" s="859"/>
      <c r="T426" s="859"/>
      <c r="U426" s="904">
        <v>19</v>
      </c>
      <c r="V426" s="905" t="s">
        <v>1304</v>
      </c>
      <c r="W426" s="793">
        <v>1905</v>
      </c>
      <c r="X426" s="713" t="s">
        <v>743</v>
      </c>
      <c r="Y426" s="793" t="s">
        <v>1945</v>
      </c>
      <c r="Z426" s="791" t="s">
        <v>1476</v>
      </c>
      <c r="AA426" s="793" t="s">
        <v>1789</v>
      </c>
      <c r="AB426" s="770" t="s">
        <v>1035</v>
      </c>
      <c r="AC426" s="909" t="s">
        <v>1037</v>
      </c>
      <c r="AD426" s="773" t="s">
        <v>1515</v>
      </c>
      <c r="AE426" s="823">
        <v>91122</v>
      </c>
      <c r="AF426" s="824" t="s">
        <v>1763</v>
      </c>
      <c r="AG426" s="825"/>
      <c r="AH426" s="1052" t="str">
        <f t="shared" si="13"/>
        <v>2.3.2.02.02.0091905023.91122</v>
      </c>
      <c r="AI426" s="913"/>
    </row>
    <row r="427" spans="1:35" ht="97.5" hidden="1" customHeight="1" x14ac:dyDescent="0.2">
      <c r="A427" s="931">
        <v>318</v>
      </c>
      <c r="B427" s="820" t="s">
        <v>1502</v>
      </c>
      <c r="C427" s="793">
        <v>1</v>
      </c>
      <c r="D427" s="702" t="s">
        <v>1412</v>
      </c>
      <c r="E427" s="830" t="s">
        <v>1540</v>
      </c>
      <c r="F427" s="793">
        <v>6</v>
      </c>
      <c r="G427" s="793" t="s">
        <v>1395</v>
      </c>
      <c r="H427" s="897" t="s">
        <v>1537</v>
      </c>
      <c r="I427" s="1056">
        <v>76000000</v>
      </c>
      <c r="J427" s="832"/>
      <c r="K427" s="832"/>
      <c r="L427" s="832"/>
      <c r="M427" s="1051">
        <v>61</v>
      </c>
      <c r="N427" s="1051" t="s">
        <v>2259</v>
      </c>
      <c r="O427" s="859"/>
      <c r="P427" s="859"/>
      <c r="Q427" s="859"/>
      <c r="R427" s="859"/>
      <c r="S427" s="859"/>
      <c r="T427" s="859"/>
      <c r="U427" s="904">
        <v>19</v>
      </c>
      <c r="V427" s="905" t="s">
        <v>1304</v>
      </c>
      <c r="W427" s="793">
        <v>1905</v>
      </c>
      <c r="X427" s="713" t="s">
        <v>743</v>
      </c>
      <c r="Y427" s="793" t="s">
        <v>1945</v>
      </c>
      <c r="Z427" s="791" t="s">
        <v>1476</v>
      </c>
      <c r="AA427" s="793" t="s">
        <v>1781</v>
      </c>
      <c r="AB427" s="770" t="s">
        <v>1001</v>
      </c>
      <c r="AC427" s="909" t="s">
        <v>1037</v>
      </c>
      <c r="AD427" s="773" t="s">
        <v>1515</v>
      </c>
      <c r="AE427" s="823">
        <v>91122</v>
      </c>
      <c r="AF427" s="824" t="s">
        <v>1763</v>
      </c>
      <c r="AG427" s="825"/>
      <c r="AH427" s="1052" t="str">
        <f t="shared" si="13"/>
        <v>2.3.2.02.02.009.1905031.91122</v>
      </c>
      <c r="AI427" s="913"/>
    </row>
    <row r="428" spans="1:35" ht="102" hidden="1" customHeight="1" x14ac:dyDescent="0.2">
      <c r="A428" s="931">
        <v>318</v>
      </c>
      <c r="B428" s="820" t="s">
        <v>1502</v>
      </c>
      <c r="C428" s="793">
        <v>1</v>
      </c>
      <c r="D428" s="702" t="s">
        <v>1412</v>
      </c>
      <c r="E428" s="830" t="s">
        <v>1540</v>
      </c>
      <c r="F428" s="793">
        <v>6</v>
      </c>
      <c r="G428" s="793" t="s">
        <v>1395</v>
      </c>
      <c r="H428" s="897" t="s">
        <v>1537</v>
      </c>
      <c r="I428" s="1056">
        <v>20000000</v>
      </c>
      <c r="J428" s="832"/>
      <c r="K428" s="832"/>
      <c r="L428" s="832"/>
      <c r="M428" s="1051">
        <v>61</v>
      </c>
      <c r="N428" s="1051" t="s">
        <v>2259</v>
      </c>
      <c r="O428" s="859"/>
      <c r="P428" s="859"/>
      <c r="Q428" s="859"/>
      <c r="R428" s="859"/>
      <c r="S428" s="859"/>
      <c r="T428" s="859"/>
      <c r="U428" s="904">
        <v>19</v>
      </c>
      <c r="V428" s="905" t="s">
        <v>1304</v>
      </c>
      <c r="W428" s="793">
        <v>1905</v>
      </c>
      <c r="X428" s="713" t="s">
        <v>743</v>
      </c>
      <c r="Y428" s="713"/>
      <c r="Z428" s="791" t="s">
        <v>1476</v>
      </c>
      <c r="AA428" s="793" t="s">
        <v>1790</v>
      </c>
      <c r="AB428" s="770" t="s">
        <v>1041</v>
      </c>
      <c r="AC428" s="909" t="s">
        <v>1042</v>
      </c>
      <c r="AD428" s="773" t="s">
        <v>1516</v>
      </c>
      <c r="AE428" s="823">
        <v>91122</v>
      </c>
      <c r="AF428" s="824" t="s">
        <v>1763</v>
      </c>
      <c r="AG428" s="825"/>
      <c r="AH428" s="1052" t="str">
        <f t="shared" si="13"/>
        <v>2.3.2.02.02.009.1905012.91122</v>
      </c>
      <c r="AI428" s="913"/>
    </row>
    <row r="429" spans="1:35" ht="96" hidden="1" customHeight="1" x14ac:dyDescent="0.2">
      <c r="A429" s="931">
        <v>318</v>
      </c>
      <c r="B429" s="820" t="s">
        <v>1502</v>
      </c>
      <c r="C429" s="793">
        <v>1</v>
      </c>
      <c r="D429" s="702" t="s">
        <v>1412</v>
      </c>
      <c r="E429" s="830" t="s">
        <v>1540</v>
      </c>
      <c r="F429" s="793">
        <v>6</v>
      </c>
      <c r="G429" s="793" t="s">
        <v>1395</v>
      </c>
      <c r="H429" s="897" t="s">
        <v>1537</v>
      </c>
      <c r="I429" s="1056">
        <v>58000000</v>
      </c>
      <c r="J429" s="832"/>
      <c r="K429" s="832"/>
      <c r="L429" s="832"/>
      <c r="M429" s="1051">
        <v>61</v>
      </c>
      <c r="N429" s="1051" t="s">
        <v>2259</v>
      </c>
      <c r="O429" s="859"/>
      <c r="P429" s="859"/>
      <c r="Q429" s="859"/>
      <c r="R429" s="859"/>
      <c r="S429" s="859"/>
      <c r="T429" s="859"/>
      <c r="U429" s="904">
        <v>19</v>
      </c>
      <c r="V429" s="905" t="s">
        <v>1304</v>
      </c>
      <c r="W429" s="793">
        <v>1905</v>
      </c>
      <c r="X429" s="713" t="s">
        <v>743</v>
      </c>
      <c r="Y429" s="793" t="s">
        <v>1945</v>
      </c>
      <c r="Z429" s="791" t="s">
        <v>1476</v>
      </c>
      <c r="AA429" s="793" t="s">
        <v>1791</v>
      </c>
      <c r="AB429" s="770" t="s">
        <v>1046</v>
      </c>
      <c r="AC429" s="909" t="s">
        <v>1042</v>
      </c>
      <c r="AD429" s="773" t="s">
        <v>1516</v>
      </c>
      <c r="AE429" s="823">
        <v>91122</v>
      </c>
      <c r="AF429" s="824" t="s">
        <v>1763</v>
      </c>
      <c r="AG429" s="825"/>
      <c r="AH429" s="1052" t="str">
        <f t="shared" si="13"/>
        <v>2.3.2.02.02.009.1905026.91122</v>
      </c>
      <c r="AI429" s="913"/>
    </row>
    <row r="430" spans="1:35" ht="50.25" hidden="1" customHeight="1" x14ac:dyDescent="0.2">
      <c r="A430" s="931">
        <v>318</v>
      </c>
      <c r="B430" s="820" t="s">
        <v>1502</v>
      </c>
      <c r="C430" s="793">
        <v>1</v>
      </c>
      <c r="D430" s="702" t="s">
        <v>1412</v>
      </c>
      <c r="E430" s="830" t="s">
        <v>1540</v>
      </c>
      <c r="F430" s="793">
        <v>6</v>
      </c>
      <c r="G430" s="793" t="s">
        <v>1395</v>
      </c>
      <c r="H430" s="897" t="s">
        <v>1537</v>
      </c>
      <c r="I430" s="1056">
        <v>75000000</v>
      </c>
      <c r="J430" s="832"/>
      <c r="K430" s="832"/>
      <c r="L430" s="832"/>
      <c r="M430" s="1051">
        <v>61</v>
      </c>
      <c r="N430" s="1051" t="s">
        <v>2259</v>
      </c>
      <c r="O430" s="859"/>
      <c r="P430" s="859"/>
      <c r="Q430" s="859"/>
      <c r="R430" s="859"/>
      <c r="S430" s="859"/>
      <c r="T430" s="859"/>
      <c r="U430" s="904">
        <v>19</v>
      </c>
      <c r="V430" s="905" t="s">
        <v>1304</v>
      </c>
      <c r="W430" s="793">
        <v>1905</v>
      </c>
      <c r="X430" s="713" t="s">
        <v>743</v>
      </c>
      <c r="Y430" s="793" t="s">
        <v>1945</v>
      </c>
      <c r="Z430" s="791" t="s">
        <v>1476</v>
      </c>
      <c r="AA430" s="793" t="s">
        <v>1792</v>
      </c>
      <c r="AB430" s="770" t="s">
        <v>1048</v>
      </c>
      <c r="AC430" s="909" t="s">
        <v>1042</v>
      </c>
      <c r="AD430" s="773" t="s">
        <v>1516</v>
      </c>
      <c r="AE430" s="823">
        <v>91122</v>
      </c>
      <c r="AF430" s="824" t="s">
        <v>1763</v>
      </c>
      <c r="AG430" s="825"/>
      <c r="AH430" s="1052" t="str">
        <f t="shared" si="13"/>
        <v>2.3.2.02.02.009.1905027.91122</v>
      </c>
      <c r="AI430" s="437"/>
    </row>
    <row r="431" spans="1:35" ht="97.5" hidden="1" customHeight="1" x14ac:dyDescent="0.2">
      <c r="A431" s="931">
        <v>318</v>
      </c>
      <c r="B431" s="820" t="s">
        <v>1502</v>
      </c>
      <c r="C431" s="793">
        <v>1</v>
      </c>
      <c r="D431" s="702" t="s">
        <v>1412</v>
      </c>
      <c r="E431" s="830" t="s">
        <v>1540</v>
      </c>
      <c r="F431" s="793">
        <v>6</v>
      </c>
      <c r="G431" s="793" t="s">
        <v>1395</v>
      </c>
      <c r="H431" s="897" t="s">
        <v>1537</v>
      </c>
      <c r="I431" s="1458">
        <v>95000000</v>
      </c>
      <c r="J431" s="832"/>
      <c r="K431" s="832"/>
      <c r="L431" s="832"/>
      <c r="M431" s="1051">
        <v>61</v>
      </c>
      <c r="N431" s="1051" t="s">
        <v>2259</v>
      </c>
      <c r="O431" s="859"/>
      <c r="P431" s="859"/>
      <c r="Q431" s="859"/>
      <c r="R431" s="859"/>
      <c r="S431" s="859"/>
      <c r="T431" s="859"/>
      <c r="U431" s="904">
        <v>19</v>
      </c>
      <c r="V431" s="905" t="s">
        <v>1304</v>
      </c>
      <c r="W431" s="793">
        <v>1905</v>
      </c>
      <c r="X431" s="713" t="s">
        <v>743</v>
      </c>
      <c r="Y431" s="713"/>
      <c r="Z431" s="791" t="s">
        <v>1476</v>
      </c>
      <c r="AA431" s="699" t="s">
        <v>1784</v>
      </c>
      <c r="AB431" s="770" t="s">
        <v>1051</v>
      </c>
      <c r="AC431" s="846" t="s">
        <v>1052</v>
      </c>
      <c r="AD431" s="773" t="s">
        <v>1053</v>
      </c>
      <c r="AE431" s="823">
        <v>91122</v>
      </c>
      <c r="AF431" s="824" t="s">
        <v>1763</v>
      </c>
      <c r="AG431" s="825"/>
      <c r="AH431" s="1052" t="str">
        <f t="shared" si="13"/>
        <v>2.3.2.02.02.009.1905015.91122</v>
      </c>
      <c r="AI431" s="437"/>
    </row>
    <row r="432" spans="1:35" ht="85.5" hidden="1" customHeight="1" x14ac:dyDescent="0.2">
      <c r="A432" s="931">
        <v>318</v>
      </c>
      <c r="B432" s="820" t="s">
        <v>1502</v>
      </c>
      <c r="C432" s="793">
        <v>1</v>
      </c>
      <c r="D432" s="702" t="s">
        <v>1412</v>
      </c>
      <c r="E432" s="830" t="s">
        <v>1540</v>
      </c>
      <c r="F432" s="793">
        <v>6</v>
      </c>
      <c r="G432" s="793" t="s">
        <v>1395</v>
      </c>
      <c r="H432" s="897" t="s">
        <v>1537</v>
      </c>
      <c r="I432" s="1056">
        <v>96000000</v>
      </c>
      <c r="J432" s="832"/>
      <c r="K432" s="832"/>
      <c r="L432" s="832"/>
      <c r="M432" s="1051">
        <v>61</v>
      </c>
      <c r="N432" s="1051" t="s">
        <v>2259</v>
      </c>
      <c r="O432" s="859"/>
      <c r="P432" s="859"/>
      <c r="Q432" s="859"/>
      <c r="R432" s="859"/>
      <c r="S432" s="859"/>
      <c r="T432" s="859"/>
      <c r="U432" s="904">
        <v>19</v>
      </c>
      <c r="V432" s="905" t="s">
        <v>1304</v>
      </c>
      <c r="W432" s="793">
        <v>1905</v>
      </c>
      <c r="X432" s="713" t="s">
        <v>743</v>
      </c>
      <c r="Y432" s="793" t="s">
        <v>1945</v>
      </c>
      <c r="Z432" s="791" t="s">
        <v>1476</v>
      </c>
      <c r="AA432" s="793" t="s">
        <v>1791</v>
      </c>
      <c r="AB432" s="770" t="s">
        <v>1046</v>
      </c>
      <c r="AC432" s="846" t="s">
        <v>1052</v>
      </c>
      <c r="AD432" s="773" t="s">
        <v>1053</v>
      </c>
      <c r="AE432" s="823">
        <v>91122</v>
      </c>
      <c r="AF432" s="824" t="s">
        <v>1763</v>
      </c>
      <c r="AG432" s="825"/>
      <c r="AH432" s="1052" t="str">
        <f t="shared" si="13"/>
        <v>2.3.2.02.02.009.1905026.91122</v>
      </c>
    </row>
    <row r="433" spans="1:34" ht="84" hidden="1" customHeight="1" x14ac:dyDescent="0.2">
      <c r="A433" s="931">
        <v>318</v>
      </c>
      <c r="B433" s="820" t="s">
        <v>1502</v>
      </c>
      <c r="C433" s="793">
        <v>1</v>
      </c>
      <c r="D433" s="702" t="s">
        <v>1412</v>
      </c>
      <c r="E433" s="830" t="s">
        <v>1540</v>
      </c>
      <c r="F433" s="793">
        <v>6</v>
      </c>
      <c r="G433" s="793" t="s">
        <v>1395</v>
      </c>
      <c r="H433" s="897" t="s">
        <v>1537</v>
      </c>
      <c r="I433" s="1056">
        <v>130000000</v>
      </c>
      <c r="J433" s="832"/>
      <c r="K433" s="832"/>
      <c r="L433" s="832"/>
      <c r="M433" s="815">
        <v>20</v>
      </c>
      <c r="N433" s="861" t="s">
        <v>1538</v>
      </c>
      <c r="O433" s="859"/>
      <c r="P433" s="859"/>
      <c r="Q433" s="859"/>
      <c r="R433" s="859"/>
      <c r="S433" s="859"/>
      <c r="T433" s="859"/>
      <c r="U433" s="904">
        <v>19</v>
      </c>
      <c r="V433" s="905" t="s">
        <v>1304</v>
      </c>
      <c r="W433" s="793">
        <v>1905</v>
      </c>
      <c r="X433" s="713" t="s">
        <v>743</v>
      </c>
      <c r="Y433" s="793" t="s">
        <v>1945</v>
      </c>
      <c r="Z433" s="791" t="s">
        <v>1476</v>
      </c>
      <c r="AA433" s="793" t="s">
        <v>1791</v>
      </c>
      <c r="AB433" s="770" t="s">
        <v>1046</v>
      </c>
      <c r="AC433" s="846" t="s">
        <v>1052</v>
      </c>
      <c r="AD433" s="1063" t="s">
        <v>1053</v>
      </c>
      <c r="AE433" s="823">
        <v>91122</v>
      </c>
      <c r="AF433" s="824" t="s">
        <v>1763</v>
      </c>
      <c r="AG433" s="825"/>
      <c r="AH433" s="1052"/>
    </row>
    <row r="434" spans="1:34" ht="121.5" hidden="1" customHeight="1" x14ac:dyDescent="0.2">
      <c r="A434" s="931">
        <v>318</v>
      </c>
      <c r="B434" s="820" t="s">
        <v>1502</v>
      </c>
      <c r="C434" s="793">
        <v>1</v>
      </c>
      <c r="D434" s="702" t="s">
        <v>1412</v>
      </c>
      <c r="E434" s="830" t="s">
        <v>1540</v>
      </c>
      <c r="F434" s="793">
        <v>6</v>
      </c>
      <c r="G434" s="793" t="s">
        <v>1395</v>
      </c>
      <c r="H434" s="897" t="s">
        <v>1537</v>
      </c>
      <c r="I434" s="1056">
        <v>210707393</v>
      </c>
      <c r="J434" s="832"/>
      <c r="K434" s="832"/>
      <c r="L434" s="832"/>
      <c r="M434" s="1071">
        <v>111</v>
      </c>
      <c r="N434" s="1072" t="s">
        <v>2269</v>
      </c>
      <c r="O434" s="859"/>
      <c r="P434" s="859"/>
      <c r="Q434" s="859"/>
      <c r="R434" s="859"/>
      <c r="S434" s="859"/>
      <c r="T434" s="859"/>
      <c r="U434" s="904">
        <v>19</v>
      </c>
      <c r="V434" s="905" t="s">
        <v>1304</v>
      </c>
      <c r="W434" s="793">
        <v>1905</v>
      </c>
      <c r="X434" s="713" t="s">
        <v>743</v>
      </c>
      <c r="Y434" s="793" t="s">
        <v>1945</v>
      </c>
      <c r="Z434" s="791" t="s">
        <v>1476</v>
      </c>
      <c r="AA434" s="793" t="s">
        <v>1791</v>
      </c>
      <c r="AB434" s="770" t="s">
        <v>1046</v>
      </c>
      <c r="AC434" s="846" t="s">
        <v>1052</v>
      </c>
      <c r="AD434" s="1063" t="s">
        <v>1053</v>
      </c>
      <c r="AE434" s="823">
        <v>91122</v>
      </c>
      <c r="AF434" s="824" t="s">
        <v>1763</v>
      </c>
      <c r="AG434" s="825"/>
      <c r="AH434" s="1052"/>
    </row>
    <row r="435" spans="1:34" ht="90" hidden="1" customHeight="1" x14ac:dyDescent="0.2">
      <c r="A435" s="931">
        <v>318</v>
      </c>
      <c r="B435" s="820" t="s">
        <v>1502</v>
      </c>
      <c r="C435" s="793">
        <v>1</v>
      </c>
      <c r="D435" s="702" t="s">
        <v>1412</v>
      </c>
      <c r="E435" s="830" t="s">
        <v>1540</v>
      </c>
      <c r="F435" s="793">
        <v>6</v>
      </c>
      <c r="G435" s="793" t="s">
        <v>1395</v>
      </c>
      <c r="H435" s="897" t="s">
        <v>1537</v>
      </c>
      <c r="I435" s="1056">
        <v>43000000</v>
      </c>
      <c r="J435" s="832"/>
      <c r="K435" s="832"/>
      <c r="L435" s="832"/>
      <c r="M435" s="1051">
        <v>61</v>
      </c>
      <c r="N435" s="1051" t="s">
        <v>2259</v>
      </c>
      <c r="O435" s="859"/>
      <c r="P435" s="859"/>
      <c r="Q435" s="859"/>
      <c r="R435" s="859"/>
      <c r="S435" s="859"/>
      <c r="T435" s="859"/>
      <c r="U435" s="904">
        <v>19</v>
      </c>
      <c r="V435" s="905" t="s">
        <v>1304</v>
      </c>
      <c r="W435" s="793">
        <v>1905</v>
      </c>
      <c r="X435" s="713" t="s">
        <v>743</v>
      </c>
      <c r="Y435" s="793" t="s">
        <v>1945</v>
      </c>
      <c r="Z435" s="791" t="s">
        <v>1476</v>
      </c>
      <c r="AA435" s="793" t="s">
        <v>1785</v>
      </c>
      <c r="AB435" s="770" t="s">
        <v>85</v>
      </c>
      <c r="AC435" s="909" t="s">
        <v>1055</v>
      </c>
      <c r="AD435" s="718" t="s">
        <v>1517</v>
      </c>
      <c r="AE435" s="910">
        <v>91122</v>
      </c>
      <c r="AF435" s="911" t="s">
        <v>1763</v>
      </c>
      <c r="AG435" s="912"/>
      <c r="AH435" s="1052" t="str">
        <f t="shared" si="13"/>
        <v>2.3.2.02.02.009.1905014.91122</v>
      </c>
    </row>
    <row r="436" spans="1:34" ht="67.5" hidden="1" customHeight="1" x14ac:dyDescent="0.2">
      <c r="A436" s="931">
        <v>318</v>
      </c>
      <c r="B436" s="820" t="s">
        <v>1502</v>
      </c>
      <c r="C436" s="793">
        <v>1</v>
      </c>
      <c r="D436" s="702" t="s">
        <v>1412</v>
      </c>
      <c r="E436" s="830" t="s">
        <v>1540</v>
      </c>
      <c r="F436" s="793">
        <v>6</v>
      </c>
      <c r="G436" s="793" t="s">
        <v>1395</v>
      </c>
      <c r="H436" s="897" t="s">
        <v>1537</v>
      </c>
      <c r="I436" s="1056">
        <v>182146964</v>
      </c>
      <c r="J436" s="832"/>
      <c r="K436" s="832"/>
      <c r="L436" s="832"/>
      <c r="M436" s="955">
        <v>113</v>
      </c>
      <c r="N436" s="1072" t="s">
        <v>2270</v>
      </c>
      <c r="O436" s="859"/>
      <c r="P436" s="859"/>
      <c r="Q436" s="859"/>
      <c r="R436" s="859"/>
      <c r="S436" s="859"/>
      <c r="T436" s="859"/>
      <c r="U436" s="904">
        <v>19</v>
      </c>
      <c r="V436" s="905" t="s">
        <v>1304</v>
      </c>
      <c r="W436" s="793">
        <v>1905</v>
      </c>
      <c r="X436" s="713" t="s">
        <v>743</v>
      </c>
      <c r="Y436" s="793" t="s">
        <v>1945</v>
      </c>
      <c r="Z436" s="791" t="s">
        <v>1476</v>
      </c>
      <c r="AA436" s="793" t="s">
        <v>1791</v>
      </c>
      <c r="AB436" s="770" t="s">
        <v>1058</v>
      </c>
      <c r="AC436" s="909" t="s">
        <v>1055</v>
      </c>
      <c r="AD436" s="718" t="s">
        <v>1517</v>
      </c>
      <c r="AE436" s="910">
        <v>91122</v>
      </c>
      <c r="AF436" s="911" t="s">
        <v>1763</v>
      </c>
      <c r="AG436" s="912"/>
      <c r="AH436" s="1052" t="str">
        <f t="shared" si="13"/>
        <v>2.3.2.02.02.009.1905026.91122</v>
      </c>
    </row>
    <row r="437" spans="1:34" ht="111" hidden="1" customHeight="1" x14ac:dyDescent="0.2">
      <c r="A437" s="931">
        <v>318</v>
      </c>
      <c r="B437" s="820" t="s">
        <v>1502</v>
      </c>
      <c r="C437" s="793">
        <v>1</v>
      </c>
      <c r="D437" s="702" t="s">
        <v>1412</v>
      </c>
      <c r="E437" s="1000" t="s">
        <v>1540</v>
      </c>
      <c r="F437" s="792">
        <v>6</v>
      </c>
      <c r="G437" s="792" t="s">
        <v>1395</v>
      </c>
      <c r="H437" s="906" t="s">
        <v>1537</v>
      </c>
      <c r="I437" s="1457">
        <v>500000000</v>
      </c>
      <c r="J437" s="832"/>
      <c r="K437" s="832"/>
      <c r="L437" s="832"/>
      <c r="M437" s="815">
        <v>20</v>
      </c>
      <c r="N437" s="861" t="s">
        <v>1538</v>
      </c>
      <c r="O437" s="859"/>
      <c r="P437" s="859"/>
      <c r="Q437" s="859"/>
      <c r="R437" s="859"/>
      <c r="S437" s="859"/>
      <c r="T437" s="859"/>
      <c r="U437" s="904">
        <v>19</v>
      </c>
      <c r="V437" s="905" t="s">
        <v>1304</v>
      </c>
      <c r="W437" s="793">
        <v>1905</v>
      </c>
      <c r="X437" s="713" t="s">
        <v>743</v>
      </c>
      <c r="Y437" s="793" t="s">
        <v>1945</v>
      </c>
      <c r="Z437" s="791" t="s">
        <v>1476</v>
      </c>
      <c r="AA437" s="793" t="s">
        <v>1791</v>
      </c>
      <c r="AB437" s="770" t="s">
        <v>1046</v>
      </c>
      <c r="AC437" s="780" t="s">
        <v>1059</v>
      </c>
      <c r="AD437" s="773" t="s">
        <v>1060</v>
      </c>
      <c r="AE437" s="910">
        <v>91122</v>
      </c>
      <c r="AF437" s="911" t="s">
        <v>1763</v>
      </c>
      <c r="AG437" s="825"/>
      <c r="AH437" s="1052" t="str">
        <f t="shared" si="13"/>
        <v>2.3.2.02.02.009.1905026.91122</v>
      </c>
    </row>
    <row r="438" spans="1:34" ht="100.5" hidden="1" customHeight="1" x14ac:dyDescent="0.2">
      <c r="A438" s="931">
        <v>318</v>
      </c>
      <c r="B438" s="820" t="s">
        <v>1502</v>
      </c>
      <c r="C438" s="793">
        <v>1</v>
      </c>
      <c r="D438" s="702" t="s">
        <v>1412</v>
      </c>
      <c r="E438" s="830" t="s">
        <v>1540</v>
      </c>
      <c r="F438" s="793">
        <v>6</v>
      </c>
      <c r="G438" s="793" t="s">
        <v>1395</v>
      </c>
      <c r="H438" s="897" t="s">
        <v>1537</v>
      </c>
      <c r="I438" s="1457">
        <v>20000000</v>
      </c>
      <c r="J438" s="832"/>
      <c r="K438" s="832"/>
      <c r="L438" s="832"/>
      <c r="M438" s="815">
        <v>61</v>
      </c>
      <c r="N438" s="861" t="s">
        <v>2259</v>
      </c>
      <c r="O438" s="859"/>
      <c r="P438" s="859"/>
      <c r="Q438" s="859"/>
      <c r="R438" s="859"/>
      <c r="S438" s="859"/>
      <c r="T438" s="859"/>
      <c r="U438" s="904">
        <v>19</v>
      </c>
      <c r="V438" s="905" t="s">
        <v>1304</v>
      </c>
      <c r="W438" s="793">
        <v>1905</v>
      </c>
      <c r="X438" s="713" t="s">
        <v>743</v>
      </c>
      <c r="Y438" s="793" t="s">
        <v>1945</v>
      </c>
      <c r="Z438" s="791" t="s">
        <v>1476</v>
      </c>
      <c r="AA438" s="786" t="s">
        <v>1793</v>
      </c>
      <c r="AB438" s="770" t="s">
        <v>1062</v>
      </c>
      <c r="AC438" s="780" t="s">
        <v>1064</v>
      </c>
      <c r="AD438" s="773" t="s">
        <v>1518</v>
      </c>
      <c r="AE438" s="910">
        <v>91122</v>
      </c>
      <c r="AF438" s="911" t="s">
        <v>1763</v>
      </c>
      <c r="AG438" s="825"/>
      <c r="AH438" s="1052" t="str">
        <f t="shared" si="13"/>
        <v>2.3.2.02.02.009.1905030.91122</v>
      </c>
    </row>
    <row r="439" spans="1:34" ht="112.5" hidden="1" customHeight="1" x14ac:dyDescent="0.2">
      <c r="A439" s="931">
        <v>318</v>
      </c>
      <c r="B439" s="820" t="s">
        <v>1502</v>
      </c>
      <c r="C439" s="793">
        <v>1</v>
      </c>
      <c r="D439" s="702" t="s">
        <v>1412</v>
      </c>
      <c r="E439" s="830" t="s">
        <v>1540</v>
      </c>
      <c r="F439" s="793">
        <v>6</v>
      </c>
      <c r="G439" s="793" t="s">
        <v>1395</v>
      </c>
      <c r="H439" s="897" t="s">
        <v>1537</v>
      </c>
      <c r="I439" s="1457">
        <v>84414100</v>
      </c>
      <c r="J439" s="832"/>
      <c r="K439" s="832"/>
      <c r="L439" s="832"/>
      <c r="M439" s="815">
        <v>61</v>
      </c>
      <c r="N439" s="861" t="s">
        <v>2259</v>
      </c>
      <c r="O439" s="859"/>
      <c r="P439" s="859"/>
      <c r="Q439" s="859"/>
      <c r="R439" s="859"/>
      <c r="S439" s="859"/>
      <c r="T439" s="859"/>
      <c r="U439" s="904">
        <v>19</v>
      </c>
      <c r="V439" s="905" t="s">
        <v>1304</v>
      </c>
      <c r="W439" s="793">
        <v>1905</v>
      </c>
      <c r="X439" s="713" t="s">
        <v>743</v>
      </c>
      <c r="Y439" s="793" t="s">
        <v>1945</v>
      </c>
      <c r="Z439" s="791" t="s">
        <v>1476</v>
      </c>
      <c r="AA439" s="793" t="s">
        <v>1794</v>
      </c>
      <c r="AB439" s="770" t="s">
        <v>1067</v>
      </c>
      <c r="AC439" s="780" t="s">
        <v>1069</v>
      </c>
      <c r="AD439" s="773" t="s">
        <v>1519</v>
      </c>
      <c r="AE439" s="910">
        <v>91122</v>
      </c>
      <c r="AF439" s="911" t="s">
        <v>1763</v>
      </c>
      <c r="AG439" s="825"/>
      <c r="AH439" s="1052" t="str">
        <f t="shared" si="13"/>
        <v>2.3.2.02.02.009.1905025.91122</v>
      </c>
    </row>
    <row r="440" spans="1:34" ht="120" hidden="1" customHeight="1" x14ac:dyDescent="0.2">
      <c r="A440" s="931">
        <v>318</v>
      </c>
      <c r="B440" s="820" t="s">
        <v>1502</v>
      </c>
      <c r="C440" s="793">
        <v>1</v>
      </c>
      <c r="D440" s="702" t="s">
        <v>1412</v>
      </c>
      <c r="E440" s="830" t="s">
        <v>1540</v>
      </c>
      <c r="F440" s="793">
        <v>6</v>
      </c>
      <c r="G440" s="793" t="s">
        <v>1395</v>
      </c>
      <c r="H440" s="897" t="s">
        <v>1537</v>
      </c>
      <c r="I440" s="1457">
        <v>320000000</v>
      </c>
      <c r="J440" s="832"/>
      <c r="K440" s="832"/>
      <c r="L440" s="832"/>
      <c r="M440" s="815">
        <v>61</v>
      </c>
      <c r="N440" s="861" t="s">
        <v>2259</v>
      </c>
      <c r="O440" s="859"/>
      <c r="P440" s="859"/>
      <c r="Q440" s="859"/>
      <c r="R440" s="859"/>
      <c r="S440" s="859"/>
      <c r="T440" s="859"/>
      <c r="U440" s="904">
        <v>19</v>
      </c>
      <c r="V440" s="905" t="s">
        <v>1304</v>
      </c>
      <c r="W440" s="793">
        <v>1905</v>
      </c>
      <c r="X440" s="713" t="s">
        <v>743</v>
      </c>
      <c r="Y440" s="793" t="s">
        <v>1945</v>
      </c>
      <c r="Z440" s="791" t="s">
        <v>1476</v>
      </c>
      <c r="AA440" s="793" t="s">
        <v>1784</v>
      </c>
      <c r="AB440" s="770" t="s">
        <v>63</v>
      </c>
      <c r="AC440" s="780" t="s">
        <v>1073</v>
      </c>
      <c r="AD440" s="773" t="s">
        <v>1520</v>
      </c>
      <c r="AE440" s="910">
        <v>91122</v>
      </c>
      <c r="AF440" s="911" t="s">
        <v>1763</v>
      </c>
      <c r="AG440" s="825"/>
      <c r="AH440" s="1052" t="str">
        <f t="shared" si="13"/>
        <v>2.3.2.02.02.009.1905015.91122</v>
      </c>
    </row>
    <row r="441" spans="1:34" ht="93" hidden="1" customHeight="1" x14ac:dyDescent="0.2">
      <c r="A441" s="931">
        <v>318</v>
      </c>
      <c r="B441" s="820" t="s">
        <v>1502</v>
      </c>
      <c r="C441" s="793">
        <v>1</v>
      </c>
      <c r="D441" s="702" t="s">
        <v>1412</v>
      </c>
      <c r="E441" s="830" t="s">
        <v>1540</v>
      </c>
      <c r="F441" s="793">
        <v>6</v>
      </c>
      <c r="G441" s="793" t="s">
        <v>1395</v>
      </c>
      <c r="H441" s="897" t="s">
        <v>1537</v>
      </c>
      <c r="I441" s="1056">
        <v>300000000</v>
      </c>
      <c r="J441" s="832"/>
      <c r="K441" s="832"/>
      <c r="L441" s="832"/>
      <c r="M441" s="815">
        <v>20</v>
      </c>
      <c r="N441" s="861" t="s">
        <v>1538</v>
      </c>
      <c r="O441" s="859"/>
      <c r="P441" s="859"/>
      <c r="Q441" s="859"/>
      <c r="R441" s="859"/>
      <c r="S441" s="859"/>
      <c r="T441" s="859"/>
      <c r="U441" s="904">
        <v>19</v>
      </c>
      <c r="V441" s="905" t="s">
        <v>1304</v>
      </c>
      <c r="W441" s="793">
        <v>1905</v>
      </c>
      <c r="X441" s="713" t="s">
        <v>743</v>
      </c>
      <c r="Y441" s="793" t="s">
        <v>1945</v>
      </c>
      <c r="Z441" s="791" t="s">
        <v>1476</v>
      </c>
      <c r="AA441" s="275" t="s">
        <v>1795</v>
      </c>
      <c r="AB441" s="773" t="s">
        <v>1078</v>
      </c>
      <c r="AC441" s="780" t="s">
        <v>1081</v>
      </c>
      <c r="AD441" s="770" t="s">
        <v>1521</v>
      </c>
      <c r="AE441" s="910">
        <v>91122</v>
      </c>
      <c r="AF441" s="911" t="s">
        <v>1763</v>
      </c>
      <c r="AG441" s="845"/>
      <c r="AH441" s="1052" t="str">
        <f t="shared" si="13"/>
        <v>2.3.2.02.02.009.1905009.
91122</v>
      </c>
    </row>
    <row r="442" spans="1:34" ht="123" hidden="1" customHeight="1" x14ac:dyDescent="0.2">
      <c r="A442" s="931">
        <v>318</v>
      </c>
      <c r="B442" s="820" t="s">
        <v>1502</v>
      </c>
      <c r="C442" s="793">
        <v>1</v>
      </c>
      <c r="D442" s="702" t="s">
        <v>1412</v>
      </c>
      <c r="E442" s="830" t="s">
        <v>1394</v>
      </c>
      <c r="F442" s="793">
        <v>6</v>
      </c>
      <c r="G442" s="793" t="s">
        <v>1395</v>
      </c>
      <c r="H442" s="897" t="s">
        <v>1537</v>
      </c>
      <c r="I442" s="1056">
        <v>1263850000</v>
      </c>
      <c r="J442" s="832"/>
      <c r="K442" s="832"/>
      <c r="L442" s="832"/>
      <c r="M442" s="815">
        <v>61</v>
      </c>
      <c r="N442" s="861" t="s">
        <v>2259</v>
      </c>
      <c r="O442" s="859"/>
      <c r="P442" s="859"/>
      <c r="Q442" s="859"/>
      <c r="R442" s="859"/>
      <c r="S442" s="859"/>
      <c r="T442" s="859"/>
      <c r="U442" s="904">
        <v>19</v>
      </c>
      <c r="V442" s="905" t="s">
        <v>1304</v>
      </c>
      <c r="W442" s="793">
        <v>1905</v>
      </c>
      <c r="X442" s="713" t="s">
        <v>743</v>
      </c>
      <c r="Y442" s="793" t="s">
        <v>1945</v>
      </c>
      <c r="Z442" s="791" t="s">
        <v>1476</v>
      </c>
      <c r="AA442" s="820" t="s">
        <v>1781</v>
      </c>
      <c r="AB442" s="770" t="s">
        <v>1001</v>
      </c>
      <c r="AC442" s="780" t="s">
        <v>1084</v>
      </c>
      <c r="AD442" s="770" t="s">
        <v>1085</v>
      </c>
      <c r="AE442" s="910">
        <v>91122</v>
      </c>
      <c r="AF442" s="911" t="s">
        <v>1763</v>
      </c>
      <c r="AG442" s="845"/>
      <c r="AH442" s="1052" t="str">
        <f t="shared" si="13"/>
        <v>2.3.2.02.02.0091905031.91122</v>
      </c>
    </row>
    <row r="443" spans="1:34" ht="105" hidden="1" x14ac:dyDescent="0.2">
      <c r="A443" s="931">
        <v>318</v>
      </c>
      <c r="B443" s="820" t="s">
        <v>1502</v>
      </c>
      <c r="C443" s="793">
        <v>1</v>
      </c>
      <c r="D443" s="702" t="s">
        <v>1412</v>
      </c>
      <c r="E443" s="1450" t="s">
        <v>1540</v>
      </c>
      <c r="F443" s="1451">
        <v>6</v>
      </c>
      <c r="G443" s="1451" t="s">
        <v>1395</v>
      </c>
      <c r="H443" s="1452" t="s">
        <v>1537</v>
      </c>
      <c r="I443" s="1459">
        <v>17984372304</v>
      </c>
      <c r="J443" s="861">
        <v>71</v>
      </c>
      <c r="K443" s="861" t="s">
        <v>2271</v>
      </c>
      <c r="L443" s="861"/>
      <c r="M443" s="1441">
        <v>71</v>
      </c>
      <c r="N443" s="1453" t="s">
        <v>2271</v>
      </c>
      <c r="O443" s="862"/>
      <c r="P443" s="862"/>
      <c r="Q443" s="862"/>
      <c r="R443" s="862"/>
      <c r="S443" s="862"/>
      <c r="T443" s="862"/>
      <c r="U443" s="904">
        <v>19</v>
      </c>
      <c r="V443" s="905" t="s">
        <v>1304</v>
      </c>
      <c r="W443" s="793">
        <v>1906</v>
      </c>
      <c r="X443" s="713" t="s">
        <v>145</v>
      </c>
      <c r="Y443" s="793">
        <v>19061</v>
      </c>
      <c r="Z443" s="791" t="s">
        <v>1523</v>
      </c>
      <c r="AA443" s="786" t="s">
        <v>137</v>
      </c>
      <c r="AB443" s="770" t="s">
        <v>1093</v>
      </c>
      <c r="AC443" s="909" t="s">
        <v>1089</v>
      </c>
      <c r="AD443" s="773" t="s">
        <v>1522</v>
      </c>
      <c r="AE443" s="1073">
        <v>91122</v>
      </c>
      <c r="AF443" s="1454" t="s">
        <v>1763</v>
      </c>
      <c r="AG443" s="825"/>
      <c r="AH443" s="1052" t="str">
        <f t="shared" si="13"/>
        <v>2.3.2.02.02.009.DNP91122</v>
      </c>
    </row>
    <row r="444" spans="1:34" ht="80.25" hidden="1" customHeight="1" x14ac:dyDescent="0.2">
      <c r="A444" s="931">
        <v>318</v>
      </c>
      <c r="B444" s="820" t="s">
        <v>1502</v>
      </c>
      <c r="C444" s="793">
        <v>1</v>
      </c>
      <c r="D444" s="702" t="s">
        <v>1412</v>
      </c>
      <c r="E444" s="1450" t="s">
        <v>1540</v>
      </c>
      <c r="F444" s="1451">
        <v>6</v>
      </c>
      <c r="G444" s="1451" t="s">
        <v>1395</v>
      </c>
      <c r="H444" s="1452" t="s">
        <v>1537</v>
      </c>
      <c r="I444" s="1459">
        <v>13423655831</v>
      </c>
      <c r="J444" s="861">
        <v>64</v>
      </c>
      <c r="K444" s="861" t="s">
        <v>2272</v>
      </c>
      <c r="L444" s="861"/>
      <c r="M444" s="1441">
        <v>64</v>
      </c>
      <c r="N444" s="1453" t="s">
        <v>2272</v>
      </c>
      <c r="O444" s="862"/>
      <c r="P444" s="862"/>
      <c r="Q444" s="862"/>
      <c r="R444" s="862"/>
      <c r="S444" s="862"/>
      <c r="T444" s="862"/>
      <c r="U444" s="904">
        <v>19</v>
      </c>
      <c r="V444" s="905" t="s">
        <v>1304</v>
      </c>
      <c r="W444" s="793">
        <v>1906</v>
      </c>
      <c r="X444" s="713" t="s">
        <v>145</v>
      </c>
      <c r="Y444" s="793">
        <v>19061</v>
      </c>
      <c r="Z444" s="791" t="s">
        <v>1523</v>
      </c>
      <c r="AA444" s="786" t="s">
        <v>137</v>
      </c>
      <c r="AB444" s="770" t="s">
        <v>1093</v>
      </c>
      <c r="AC444" s="909" t="s">
        <v>1089</v>
      </c>
      <c r="AD444" s="1065" t="s">
        <v>1522</v>
      </c>
      <c r="AE444" s="1073">
        <v>91122</v>
      </c>
      <c r="AF444" s="1454" t="s">
        <v>1763</v>
      </c>
      <c r="AG444" s="825"/>
      <c r="AH444" s="1052"/>
    </row>
    <row r="445" spans="1:34" ht="123" hidden="1" customHeight="1" x14ac:dyDescent="0.2">
      <c r="A445" s="931">
        <v>318</v>
      </c>
      <c r="B445" s="820" t="s">
        <v>1502</v>
      </c>
      <c r="C445" s="793">
        <v>1</v>
      </c>
      <c r="D445" s="702" t="s">
        <v>1412</v>
      </c>
      <c r="E445" s="830" t="s">
        <v>1540</v>
      </c>
      <c r="F445" s="793">
        <v>6</v>
      </c>
      <c r="G445" s="793" t="s">
        <v>1395</v>
      </c>
      <c r="H445" s="897" t="s">
        <v>1537</v>
      </c>
      <c r="I445" s="1056">
        <v>1361612640</v>
      </c>
      <c r="J445" s="861"/>
      <c r="K445" s="861"/>
      <c r="L445" s="861"/>
      <c r="M445" s="955">
        <v>110</v>
      </c>
      <c r="N445" s="1072" t="s">
        <v>2273</v>
      </c>
      <c r="O445" s="862"/>
      <c r="P445" s="862"/>
      <c r="Q445" s="862"/>
      <c r="R445" s="862"/>
      <c r="S445" s="862"/>
      <c r="T445" s="862"/>
      <c r="U445" s="904">
        <v>19</v>
      </c>
      <c r="V445" s="905" t="s">
        <v>1304</v>
      </c>
      <c r="W445" s="793">
        <v>1906</v>
      </c>
      <c r="X445" s="713" t="s">
        <v>145</v>
      </c>
      <c r="Y445" s="849" t="s">
        <v>1946</v>
      </c>
      <c r="Z445" s="791" t="s">
        <v>1525</v>
      </c>
      <c r="AA445" s="1352" t="s">
        <v>1970</v>
      </c>
      <c r="AB445" s="770" t="s">
        <v>1095</v>
      </c>
      <c r="AC445" s="909" t="s">
        <v>1097</v>
      </c>
      <c r="AD445" s="773" t="s">
        <v>1098</v>
      </c>
      <c r="AE445" s="1073">
        <v>91122</v>
      </c>
      <c r="AF445" s="1068" t="s">
        <v>1763</v>
      </c>
      <c r="AG445" s="825"/>
      <c r="AH445" s="1052" t="str">
        <f t="shared" si="13"/>
        <v>2.3.2.02.02.009.190602391122</v>
      </c>
    </row>
    <row r="446" spans="1:34" ht="135" hidden="1" x14ac:dyDescent="0.2">
      <c r="A446" s="931">
        <v>318</v>
      </c>
      <c r="B446" s="820" t="s">
        <v>1502</v>
      </c>
      <c r="C446" s="793">
        <v>1</v>
      </c>
      <c r="D446" s="702" t="s">
        <v>1412</v>
      </c>
      <c r="E446" s="1439" t="s">
        <v>2274</v>
      </c>
      <c r="F446" s="1428">
        <v>6</v>
      </c>
      <c r="G446" s="1428" t="s">
        <v>1395</v>
      </c>
      <c r="H446" s="1440" t="s">
        <v>2275</v>
      </c>
      <c r="I446" s="1056">
        <v>2224028029</v>
      </c>
      <c r="J446" s="861"/>
      <c r="K446" s="861"/>
      <c r="L446" s="861"/>
      <c r="M446" s="961">
        <v>59</v>
      </c>
      <c r="N446" s="997" t="s">
        <v>2276</v>
      </c>
      <c r="O446" s="862"/>
      <c r="P446" s="862"/>
      <c r="Q446" s="862"/>
      <c r="R446" s="862"/>
      <c r="S446" s="862"/>
      <c r="T446" s="862"/>
      <c r="U446" s="904">
        <v>19</v>
      </c>
      <c r="V446" s="905" t="s">
        <v>1304</v>
      </c>
      <c r="W446" s="793">
        <v>1906</v>
      </c>
      <c r="X446" s="713" t="s">
        <v>145</v>
      </c>
      <c r="Y446" s="793">
        <v>19061</v>
      </c>
      <c r="Z446" s="791" t="s">
        <v>1523</v>
      </c>
      <c r="AA446" s="786" t="s">
        <v>137</v>
      </c>
      <c r="AB446" s="770" t="s">
        <v>1100</v>
      </c>
      <c r="AC446" s="909" t="s">
        <v>1097</v>
      </c>
      <c r="AD446" s="773" t="s">
        <v>1098</v>
      </c>
      <c r="AE446" s="1464">
        <v>71344</v>
      </c>
      <c r="AF446" s="1429" t="s">
        <v>2320</v>
      </c>
      <c r="AG446" s="825"/>
      <c r="AH446" s="1052" t="str">
        <f t="shared" si="13"/>
        <v>2.3.3.05.09.045  DNP71344</v>
      </c>
    </row>
    <row r="447" spans="1:34" ht="135" hidden="1" x14ac:dyDescent="0.2">
      <c r="A447" s="931">
        <v>318</v>
      </c>
      <c r="B447" s="820" t="s">
        <v>1502</v>
      </c>
      <c r="C447" s="793">
        <v>1</v>
      </c>
      <c r="D447" s="702" t="s">
        <v>1412</v>
      </c>
      <c r="E447" s="1439" t="s">
        <v>2274</v>
      </c>
      <c r="F447" s="1428">
        <v>6</v>
      </c>
      <c r="G447" s="1428" t="s">
        <v>1395</v>
      </c>
      <c r="H447" s="1440" t="s">
        <v>2275</v>
      </c>
      <c r="I447" s="1056">
        <v>3684809425</v>
      </c>
      <c r="J447" s="861"/>
      <c r="K447" s="861"/>
      <c r="L447" s="861"/>
      <c r="M447" s="961">
        <v>58</v>
      </c>
      <c r="N447" s="997" t="s">
        <v>2277</v>
      </c>
      <c r="O447" s="862"/>
      <c r="P447" s="862"/>
      <c r="Q447" s="862"/>
      <c r="R447" s="862"/>
      <c r="S447" s="862"/>
      <c r="T447" s="862"/>
      <c r="U447" s="904">
        <v>19</v>
      </c>
      <c r="V447" s="905" t="s">
        <v>1304</v>
      </c>
      <c r="W447" s="793">
        <v>1906</v>
      </c>
      <c r="X447" s="713" t="s">
        <v>145</v>
      </c>
      <c r="Y447" s="793">
        <v>19061</v>
      </c>
      <c r="Z447" s="791" t="s">
        <v>1526</v>
      </c>
      <c r="AA447" s="786" t="s">
        <v>137</v>
      </c>
      <c r="AB447" s="770" t="s">
        <v>1102</v>
      </c>
      <c r="AC447" s="909" t="s">
        <v>1097</v>
      </c>
      <c r="AD447" s="773" t="s">
        <v>1098</v>
      </c>
      <c r="AE447" s="1464">
        <v>71344</v>
      </c>
      <c r="AF447" s="1429" t="s">
        <v>2320</v>
      </c>
      <c r="AG447" s="825"/>
      <c r="AH447" s="1052" t="str">
        <f t="shared" si="13"/>
        <v>2.3.3.05.09.045  DNP71344</v>
      </c>
    </row>
    <row r="448" spans="1:34" ht="109.5" hidden="1" customHeight="1" x14ac:dyDescent="0.2">
      <c r="A448" s="931">
        <v>318</v>
      </c>
      <c r="B448" s="820" t="s">
        <v>1502</v>
      </c>
      <c r="C448" s="793">
        <v>1</v>
      </c>
      <c r="D448" s="702" t="s">
        <v>1412</v>
      </c>
      <c r="E448" s="830" t="s">
        <v>1540</v>
      </c>
      <c r="F448" s="793">
        <v>6</v>
      </c>
      <c r="G448" s="793" t="s">
        <v>1395</v>
      </c>
      <c r="H448" s="897" t="s">
        <v>1537</v>
      </c>
      <c r="I448" s="1056">
        <v>150390000</v>
      </c>
      <c r="J448" s="861"/>
      <c r="K448" s="861"/>
      <c r="L448" s="861"/>
      <c r="M448" s="1051">
        <v>20</v>
      </c>
      <c r="N448" s="1051" t="s">
        <v>1538</v>
      </c>
      <c r="O448" s="862"/>
      <c r="P448" s="862"/>
      <c r="Q448" s="862"/>
      <c r="R448" s="862"/>
      <c r="S448" s="862"/>
      <c r="T448" s="862"/>
      <c r="U448" s="904">
        <v>19</v>
      </c>
      <c r="V448" s="905" t="s">
        <v>1304</v>
      </c>
      <c r="W448" s="793">
        <v>1906</v>
      </c>
      <c r="X448" s="713" t="s">
        <v>145</v>
      </c>
      <c r="Y448" s="849" t="s">
        <v>1946</v>
      </c>
      <c r="Z448" s="791" t="s">
        <v>1525</v>
      </c>
      <c r="AA448" s="793" t="s">
        <v>1797</v>
      </c>
      <c r="AB448" s="770" t="s">
        <v>1105</v>
      </c>
      <c r="AC448" s="846" t="s">
        <v>1107</v>
      </c>
      <c r="AD448" s="770" t="s">
        <v>1108</v>
      </c>
      <c r="AE448" s="1073">
        <v>91122</v>
      </c>
      <c r="AF448" s="1068" t="s">
        <v>1763</v>
      </c>
      <c r="AG448" s="856"/>
      <c r="AH448" s="1052" t="str">
        <f t="shared" si="13"/>
        <v>2.3.2.02.02.009.1906029.91122</v>
      </c>
    </row>
    <row r="449" spans="1:114" ht="106.5" hidden="1" customHeight="1" x14ac:dyDescent="0.2">
      <c r="A449" s="931">
        <v>318</v>
      </c>
      <c r="B449" s="820" t="s">
        <v>1502</v>
      </c>
      <c r="C449" s="793">
        <v>1</v>
      </c>
      <c r="D449" s="702" t="s">
        <v>1412</v>
      </c>
      <c r="E449" s="830" t="s">
        <v>1540</v>
      </c>
      <c r="F449" s="793">
        <v>6</v>
      </c>
      <c r="G449" s="793" t="s">
        <v>1395</v>
      </c>
      <c r="H449" s="897" t="s">
        <v>1537</v>
      </c>
      <c r="I449" s="1056">
        <v>20000000</v>
      </c>
      <c r="J449" s="861"/>
      <c r="K449" s="861"/>
      <c r="L449" s="861"/>
      <c r="M449" s="1051">
        <v>20</v>
      </c>
      <c r="N449" s="1051" t="s">
        <v>1538</v>
      </c>
      <c r="O449" s="862"/>
      <c r="P449" s="862"/>
      <c r="Q449" s="862"/>
      <c r="R449" s="862"/>
      <c r="S449" s="862"/>
      <c r="T449" s="862"/>
      <c r="U449" s="904">
        <v>19</v>
      </c>
      <c r="V449" s="905" t="s">
        <v>1304</v>
      </c>
      <c r="W449" s="793">
        <v>1906</v>
      </c>
      <c r="X449" s="713" t="s">
        <v>145</v>
      </c>
      <c r="Y449" s="849" t="s">
        <v>1946</v>
      </c>
      <c r="Z449" s="791" t="s">
        <v>1525</v>
      </c>
      <c r="AA449" s="792" t="s">
        <v>1796</v>
      </c>
      <c r="AB449" s="770" t="s">
        <v>1087</v>
      </c>
      <c r="AC449" s="846" t="s">
        <v>1107</v>
      </c>
      <c r="AD449" s="770" t="s">
        <v>1108</v>
      </c>
      <c r="AE449" s="1073">
        <v>91122</v>
      </c>
      <c r="AF449" s="1068" t="s">
        <v>1763</v>
      </c>
      <c r="AG449" s="856"/>
      <c r="AH449" s="1052" t="str">
        <f t="shared" si="13"/>
        <v>2.3.2.02.02.009.1906032.91122</v>
      </c>
    </row>
    <row r="450" spans="1:114" ht="108" hidden="1" customHeight="1" x14ac:dyDescent="0.2">
      <c r="A450" s="931">
        <v>318</v>
      </c>
      <c r="B450" s="820" t="s">
        <v>1502</v>
      </c>
      <c r="C450" s="793">
        <v>1</v>
      </c>
      <c r="D450" s="702" t="s">
        <v>1412</v>
      </c>
      <c r="E450" s="830" t="s">
        <v>1540</v>
      </c>
      <c r="F450" s="793">
        <v>6</v>
      </c>
      <c r="G450" s="793" t="s">
        <v>1395</v>
      </c>
      <c r="H450" s="897" t="s">
        <v>1537</v>
      </c>
      <c r="I450" s="1056">
        <v>20000000</v>
      </c>
      <c r="J450" s="861"/>
      <c r="K450" s="861"/>
      <c r="L450" s="861"/>
      <c r="M450" s="1051">
        <v>20</v>
      </c>
      <c r="N450" s="1051" t="s">
        <v>1538</v>
      </c>
      <c r="O450" s="862"/>
      <c r="P450" s="862"/>
      <c r="Q450" s="862"/>
      <c r="R450" s="862"/>
      <c r="S450" s="862"/>
      <c r="T450" s="862"/>
      <c r="U450" s="904">
        <v>19</v>
      </c>
      <c r="V450" s="905" t="s">
        <v>1304</v>
      </c>
      <c r="W450" s="793">
        <v>1906</v>
      </c>
      <c r="X450" s="713" t="s">
        <v>145</v>
      </c>
      <c r="Y450" s="713"/>
      <c r="Z450" s="791" t="s">
        <v>1525</v>
      </c>
      <c r="AA450" s="793" t="s">
        <v>1798</v>
      </c>
      <c r="AB450" s="770" t="s">
        <v>1111</v>
      </c>
      <c r="AC450" s="846" t="s">
        <v>1107</v>
      </c>
      <c r="AD450" s="770" t="s">
        <v>1108</v>
      </c>
      <c r="AE450" s="1073">
        <v>91122</v>
      </c>
      <c r="AF450" s="1068" t="s">
        <v>1763</v>
      </c>
      <c r="AG450" s="856"/>
      <c r="AH450" s="1052" t="str">
        <f t="shared" si="13"/>
        <v>2.3.2.02.02.009.1906005.91122</v>
      </c>
    </row>
    <row r="451" spans="1:114" ht="76.5" hidden="1" customHeight="1" x14ac:dyDescent="0.2">
      <c r="A451" s="931">
        <v>318</v>
      </c>
      <c r="B451" s="820" t="s">
        <v>1502</v>
      </c>
      <c r="C451" s="793">
        <v>1</v>
      </c>
      <c r="D451" s="702" t="s">
        <v>1412</v>
      </c>
      <c r="E451" s="830" t="s">
        <v>1540</v>
      </c>
      <c r="F451" s="793">
        <v>6</v>
      </c>
      <c r="G451" s="793" t="s">
        <v>1395</v>
      </c>
      <c r="H451" s="897" t="s">
        <v>1537</v>
      </c>
      <c r="I451" s="1056">
        <v>20000000</v>
      </c>
      <c r="J451" s="861"/>
      <c r="K451" s="861"/>
      <c r="L451" s="861"/>
      <c r="M451" s="1051">
        <v>20</v>
      </c>
      <c r="N451" s="1051" t="s">
        <v>1538</v>
      </c>
      <c r="O451" s="862"/>
      <c r="P451" s="862"/>
      <c r="Q451" s="862"/>
      <c r="R451" s="862"/>
      <c r="S451" s="862"/>
      <c r="T451" s="862"/>
      <c r="U451" s="904">
        <v>19</v>
      </c>
      <c r="V451" s="905" t="s">
        <v>1304</v>
      </c>
      <c r="W451" s="793">
        <v>1906</v>
      </c>
      <c r="X451" s="713" t="s">
        <v>145</v>
      </c>
      <c r="Y451" s="849" t="s">
        <v>1946</v>
      </c>
      <c r="Z451" s="791" t="s">
        <v>1525</v>
      </c>
      <c r="AA451" s="793" t="s">
        <v>1799</v>
      </c>
      <c r="AB451" s="770" t="s">
        <v>1112</v>
      </c>
      <c r="AC451" s="846" t="s">
        <v>1107</v>
      </c>
      <c r="AD451" s="770" t="s">
        <v>1108</v>
      </c>
      <c r="AE451" s="1073">
        <v>91122</v>
      </c>
      <c r="AF451" s="1068" t="s">
        <v>1763</v>
      </c>
      <c r="AG451" s="856"/>
      <c r="AH451" s="1052" t="str">
        <f t="shared" si="13"/>
        <v>2.3.2.02.02.009.1906022.91122</v>
      </c>
    </row>
    <row r="452" spans="1:114" ht="103.5" hidden="1" customHeight="1" x14ac:dyDescent="0.2">
      <c r="A452" s="931">
        <v>318</v>
      </c>
      <c r="B452" s="820" t="s">
        <v>1502</v>
      </c>
      <c r="C452" s="793">
        <v>1</v>
      </c>
      <c r="D452" s="702" t="s">
        <v>1412</v>
      </c>
      <c r="E452" s="830" t="s">
        <v>1540</v>
      </c>
      <c r="F452" s="793">
        <v>6</v>
      </c>
      <c r="G452" s="793" t="s">
        <v>1395</v>
      </c>
      <c r="H452" s="897" t="s">
        <v>1537</v>
      </c>
      <c r="I452" s="1056">
        <v>20000000</v>
      </c>
      <c r="J452" s="861"/>
      <c r="K452" s="861"/>
      <c r="L452" s="861"/>
      <c r="M452" s="1051">
        <v>20</v>
      </c>
      <c r="N452" s="1051" t="s">
        <v>1538</v>
      </c>
      <c r="O452" s="862"/>
      <c r="P452" s="862"/>
      <c r="Q452" s="862"/>
      <c r="R452" s="862"/>
      <c r="S452" s="862"/>
      <c r="T452" s="862"/>
      <c r="U452" s="904">
        <v>19</v>
      </c>
      <c r="V452" s="905" t="s">
        <v>1304</v>
      </c>
      <c r="W452" s="793">
        <v>1906</v>
      </c>
      <c r="X452" s="713" t="s">
        <v>145</v>
      </c>
      <c r="Y452" s="849" t="s">
        <v>1946</v>
      </c>
      <c r="Z452" s="791" t="s">
        <v>1525</v>
      </c>
      <c r="AA452" s="1349">
        <v>1906023</v>
      </c>
      <c r="AB452" s="770" t="s">
        <v>1114</v>
      </c>
      <c r="AC452" s="846" t="s">
        <v>1107</v>
      </c>
      <c r="AD452" s="770" t="s">
        <v>1108</v>
      </c>
      <c r="AE452" s="1073">
        <v>91122</v>
      </c>
      <c r="AF452" s="1068" t="s">
        <v>1763</v>
      </c>
      <c r="AG452" s="856"/>
      <c r="AH452" s="1052" t="str">
        <f t="shared" si="13"/>
        <v>2.3.2.02.02.009.190602391122</v>
      </c>
    </row>
    <row r="453" spans="1:114" s="11" customFormat="1" ht="114" customHeight="1" x14ac:dyDescent="0.2">
      <c r="A453" s="931">
        <v>324</v>
      </c>
      <c r="B453" s="882" t="s">
        <v>1334</v>
      </c>
      <c r="C453" s="891">
        <v>1</v>
      </c>
      <c r="D453" s="1486" t="s">
        <v>1412</v>
      </c>
      <c r="E453" s="1487" t="s">
        <v>1540</v>
      </c>
      <c r="F453" s="891">
        <v>6</v>
      </c>
      <c r="G453" s="891" t="s">
        <v>1395</v>
      </c>
      <c r="H453" s="1488" t="s">
        <v>1537</v>
      </c>
      <c r="I453" s="1489">
        <v>6000000</v>
      </c>
      <c r="J453" s="1426"/>
      <c r="K453" s="1426"/>
      <c r="L453" s="1426"/>
      <c r="M453" s="1490">
        <v>20</v>
      </c>
      <c r="N453" s="1490" t="s">
        <v>1538</v>
      </c>
      <c r="O453" s="1427"/>
      <c r="P453" s="1427"/>
      <c r="Q453" s="1427"/>
      <c r="R453" s="1427"/>
      <c r="S453" s="1427"/>
      <c r="T453" s="1427"/>
      <c r="U453" s="817">
        <v>23</v>
      </c>
      <c r="V453" s="817" t="s">
        <v>1314</v>
      </c>
      <c r="W453" s="891">
        <v>2301</v>
      </c>
      <c r="X453" s="1491" t="s">
        <v>1527</v>
      </c>
      <c r="Y453" s="1492" t="s">
        <v>1936</v>
      </c>
      <c r="Z453" s="1486" t="s">
        <v>1528</v>
      </c>
      <c r="AA453" s="930" t="s">
        <v>1717</v>
      </c>
      <c r="AB453" s="909" t="s">
        <v>1119</v>
      </c>
      <c r="AC453" s="909" t="s">
        <v>1121</v>
      </c>
      <c r="AD453" s="1065" t="s">
        <v>1529</v>
      </c>
      <c r="AE453" s="1020" t="s">
        <v>1726</v>
      </c>
      <c r="AF453" s="1065" t="s">
        <v>1722</v>
      </c>
      <c r="AG453" s="968"/>
      <c r="AH453" s="740" t="str">
        <f t="shared" si="13"/>
        <v>2.3.2.02.02.009.2301024.83132.</v>
      </c>
      <c r="AI453" s="1040"/>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row>
    <row r="454" spans="1:114" ht="114" customHeight="1" x14ac:dyDescent="0.2">
      <c r="A454" s="931">
        <v>324</v>
      </c>
      <c r="B454" s="868" t="s">
        <v>1334</v>
      </c>
      <c r="C454" s="793">
        <v>1</v>
      </c>
      <c r="D454" s="791" t="s">
        <v>1412</v>
      </c>
      <c r="E454" s="830" t="s">
        <v>1720</v>
      </c>
      <c r="F454" s="793">
        <v>6</v>
      </c>
      <c r="G454" s="793" t="s">
        <v>1395</v>
      </c>
      <c r="H454" s="897" t="s">
        <v>1718</v>
      </c>
      <c r="I454" s="1056">
        <v>6000000</v>
      </c>
      <c r="J454" s="832"/>
      <c r="K454" s="832"/>
      <c r="L454" s="832"/>
      <c r="M454" s="1051">
        <v>20</v>
      </c>
      <c r="N454" s="1051" t="s">
        <v>1538</v>
      </c>
      <c r="O454" s="859"/>
      <c r="P454" s="859"/>
      <c r="Q454" s="859"/>
      <c r="R454" s="859"/>
      <c r="S454" s="859"/>
      <c r="T454" s="859"/>
      <c r="U454" s="863">
        <v>23</v>
      </c>
      <c r="V454" s="817" t="s">
        <v>1314</v>
      </c>
      <c r="W454" s="793">
        <v>2301</v>
      </c>
      <c r="X454" s="713" t="s">
        <v>1527</v>
      </c>
      <c r="Y454" s="849" t="s">
        <v>1936</v>
      </c>
      <c r="Z454" s="791" t="s">
        <v>1528</v>
      </c>
      <c r="AA454" s="792" t="s">
        <v>1717</v>
      </c>
      <c r="AB454" s="846" t="s">
        <v>1119</v>
      </c>
      <c r="AC454" s="884" t="s">
        <v>1121</v>
      </c>
      <c r="AD454" s="718" t="s">
        <v>1529</v>
      </c>
      <c r="AE454" s="1059" t="s">
        <v>1727</v>
      </c>
      <c r="AF454" s="1042" t="s">
        <v>1723</v>
      </c>
      <c r="AG454" s="917"/>
      <c r="AH454" s="873" t="str">
        <f t="shared" si="13"/>
        <v>2.3.2.02.02.008.2301024.84222.</v>
      </c>
    </row>
    <row r="455" spans="1:114" ht="114" customHeight="1" x14ac:dyDescent="0.2">
      <c r="A455" s="931">
        <v>324</v>
      </c>
      <c r="B455" s="868" t="s">
        <v>1334</v>
      </c>
      <c r="C455" s="793">
        <v>1</v>
      </c>
      <c r="D455" s="791" t="s">
        <v>1412</v>
      </c>
      <c r="E455" s="830" t="s">
        <v>1720</v>
      </c>
      <c r="F455" s="793">
        <v>6</v>
      </c>
      <c r="G455" s="793" t="s">
        <v>1395</v>
      </c>
      <c r="H455" s="897" t="s">
        <v>1718</v>
      </c>
      <c r="I455" s="1056">
        <v>6000000</v>
      </c>
      <c r="J455" s="832"/>
      <c r="K455" s="832"/>
      <c r="L455" s="832"/>
      <c r="M455" s="1051">
        <v>20</v>
      </c>
      <c r="N455" s="1051" t="s">
        <v>1538</v>
      </c>
      <c r="O455" s="859"/>
      <c r="P455" s="859"/>
      <c r="Q455" s="859"/>
      <c r="R455" s="859"/>
      <c r="S455" s="859"/>
      <c r="T455" s="859"/>
      <c r="U455" s="863">
        <v>23</v>
      </c>
      <c r="V455" s="817" t="s">
        <v>1314</v>
      </c>
      <c r="W455" s="793">
        <v>2301</v>
      </c>
      <c r="X455" s="713" t="s">
        <v>1527</v>
      </c>
      <c r="Y455" s="849" t="s">
        <v>1936</v>
      </c>
      <c r="Z455" s="791" t="s">
        <v>1528</v>
      </c>
      <c r="AA455" s="792" t="s">
        <v>1717</v>
      </c>
      <c r="AB455" s="846" t="s">
        <v>1119</v>
      </c>
      <c r="AC455" s="884" t="s">
        <v>1121</v>
      </c>
      <c r="AD455" s="1042" t="s">
        <v>1529</v>
      </c>
      <c r="AE455" s="1059" t="s">
        <v>1728</v>
      </c>
      <c r="AF455" s="1042" t="s">
        <v>1724</v>
      </c>
      <c r="AG455" s="917"/>
      <c r="AH455" s="873" t="str">
        <f t="shared" si="13"/>
        <v>2.3.2.02.02.008.2301024.87120.</v>
      </c>
    </row>
    <row r="456" spans="1:114" ht="97.5" customHeight="1" x14ac:dyDescent="0.2">
      <c r="A456" s="931">
        <v>324</v>
      </c>
      <c r="B456" s="868" t="s">
        <v>1334</v>
      </c>
      <c r="C456" s="793">
        <v>1</v>
      </c>
      <c r="D456" s="791" t="s">
        <v>1412</v>
      </c>
      <c r="E456" s="830" t="s">
        <v>1540</v>
      </c>
      <c r="F456" s="793">
        <v>6</v>
      </c>
      <c r="G456" s="793" t="s">
        <v>1395</v>
      </c>
      <c r="H456" s="897" t="s">
        <v>1537</v>
      </c>
      <c r="I456" s="1056">
        <v>30000000</v>
      </c>
      <c r="J456" s="832"/>
      <c r="K456" s="832"/>
      <c r="L456" s="832"/>
      <c r="M456" s="1051">
        <v>20</v>
      </c>
      <c r="N456" s="1051" t="s">
        <v>1538</v>
      </c>
      <c r="O456" s="859"/>
      <c r="P456" s="859"/>
      <c r="Q456" s="859"/>
      <c r="R456" s="859"/>
      <c r="S456" s="859"/>
      <c r="T456" s="859"/>
      <c r="U456" s="863">
        <v>23</v>
      </c>
      <c r="V456" s="817" t="s">
        <v>1314</v>
      </c>
      <c r="W456" s="793">
        <v>2301</v>
      </c>
      <c r="X456" s="713" t="s">
        <v>1527</v>
      </c>
      <c r="Y456" s="849"/>
      <c r="Z456" s="791" t="s">
        <v>1528</v>
      </c>
      <c r="AA456" s="792" t="s">
        <v>1717</v>
      </c>
      <c r="AB456" s="846" t="s">
        <v>1119</v>
      </c>
      <c r="AC456" s="884" t="s">
        <v>1121</v>
      </c>
      <c r="AD456" s="1042" t="s">
        <v>1529</v>
      </c>
      <c r="AE456" s="1493" t="s">
        <v>1726</v>
      </c>
      <c r="AF456" s="1042" t="s">
        <v>1722</v>
      </c>
      <c r="AG456" s="917"/>
      <c r="AH456" s="873" t="str">
        <f t="shared" si="13"/>
        <v>2.3.2.02.02.009.2301024.83132.</v>
      </c>
    </row>
    <row r="457" spans="1:114" ht="102" customHeight="1" x14ac:dyDescent="0.2">
      <c r="A457" s="931">
        <v>324</v>
      </c>
      <c r="B457" s="868" t="s">
        <v>1334</v>
      </c>
      <c r="C457" s="793">
        <v>1</v>
      </c>
      <c r="D457" s="791" t="s">
        <v>1412</v>
      </c>
      <c r="E457" s="830" t="s">
        <v>1721</v>
      </c>
      <c r="F457" s="793">
        <v>8</v>
      </c>
      <c r="G457" s="793" t="s">
        <v>1395</v>
      </c>
      <c r="H457" s="897" t="s">
        <v>1719</v>
      </c>
      <c r="I457" s="1056">
        <v>40000000</v>
      </c>
      <c r="J457" s="832"/>
      <c r="K457" s="832"/>
      <c r="L457" s="832"/>
      <c r="M457" s="1051">
        <v>20</v>
      </c>
      <c r="N457" s="1051" t="s">
        <v>1538</v>
      </c>
      <c r="O457" s="859"/>
      <c r="P457" s="859"/>
      <c r="Q457" s="859"/>
      <c r="R457" s="859"/>
      <c r="S457" s="859"/>
      <c r="T457" s="859"/>
      <c r="U457" s="863">
        <v>23</v>
      </c>
      <c r="V457" s="817" t="s">
        <v>1314</v>
      </c>
      <c r="W457" s="793">
        <v>2301</v>
      </c>
      <c r="X457" s="713" t="s">
        <v>1527</v>
      </c>
      <c r="Y457" s="849" t="s">
        <v>1936</v>
      </c>
      <c r="Z457" s="791" t="s">
        <v>1528</v>
      </c>
      <c r="AA457" s="792" t="s">
        <v>1717</v>
      </c>
      <c r="AB457" s="846" t="s">
        <v>1119</v>
      </c>
      <c r="AC457" s="884" t="s">
        <v>1121</v>
      </c>
      <c r="AD457" s="1042" t="s">
        <v>1529</v>
      </c>
      <c r="AE457" s="1060" t="s">
        <v>1729</v>
      </c>
      <c r="AF457" s="1042" t="s">
        <v>1725</v>
      </c>
      <c r="AG457" s="917"/>
      <c r="AH457" s="873" t="str">
        <f t="shared" si="13"/>
        <v>2.3.2.01.01.003.03.01.2301024.45261.</v>
      </c>
    </row>
    <row r="458" spans="1:114" ht="103.5" customHeight="1" x14ac:dyDescent="0.2">
      <c r="A458" s="931">
        <v>324</v>
      </c>
      <c r="B458" s="868" t="s">
        <v>1334</v>
      </c>
      <c r="C458" s="793">
        <v>1</v>
      </c>
      <c r="D458" s="791" t="s">
        <v>1412</v>
      </c>
      <c r="E458" s="830" t="s">
        <v>1721</v>
      </c>
      <c r="F458" s="793">
        <v>8</v>
      </c>
      <c r="G458" s="793" t="s">
        <v>1395</v>
      </c>
      <c r="H458" s="897" t="s">
        <v>1719</v>
      </c>
      <c r="I458" s="1056">
        <v>30000000</v>
      </c>
      <c r="J458" s="832"/>
      <c r="K458" s="832"/>
      <c r="L458" s="832"/>
      <c r="M458" s="1051">
        <v>20</v>
      </c>
      <c r="N458" s="1051" t="s">
        <v>1538</v>
      </c>
      <c r="O458" s="859"/>
      <c r="P458" s="859"/>
      <c r="Q458" s="859"/>
      <c r="R458" s="859"/>
      <c r="S458" s="859"/>
      <c r="T458" s="859"/>
      <c r="U458" s="863">
        <v>23</v>
      </c>
      <c r="V458" s="817" t="s">
        <v>1314</v>
      </c>
      <c r="W458" s="793">
        <v>2301</v>
      </c>
      <c r="X458" s="713" t="s">
        <v>1527</v>
      </c>
      <c r="Y458" s="849" t="s">
        <v>1936</v>
      </c>
      <c r="Z458" s="791" t="s">
        <v>1528</v>
      </c>
      <c r="AA458" s="792" t="s">
        <v>1717</v>
      </c>
      <c r="AB458" s="846" t="s">
        <v>1119</v>
      </c>
      <c r="AC458" s="884" t="s">
        <v>1121</v>
      </c>
      <c r="AD458" s="1042" t="s">
        <v>1529</v>
      </c>
      <c r="AE458" s="1493" t="s">
        <v>1730</v>
      </c>
      <c r="AF458" s="1468" t="s">
        <v>2326</v>
      </c>
      <c r="AG458" s="917"/>
      <c r="AH458" s="873" t="str">
        <f t="shared" si="13"/>
        <v>2.3.2.01.01.003.03.01.2301024.45250.</v>
      </c>
    </row>
    <row r="459" spans="1:114" ht="136.5" customHeight="1" x14ac:dyDescent="0.2">
      <c r="A459" s="931">
        <v>324</v>
      </c>
      <c r="B459" s="868" t="s">
        <v>1334</v>
      </c>
      <c r="C459" s="793">
        <v>1</v>
      </c>
      <c r="D459" s="791" t="s">
        <v>1412</v>
      </c>
      <c r="E459" s="830" t="s">
        <v>1540</v>
      </c>
      <c r="F459" s="793">
        <v>6</v>
      </c>
      <c r="G459" s="793" t="s">
        <v>1395</v>
      </c>
      <c r="H459" s="897" t="s">
        <v>1537</v>
      </c>
      <c r="I459" s="1056">
        <v>25000000</v>
      </c>
      <c r="J459" s="832"/>
      <c r="K459" s="832"/>
      <c r="L459" s="832"/>
      <c r="M459" s="1051">
        <v>20</v>
      </c>
      <c r="N459" s="1051" t="s">
        <v>1538</v>
      </c>
      <c r="O459" s="859"/>
      <c r="P459" s="859"/>
      <c r="Q459" s="859"/>
      <c r="R459" s="859"/>
      <c r="S459" s="859"/>
      <c r="T459" s="859"/>
      <c r="U459" s="863">
        <v>23</v>
      </c>
      <c r="V459" s="817" t="s">
        <v>1314</v>
      </c>
      <c r="W459" s="793">
        <v>2301</v>
      </c>
      <c r="X459" s="713" t="s">
        <v>1527</v>
      </c>
      <c r="Y459" s="849" t="s">
        <v>1936</v>
      </c>
      <c r="Z459" s="791" t="s">
        <v>1528</v>
      </c>
      <c r="AA459" s="792" t="s">
        <v>1738</v>
      </c>
      <c r="AB459" s="770" t="s">
        <v>1127</v>
      </c>
      <c r="AC459" s="884" t="s">
        <v>1121</v>
      </c>
      <c r="AD459" s="718" t="s">
        <v>1529</v>
      </c>
      <c r="AE459" s="1060" t="s">
        <v>1726</v>
      </c>
      <c r="AF459" s="1057" t="s">
        <v>1722</v>
      </c>
      <c r="AG459" s="917"/>
      <c r="AH459" s="873" t="str">
        <f t="shared" si="13"/>
        <v>2.3.2.02.02.009.2301079.83132.</v>
      </c>
    </row>
    <row r="460" spans="1:114" ht="135" customHeight="1" x14ac:dyDescent="0.2">
      <c r="A460" s="931">
        <v>324</v>
      </c>
      <c r="B460" s="868" t="s">
        <v>1334</v>
      </c>
      <c r="C460" s="793">
        <v>1</v>
      </c>
      <c r="D460" s="791" t="s">
        <v>1412</v>
      </c>
      <c r="E460" s="830" t="s">
        <v>1720</v>
      </c>
      <c r="F460" s="793">
        <v>6</v>
      </c>
      <c r="G460" s="793" t="s">
        <v>1395</v>
      </c>
      <c r="H460" s="897" t="s">
        <v>1732</v>
      </c>
      <c r="I460" s="1056">
        <v>30000000</v>
      </c>
      <c r="J460" s="832"/>
      <c r="K460" s="832"/>
      <c r="L460" s="832"/>
      <c r="M460" s="1051">
        <v>20</v>
      </c>
      <c r="N460" s="1051" t="s">
        <v>1538</v>
      </c>
      <c r="O460" s="859"/>
      <c r="P460" s="859"/>
      <c r="Q460" s="859"/>
      <c r="R460" s="859"/>
      <c r="S460" s="859"/>
      <c r="T460" s="859"/>
      <c r="U460" s="863">
        <v>23</v>
      </c>
      <c r="V460" s="817" t="s">
        <v>1314</v>
      </c>
      <c r="W460" s="793">
        <v>2301</v>
      </c>
      <c r="X460" s="713" t="s">
        <v>1527</v>
      </c>
      <c r="Y460" s="849" t="s">
        <v>1936</v>
      </c>
      <c r="Z460" s="791" t="s">
        <v>1528</v>
      </c>
      <c r="AA460" s="792" t="s">
        <v>1738</v>
      </c>
      <c r="AB460" s="770" t="s">
        <v>1127</v>
      </c>
      <c r="AC460" s="884" t="s">
        <v>1121</v>
      </c>
      <c r="AD460" s="1042" t="s">
        <v>1529</v>
      </c>
      <c r="AE460" s="1060" t="s">
        <v>1758</v>
      </c>
      <c r="AF460" s="1058" t="s">
        <v>1733</v>
      </c>
      <c r="AG460" s="917"/>
      <c r="AH460" s="873" t="str">
        <f t="shared" si="13"/>
        <v>2.3.2.02.02.008.2301079.83159.</v>
      </c>
    </row>
    <row r="461" spans="1:114" ht="85.5" customHeight="1" x14ac:dyDescent="0.2">
      <c r="A461" s="931">
        <v>324</v>
      </c>
      <c r="B461" s="868" t="s">
        <v>1334</v>
      </c>
      <c r="C461" s="793">
        <v>1</v>
      </c>
      <c r="D461" s="791" t="s">
        <v>1412</v>
      </c>
      <c r="E461" s="830" t="s">
        <v>1540</v>
      </c>
      <c r="F461" s="793">
        <v>6</v>
      </c>
      <c r="G461" s="793" t="s">
        <v>1395</v>
      </c>
      <c r="H461" s="897" t="s">
        <v>1537</v>
      </c>
      <c r="I461" s="1056">
        <v>25000000</v>
      </c>
      <c r="J461" s="832"/>
      <c r="K461" s="832"/>
      <c r="L461" s="832"/>
      <c r="M461" s="1051">
        <v>20</v>
      </c>
      <c r="N461" s="1051" t="s">
        <v>1538</v>
      </c>
      <c r="O461" s="859"/>
      <c r="P461" s="859"/>
      <c r="Q461" s="859"/>
      <c r="R461" s="859"/>
      <c r="S461" s="859"/>
      <c r="T461" s="859"/>
      <c r="U461" s="863">
        <v>23</v>
      </c>
      <c r="V461" s="817" t="s">
        <v>1314</v>
      </c>
      <c r="W461" s="793">
        <v>2301</v>
      </c>
      <c r="X461" s="713" t="s">
        <v>1527</v>
      </c>
      <c r="Y461" s="849" t="s">
        <v>1936</v>
      </c>
      <c r="Z461" s="791" t="s">
        <v>1528</v>
      </c>
      <c r="AA461" s="792" t="s">
        <v>1738</v>
      </c>
      <c r="AB461" s="770" t="s">
        <v>1127</v>
      </c>
      <c r="AC461" s="884" t="s">
        <v>1121</v>
      </c>
      <c r="AD461" s="1042" t="s">
        <v>1529</v>
      </c>
      <c r="AE461" s="1060" t="s">
        <v>1726</v>
      </c>
      <c r="AF461" s="1057" t="s">
        <v>1722</v>
      </c>
      <c r="AG461" s="917"/>
      <c r="AH461" s="873" t="str">
        <f t="shared" si="13"/>
        <v>2.3.2.02.02.009.2301079.83132.</v>
      </c>
    </row>
    <row r="462" spans="1:114" ht="96" customHeight="1" x14ac:dyDescent="0.2">
      <c r="A462" s="931">
        <v>324</v>
      </c>
      <c r="B462" s="868" t="s">
        <v>1334</v>
      </c>
      <c r="C462" s="793">
        <v>1</v>
      </c>
      <c r="D462" s="791" t="s">
        <v>1412</v>
      </c>
      <c r="E462" s="830" t="s">
        <v>1720</v>
      </c>
      <c r="F462" s="793">
        <v>6</v>
      </c>
      <c r="G462" s="793" t="s">
        <v>1395</v>
      </c>
      <c r="H462" s="897" t="s">
        <v>1732</v>
      </c>
      <c r="I462" s="1056">
        <v>50000000</v>
      </c>
      <c r="J462" s="832"/>
      <c r="K462" s="832"/>
      <c r="L462" s="832"/>
      <c r="M462" s="1051">
        <v>20</v>
      </c>
      <c r="N462" s="1051" t="s">
        <v>1538</v>
      </c>
      <c r="O462" s="859"/>
      <c r="P462" s="859"/>
      <c r="Q462" s="859"/>
      <c r="R462" s="859"/>
      <c r="S462" s="859"/>
      <c r="T462" s="859"/>
      <c r="U462" s="863">
        <v>23</v>
      </c>
      <c r="V462" s="817" t="s">
        <v>1314</v>
      </c>
      <c r="W462" s="793">
        <v>2301</v>
      </c>
      <c r="X462" s="713" t="s">
        <v>1527</v>
      </c>
      <c r="Y462" s="849" t="s">
        <v>1936</v>
      </c>
      <c r="Z462" s="791" t="s">
        <v>1528</v>
      </c>
      <c r="AA462" s="792" t="s">
        <v>1739</v>
      </c>
      <c r="AB462" s="770" t="s">
        <v>1129</v>
      </c>
      <c r="AC462" s="884" t="s">
        <v>1121</v>
      </c>
      <c r="AD462" s="1042" t="s">
        <v>1529</v>
      </c>
      <c r="AE462" s="1060" t="s">
        <v>1758</v>
      </c>
      <c r="AF462" s="1061" t="s">
        <v>1733</v>
      </c>
      <c r="AG462" s="917"/>
      <c r="AH462" s="873" t="str">
        <f t="shared" si="13"/>
        <v>2.3.2.02.02.008.2301062.83159.</v>
      </c>
    </row>
    <row r="463" spans="1:114" ht="103.5" customHeight="1" x14ac:dyDescent="0.2">
      <c r="A463" s="931">
        <v>324</v>
      </c>
      <c r="B463" s="868" t="s">
        <v>1334</v>
      </c>
      <c r="C463" s="793">
        <v>1</v>
      </c>
      <c r="D463" s="791" t="s">
        <v>1412</v>
      </c>
      <c r="E463" s="830" t="s">
        <v>1540</v>
      </c>
      <c r="F463" s="793">
        <v>6</v>
      </c>
      <c r="G463" s="793" t="s">
        <v>1395</v>
      </c>
      <c r="H463" s="897" t="s">
        <v>1537</v>
      </c>
      <c r="I463" s="1056">
        <v>36000000</v>
      </c>
      <c r="J463" s="832"/>
      <c r="K463" s="832"/>
      <c r="L463" s="832"/>
      <c r="M463" s="1051">
        <v>20</v>
      </c>
      <c r="N463" s="1051" t="s">
        <v>1538</v>
      </c>
      <c r="O463" s="859"/>
      <c r="P463" s="859"/>
      <c r="Q463" s="859"/>
      <c r="R463" s="859"/>
      <c r="S463" s="859"/>
      <c r="T463" s="859"/>
      <c r="U463" s="863">
        <v>23</v>
      </c>
      <c r="V463" s="817" t="s">
        <v>1314</v>
      </c>
      <c r="W463" s="793">
        <v>2301</v>
      </c>
      <c r="X463" s="713" t="s">
        <v>1527</v>
      </c>
      <c r="Y463" s="849" t="s">
        <v>1936</v>
      </c>
      <c r="Z463" s="791" t="s">
        <v>1528</v>
      </c>
      <c r="AA463" s="792" t="s">
        <v>1740</v>
      </c>
      <c r="AB463" s="770" t="s">
        <v>1133</v>
      </c>
      <c r="AC463" s="918" t="s">
        <v>1135</v>
      </c>
      <c r="AD463" s="718" t="s">
        <v>1530</v>
      </c>
      <c r="AE463" s="1060" t="s">
        <v>1726</v>
      </c>
      <c r="AF463" s="1061" t="s">
        <v>1722</v>
      </c>
      <c r="AG463" s="799"/>
      <c r="AH463" s="873" t="str">
        <f t="shared" si="13"/>
        <v>2.3.2.02.02.009.2301030.83132.</v>
      </c>
    </row>
    <row r="464" spans="1:114" ht="115.5" customHeight="1" x14ac:dyDescent="0.2">
      <c r="A464" s="931">
        <v>324</v>
      </c>
      <c r="B464" s="868" t="s">
        <v>1334</v>
      </c>
      <c r="C464" s="793">
        <v>1</v>
      </c>
      <c r="D464" s="791" t="s">
        <v>1412</v>
      </c>
      <c r="E464" s="830" t="s">
        <v>1540</v>
      </c>
      <c r="F464" s="793">
        <v>6</v>
      </c>
      <c r="G464" s="793" t="s">
        <v>1395</v>
      </c>
      <c r="H464" s="897" t="s">
        <v>1537</v>
      </c>
      <c r="I464" s="1056">
        <v>18000000</v>
      </c>
      <c r="J464" s="832"/>
      <c r="K464" s="832"/>
      <c r="L464" s="832"/>
      <c r="M464" s="1051">
        <v>20</v>
      </c>
      <c r="N464" s="1051" t="s">
        <v>1538</v>
      </c>
      <c r="O464" s="859"/>
      <c r="P464" s="859"/>
      <c r="Q464" s="859"/>
      <c r="R464" s="859"/>
      <c r="S464" s="859"/>
      <c r="T464" s="859"/>
      <c r="U464" s="863">
        <v>23</v>
      </c>
      <c r="V464" s="817" t="s">
        <v>1314</v>
      </c>
      <c r="W464" s="793">
        <v>2301</v>
      </c>
      <c r="X464" s="713" t="s">
        <v>1527</v>
      </c>
      <c r="Y464" s="849" t="s">
        <v>1936</v>
      </c>
      <c r="Z464" s="791" t="s">
        <v>1528</v>
      </c>
      <c r="AA464" s="792" t="s">
        <v>1741</v>
      </c>
      <c r="AB464" s="770" t="s">
        <v>1138</v>
      </c>
      <c r="AC464" s="918" t="s">
        <v>1135</v>
      </c>
      <c r="AD464" s="718" t="s">
        <v>1530</v>
      </c>
      <c r="AE464" s="1060" t="s">
        <v>1726</v>
      </c>
      <c r="AF464" s="1061" t="s">
        <v>1734</v>
      </c>
      <c r="AG464" s="799"/>
      <c r="AH464" s="873" t="str">
        <f t="shared" si="13"/>
        <v>2.3.2.02.02.009.2301015.83132.</v>
      </c>
    </row>
    <row r="465" spans="1:35" ht="130.5" customHeight="1" x14ac:dyDescent="0.2">
      <c r="A465" s="931">
        <v>324</v>
      </c>
      <c r="B465" s="868" t="s">
        <v>1334</v>
      </c>
      <c r="C465" s="793">
        <v>1</v>
      </c>
      <c r="D465" s="791" t="s">
        <v>1412</v>
      </c>
      <c r="E465" s="830" t="s">
        <v>1540</v>
      </c>
      <c r="F465" s="793">
        <v>6</v>
      </c>
      <c r="G465" s="793" t="s">
        <v>1395</v>
      </c>
      <c r="H465" s="897" t="s">
        <v>1537</v>
      </c>
      <c r="I465" s="1056">
        <v>18000000</v>
      </c>
      <c r="J465" s="832"/>
      <c r="K465" s="832"/>
      <c r="L465" s="832"/>
      <c r="M465" s="1051">
        <v>20</v>
      </c>
      <c r="N465" s="1051" t="s">
        <v>1538</v>
      </c>
      <c r="O465" s="859"/>
      <c r="P465" s="859"/>
      <c r="Q465" s="859"/>
      <c r="R465" s="859"/>
      <c r="S465" s="859"/>
      <c r="T465" s="859"/>
      <c r="U465" s="863">
        <v>23</v>
      </c>
      <c r="V465" s="817" t="s">
        <v>1314</v>
      </c>
      <c r="W465" s="793">
        <v>2301</v>
      </c>
      <c r="X465" s="713" t="s">
        <v>1527</v>
      </c>
      <c r="Y465" s="849" t="s">
        <v>1936</v>
      </c>
      <c r="Z465" s="791" t="s">
        <v>1528</v>
      </c>
      <c r="AA465" s="792" t="s">
        <v>1742</v>
      </c>
      <c r="AB465" s="770" t="s">
        <v>63</v>
      </c>
      <c r="AC465" s="1216" t="s">
        <v>1135</v>
      </c>
      <c r="AD465" s="718" t="s">
        <v>1530</v>
      </c>
      <c r="AE465" s="1230" t="s">
        <v>1726</v>
      </c>
      <c r="AF465" s="1062" t="s">
        <v>1734</v>
      </c>
      <c r="AG465" s="799"/>
      <c r="AH465" s="873" t="str">
        <f t="shared" si="13"/>
        <v>2.3.2.02.02.009.2301004.83132.</v>
      </c>
    </row>
    <row r="466" spans="1:35" ht="120" customHeight="1" x14ac:dyDescent="0.2">
      <c r="A466" s="931">
        <v>324</v>
      </c>
      <c r="B466" s="868" t="s">
        <v>1334</v>
      </c>
      <c r="C466" s="793">
        <v>1</v>
      </c>
      <c r="D466" s="791" t="s">
        <v>1412</v>
      </c>
      <c r="E466" s="830" t="s">
        <v>1540</v>
      </c>
      <c r="F466" s="793">
        <v>6</v>
      </c>
      <c r="G466" s="793" t="s">
        <v>1395</v>
      </c>
      <c r="H466" s="860" t="s">
        <v>1537</v>
      </c>
      <c r="I466" s="1056">
        <v>36000000</v>
      </c>
      <c r="J466" s="832"/>
      <c r="K466" s="832"/>
      <c r="L466" s="832"/>
      <c r="M466" s="1051">
        <v>20</v>
      </c>
      <c r="N466" s="1051" t="s">
        <v>1538</v>
      </c>
      <c r="O466" s="859"/>
      <c r="P466" s="859"/>
      <c r="Q466" s="859"/>
      <c r="R466" s="859"/>
      <c r="S466" s="859"/>
      <c r="T466" s="859"/>
      <c r="U466" s="863">
        <v>23</v>
      </c>
      <c r="V466" s="817" t="s">
        <v>1314</v>
      </c>
      <c r="W466" s="793">
        <v>2301</v>
      </c>
      <c r="X466" s="713" t="s">
        <v>1527</v>
      </c>
      <c r="Y466" s="849" t="s">
        <v>1936</v>
      </c>
      <c r="Z466" s="791" t="s">
        <v>1528</v>
      </c>
      <c r="AA466" s="792" t="s">
        <v>1743</v>
      </c>
      <c r="AB466" s="770" t="s">
        <v>1735</v>
      </c>
      <c r="AC466" s="1216" t="s">
        <v>1135</v>
      </c>
      <c r="AD466" s="718" t="s">
        <v>1530</v>
      </c>
      <c r="AE466" s="1230" t="s">
        <v>1726</v>
      </c>
      <c r="AF466" s="1062" t="s">
        <v>1734</v>
      </c>
      <c r="AG466" s="799"/>
      <c r="AH466" s="873" t="str">
        <f t="shared" si="13"/>
        <v>2.3.2.02.02.009.2301035.83132.</v>
      </c>
    </row>
    <row r="467" spans="1:35" ht="114" customHeight="1" x14ac:dyDescent="0.2">
      <c r="A467" s="931">
        <v>324</v>
      </c>
      <c r="B467" s="868" t="s">
        <v>1334</v>
      </c>
      <c r="C467" s="793">
        <v>1</v>
      </c>
      <c r="D467" s="791" t="s">
        <v>1412</v>
      </c>
      <c r="E467" s="830" t="s">
        <v>1540</v>
      </c>
      <c r="F467" s="793">
        <v>6</v>
      </c>
      <c r="G467" s="793" t="s">
        <v>1395</v>
      </c>
      <c r="H467" s="860" t="s">
        <v>1537</v>
      </c>
      <c r="I467" s="1056">
        <v>13500000</v>
      </c>
      <c r="J467" s="832"/>
      <c r="K467" s="832"/>
      <c r="L467" s="832"/>
      <c r="M467" s="1051">
        <v>20</v>
      </c>
      <c r="N467" s="1051" t="s">
        <v>1538</v>
      </c>
      <c r="O467" s="859"/>
      <c r="P467" s="859"/>
      <c r="Q467" s="859"/>
      <c r="R467" s="859"/>
      <c r="S467" s="859"/>
      <c r="T467" s="859"/>
      <c r="U467" s="863">
        <v>23</v>
      </c>
      <c r="V467" s="817" t="s">
        <v>1314</v>
      </c>
      <c r="W467" s="793">
        <v>2301</v>
      </c>
      <c r="X467" s="713" t="s">
        <v>1527</v>
      </c>
      <c r="Y467" s="849" t="s">
        <v>1936</v>
      </c>
      <c r="Z467" s="791" t="s">
        <v>1531</v>
      </c>
      <c r="AA467" s="792" t="s">
        <v>1744</v>
      </c>
      <c r="AB467" s="770" t="s">
        <v>1142</v>
      </c>
      <c r="AC467" s="918" t="s">
        <v>1135</v>
      </c>
      <c r="AD467" s="718" t="s">
        <v>1530</v>
      </c>
      <c r="AE467" s="1230" t="s">
        <v>1758</v>
      </c>
      <c r="AF467" s="1062" t="s">
        <v>1736</v>
      </c>
      <c r="AG467" s="799"/>
      <c r="AH467" s="873" t="str">
        <f t="shared" si="13"/>
        <v>2.3.2.02.02.009.2301042.83159.</v>
      </c>
    </row>
    <row r="468" spans="1:35" ht="126" customHeight="1" x14ac:dyDescent="0.2">
      <c r="A468" s="931">
        <v>324</v>
      </c>
      <c r="B468" s="868" t="s">
        <v>1334</v>
      </c>
      <c r="C468" s="793">
        <v>1</v>
      </c>
      <c r="D468" s="791" t="s">
        <v>1412</v>
      </c>
      <c r="E468" s="830" t="s">
        <v>1720</v>
      </c>
      <c r="F468" s="793">
        <v>6</v>
      </c>
      <c r="G468" s="793" t="s">
        <v>1395</v>
      </c>
      <c r="H468" s="860" t="s">
        <v>1732</v>
      </c>
      <c r="I468" s="1056">
        <v>4500000</v>
      </c>
      <c r="J468" s="832"/>
      <c r="K468" s="832"/>
      <c r="L468" s="832"/>
      <c r="M468" s="1051">
        <v>20</v>
      </c>
      <c r="N468" s="1051" t="s">
        <v>1538</v>
      </c>
      <c r="O468" s="859"/>
      <c r="P468" s="859"/>
      <c r="Q468" s="859"/>
      <c r="R468" s="859"/>
      <c r="S468" s="859"/>
      <c r="T468" s="859"/>
      <c r="U468" s="863">
        <v>23</v>
      </c>
      <c r="V468" s="817" t="s">
        <v>1314</v>
      </c>
      <c r="W468" s="793">
        <v>2301</v>
      </c>
      <c r="X468" s="713" t="s">
        <v>1527</v>
      </c>
      <c r="Y468" s="849" t="s">
        <v>1936</v>
      </c>
      <c r="Z468" s="791" t="s">
        <v>1531</v>
      </c>
      <c r="AA468" s="792" t="s">
        <v>1744</v>
      </c>
      <c r="AB468" s="770" t="s">
        <v>1142</v>
      </c>
      <c r="AC468" s="918" t="s">
        <v>1135</v>
      </c>
      <c r="AD468" s="1042" t="s">
        <v>1530</v>
      </c>
      <c r="AE468" s="1230" t="s">
        <v>1726</v>
      </c>
      <c r="AF468" s="1062" t="s">
        <v>1734</v>
      </c>
      <c r="AG468" s="799"/>
      <c r="AH468" s="873" t="str">
        <f t="shared" si="13"/>
        <v>2.3.2.02.02.008.2301042.83132.</v>
      </c>
    </row>
    <row r="469" spans="1:35" ht="124.5" customHeight="1" x14ac:dyDescent="0.2">
      <c r="A469" s="931">
        <v>324</v>
      </c>
      <c r="B469" s="868" t="s">
        <v>1334</v>
      </c>
      <c r="C469" s="793">
        <v>1</v>
      </c>
      <c r="D469" s="791" t="s">
        <v>1412</v>
      </c>
      <c r="E469" s="830" t="s">
        <v>1540</v>
      </c>
      <c r="F469" s="793">
        <v>6</v>
      </c>
      <c r="G469" s="793" t="s">
        <v>1395</v>
      </c>
      <c r="H469" s="860" t="s">
        <v>1537</v>
      </c>
      <c r="I469" s="1056">
        <v>20000000</v>
      </c>
      <c r="J469" s="832"/>
      <c r="K469" s="832"/>
      <c r="L469" s="832"/>
      <c r="M469" s="1051">
        <v>20</v>
      </c>
      <c r="N469" s="1051" t="s">
        <v>1538</v>
      </c>
      <c r="O469" s="859"/>
      <c r="P469" s="859"/>
      <c r="Q469" s="859"/>
      <c r="R469" s="859"/>
      <c r="S469" s="859"/>
      <c r="T469" s="859"/>
      <c r="U469" s="863">
        <v>23</v>
      </c>
      <c r="V469" s="817" t="s">
        <v>1314</v>
      </c>
      <c r="W469" s="793">
        <v>2302</v>
      </c>
      <c r="X469" s="713" t="s">
        <v>1144</v>
      </c>
      <c r="Y469" s="793" t="s">
        <v>1937</v>
      </c>
      <c r="Z469" s="791" t="s">
        <v>1532</v>
      </c>
      <c r="AA469" s="792" t="s">
        <v>1745</v>
      </c>
      <c r="AB469" s="770" t="s">
        <v>1145</v>
      </c>
      <c r="AC469" s="858" t="s">
        <v>1147</v>
      </c>
      <c r="AD469" s="771" t="s">
        <v>1148</v>
      </c>
      <c r="AE469" s="1230" t="s">
        <v>1726</v>
      </c>
      <c r="AF469" s="1062" t="s">
        <v>1734</v>
      </c>
      <c r="AG469" s="837"/>
      <c r="AH469" s="873" t="str">
        <f t="shared" si="13"/>
        <v>2.3.2.02.02.009.2302042.83132.</v>
      </c>
    </row>
    <row r="470" spans="1:35" ht="109.5" customHeight="1" x14ac:dyDescent="0.2">
      <c r="A470" s="931">
        <v>324</v>
      </c>
      <c r="B470" s="868" t="s">
        <v>1334</v>
      </c>
      <c r="C470" s="793">
        <v>1</v>
      </c>
      <c r="D470" s="791" t="s">
        <v>1412</v>
      </c>
      <c r="E470" s="830" t="s">
        <v>1540</v>
      </c>
      <c r="F470" s="793">
        <v>6</v>
      </c>
      <c r="G470" s="793" t="s">
        <v>1395</v>
      </c>
      <c r="H470" s="860" t="s">
        <v>1537</v>
      </c>
      <c r="I470" s="1056">
        <v>36000000</v>
      </c>
      <c r="J470" s="832"/>
      <c r="K470" s="832"/>
      <c r="L470" s="832"/>
      <c r="M470" s="1051">
        <v>20</v>
      </c>
      <c r="N470" s="1051" t="s">
        <v>1538</v>
      </c>
      <c r="O470" s="859"/>
      <c r="P470" s="859"/>
      <c r="Q470" s="859"/>
      <c r="R470" s="859"/>
      <c r="S470" s="859"/>
      <c r="T470" s="859"/>
      <c r="U470" s="863">
        <v>23</v>
      </c>
      <c r="V470" s="817" t="s">
        <v>1314</v>
      </c>
      <c r="W470" s="793">
        <v>2302</v>
      </c>
      <c r="X470" s="713" t="s">
        <v>1144</v>
      </c>
      <c r="Y470" s="793" t="s">
        <v>1940</v>
      </c>
      <c r="Z470" s="791" t="s">
        <v>1533</v>
      </c>
      <c r="AA470" s="792" t="s">
        <v>1746</v>
      </c>
      <c r="AB470" s="770" t="s">
        <v>1150</v>
      </c>
      <c r="AC470" s="858" t="s">
        <v>1147</v>
      </c>
      <c r="AD470" s="771" t="s">
        <v>1148</v>
      </c>
      <c r="AE470" s="1230" t="s">
        <v>1726</v>
      </c>
      <c r="AF470" s="1062" t="s">
        <v>1734</v>
      </c>
      <c r="AG470" s="837"/>
      <c r="AH470" s="873" t="str">
        <f t="shared" si="13"/>
        <v>2.3.2.02.02.009.2302022.83132.</v>
      </c>
    </row>
    <row r="471" spans="1:35" ht="97.5" customHeight="1" x14ac:dyDescent="0.2">
      <c r="A471" s="931">
        <v>324</v>
      </c>
      <c r="B471" s="868" t="s">
        <v>1334</v>
      </c>
      <c r="C471" s="793">
        <v>1</v>
      </c>
      <c r="D471" s="791" t="s">
        <v>1412</v>
      </c>
      <c r="E471" s="830" t="s">
        <v>1540</v>
      </c>
      <c r="F471" s="793">
        <v>6</v>
      </c>
      <c r="G471" s="793" t="s">
        <v>1395</v>
      </c>
      <c r="H471" s="860" t="s">
        <v>1537</v>
      </c>
      <c r="I471" s="1056">
        <v>50000000</v>
      </c>
      <c r="J471" s="832"/>
      <c r="K471" s="832"/>
      <c r="L471" s="832"/>
      <c r="M471" s="1051">
        <v>20</v>
      </c>
      <c r="N471" s="1051" t="s">
        <v>1538</v>
      </c>
      <c r="O471" s="859"/>
      <c r="P471" s="859"/>
      <c r="Q471" s="859"/>
      <c r="R471" s="859"/>
      <c r="S471" s="859"/>
      <c r="T471" s="859"/>
      <c r="U471" s="863">
        <v>23</v>
      </c>
      <c r="V471" s="817" t="s">
        <v>1314</v>
      </c>
      <c r="W471" s="793">
        <v>2302</v>
      </c>
      <c r="X471" s="713" t="s">
        <v>1144</v>
      </c>
      <c r="Y471" s="793" t="s">
        <v>1940</v>
      </c>
      <c r="Z471" s="791" t="s">
        <v>1533</v>
      </c>
      <c r="AA471" s="792" t="s">
        <v>1747</v>
      </c>
      <c r="AB471" s="770" t="s">
        <v>1152</v>
      </c>
      <c r="AC471" s="858" t="s">
        <v>1147</v>
      </c>
      <c r="AD471" s="771" t="s">
        <v>1148</v>
      </c>
      <c r="AE471" s="1230" t="s">
        <v>1726</v>
      </c>
      <c r="AF471" s="1062" t="s">
        <v>1734</v>
      </c>
      <c r="AG471" s="837"/>
      <c r="AH471" s="873" t="str">
        <f t="shared" si="13"/>
        <v>2.3.2.02.02.009.2302021.83132.</v>
      </c>
    </row>
    <row r="472" spans="1:35" ht="112.5" customHeight="1" x14ac:dyDescent="0.2">
      <c r="A472" s="931">
        <v>324</v>
      </c>
      <c r="B472" s="868" t="s">
        <v>1334</v>
      </c>
      <c r="C472" s="793">
        <v>1</v>
      </c>
      <c r="D472" s="791" t="s">
        <v>1412</v>
      </c>
      <c r="E472" s="830" t="s">
        <v>1540</v>
      </c>
      <c r="F472" s="793">
        <v>6</v>
      </c>
      <c r="G472" s="793" t="s">
        <v>1395</v>
      </c>
      <c r="H472" s="860" t="s">
        <v>1537</v>
      </c>
      <c r="I472" s="1056">
        <v>20000000</v>
      </c>
      <c r="J472" s="832"/>
      <c r="K472" s="832"/>
      <c r="L472" s="832"/>
      <c r="M472" s="1051">
        <v>20</v>
      </c>
      <c r="N472" s="1051" t="s">
        <v>1538</v>
      </c>
      <c r="O472" s="859"/>
      <c r="P472" s="859"/>
      <c r="Q472" s="859"/>
      <c r="R472" s="859"/>
      <c r="S472" s="859"/>
      <c r="T472" s="859"/>
      <c r="U472" s="863">
        <v>23</v>
      </c>
      <c r="V472" s="817" t="s">
        <v>1314</v>
      </c>
      <c r="W472" s="793">
        <v>2302</v>
      </c>
      <c r="X472" s="713" t="s">
        <v>1144</v>
      </c>
      <c r="Y472" s="793" t="s">
        <v>1940</v>
      </c>
      <c r="Z472" s="791" t="s">
        <v>1533</v>
      </c>
      <c r="AA472" s="793" t="s">
        <v>1748</v>
      </c>
      <c r="AB472" s="770" t="s">
        <v>1155</v>
      </c>
      <c r="AC472" s="858" t="s">
        <v>1147</v>
      </c>
      <c r="AD472" s="771" t="s">
        <v>1148</v>
      </c>
      <c r="AE472" s="1230" t="s">
        <v>1726</v>
      </c>
      <c r="AF472" s="1062" t="s">
        <v>1734</v>
      </c>
      <c r="AG472" s="837"/>
      <c r="AH472" s="873" t="str">
        <f t="shared" si="13"/>
        <v>2.3.2.02.02.009.2302058.83132.</v>
      </c>
    </row>
    <row r="473" spans="1:35" ht="115.5" customHeight="1" x14ac:dyDescent="0.2">
      <c r="A473" s="931">
        <v>324</v>
      </c>
      <c r="B473" s="868" t="s">
        <v>1334</v>
      </c>
      <c r="C473" s="793">
        <v>1</v>
      </c>
      <c r="D473" s="791" t="s">
        <v>1412</v>
      </c>
      <c r="E473" s="830" t="s">
        <v>1540</v>
      </c>
      <c r="F473" s="793">
        <v>6</v>
      </c>
      <c r="G473" s="793" t="s">
        <v>1395</v>
      </c>
      <c r="H473" s="860" t="s">
        <v>1537</v>
      </c>
      <c r="I473" s="1056">
        <v>20000000</v>
      </c>
      <c r="J473" s="832"/>
      <c r="K473" s="832"/>
      <c r="L473" s="832"/>
      <c r="M473" s="1051">
        <v>20</v>
      </c>
      <c r="N473" s="1051" t="s">
        <v>1538</v>
      </c>
      <c r="O473" s="859"/>
      <c r="P473" s="859"/>
      <c r="Q473" s="859"/>
      <c r="R473" s="859"/>
      <c r="S473" s="859"/>
      <c r="T473" s="859"/>
      <c r="U473" s="863">
        <v>23</v>
      </c>
      <c r="V473" s="817" t="s">
        <v>1314</v>
      </c>
      <c r="W473" s="793">
        <v>2302</v>
      </c>
      <c r="X473" s="713" t="s">
        <v>1144</v>
      </c>
      <c r="Y473" s="793" t="s">
        <v>1940</v>
      </c>
      <c r="Z473" s="791" t="s">
        <v>1533</v>
      </c>
      <c r="AA473" s="793" t="s">
        <v>1749</v>
      </c>
      <c r="AB473" s="770" t="s">
        <v>1157</v>
      </c>
      <c r="AC473" s="858" t="s">
        <v>1147</v>
      </c>
      <c r="AD473" s="771" t="s">
        <v>1148</v>
      </c>
      <c r="AE473" s="975" t="s">
        <v>1726</v>
      </c>
      <c r="AF473" s="1051" t="s">
        <v>1734</v>
      </c>
      <c r="AG473" s="837"/>
      <c r="AH473" s="873" t="str">
        <f t="shared" si="13"/>
        <v>2.3.2.02.02.009.2302068.83132.</v>
      </c>
    </row>
    <row r="474" spans="1:35" ht="115.5" customHeight="1" x14ac:dyDescent="0.2">
      <c r="A474" s="931">
        <v>324</v>
      </c>
      <c r="B474" s="868" t="s">
        <v>1334</v>
      </c>
      <c r="C474" s="793">
        <v>2</v>
      </c>
      <c r="D474" s="791" t="s">
        <v>1451</v>
      </c>
      <c r="E474" s="830" t="s">
        <v>1394</v>
      </c>
      <c r="F474" s="793">
        <v>6</v>
      </c>
      <c r="G474" s="793" t="s">
        <v>1395</v>
      </c>
      <c r="H474" s="860" t="s">
        <v>1537</v>
      </c>
      <c r="I474" s="1056">
        <v>40000000</v>
      </c>
      <c r="J474" s="832" t="s">
        <v>1597</v>
      </c>
      <c r="K474" s="832">
        <v>39</v>
      </c>
      <c r="L474" s="832" t="s">
        <v>1312</v>
      </c>
      <c r="M474" s="1051">
        <v>20</v>
      </c>
      <c r="N474" s="861" t="s">
        <v>1597</v>
      </c>
      <c r="O474" s="859" t="s">
        <v>1534</v>
      </c>
      <c r="P474" s="859">
        <v>3903005</v>
      </c>
      <c r="Q474" s="859" t="s">
        <v>1162</v>
      </c>
      <c r="R474" s="859" t="s">
        <v>1165</v>
      </c>
      <c r="S474" s="859" t="s">
        <v>1535</v>
      </c>
      <c r="T474" s="859">
        <v>83132</v>
      </c>
      <c r="U474" s="863">
        <v>39</v>
      </c>
      <c r="V474" s="863" t="s">
        <v>1312</v>
      </c>
      <c r="W474" s="793" t="s">
        <v>1159</v>
      </c>
      <c r="X474" s="713" t="s">
        <v>1160</v>
      </c>
      <c r="Y474" s="849" t="s">
        <v>1938</v>
      </c>
      <c r="Z474" s="791" t="s">
        <v>1534</v>
      </c>
      <c r="AA474" s="830">
        <v>3903005</v>
      </c>
      <c r="AB474" s="770" t="s">
        <v>1162</v>
      </c>
      <c r="AC474" s="858" t="s">
        <v>1165</v>
      </c>
      <c r="AD474" s="1065" t="s">
        <v>1535</v>
      </c>
      <c r="AE474" s="1430">
        <v>83132</v>
      </c>
      <c r="AF474" s="1062" t="s">
        <v>1734</v>
      </c>
      <c r="AG474" s="837"/>
      <c r="AH474" s="873" t="str">
        <f t="shared" si="13"/>
        <v>2.3.2.02.02.009390300583132</v>
      </c>
    </row>
    <row r="475" spans="1:35" ht="114" customHeight="1" x14ac:dyDescent="0.2">
      <c r="A475" s="931">
        <v>324</v>
      </c>
      <c r="B475" s="868" t="s">
        <v>1334</v>
      </c>
      <c r="C475" s="793">
        <v>2</v>
      </c>
      <c r="D475" s="791" t="s">
        <v>1451</v>
      </c>
      <c r="E475" s="830" t="s">
        <v>1720</v>
      </c>
      <c r="F475" s="793">
        <v>6</v>
      </c>
      <c r="G475" s="793" t="s">
        <v>1395</v>
      </c>
      <c r="H475" s="860" t="s">
        <v>1731</v>
      </c>
      <c r="I475" s="993">
        <v>20000000</v>
      </c>
      <c r="J475" s="832"/>
      <c r="K475" s="832"/>
      <c r="L475" s="832"/>
      <c r="M475" s="1051">
        <v>20</v>
      </c>
      <c r="N475" s="1051" t="s">
        <v>1538</v>
      </c>
      <c r="O475" s="859"/>
      <c r="P475" s="859"/>
      <c r="Q475" s="859"/>
      <c r="R475" s="859"/>
      <c r="S475" s="859"/>
      <c r="T475" s="859"/>
      <c r="U475" s="863">
        <v>39</v>
      </c>
      <c r="V475" s="863" t="s">
        <v>1312</v>
      </c>
      <c r="W475" s="793">
        <v>3903</v>
      </c>
      <c r="X475" s="713" t="s">
        <v>1160</v>
      </c>
      <c r="Y475" s="849" t="s">
        <v>1938</v>
      </c>
      <c r="Z475" s="791" t="s">
        <v>1534</v>
      </c>
      <c r="AA475" s="793" t="s">
        <v>1750</v>
      </c>
      <c r="AB475" s="770" t="s">
        <v>1162</v>
      </c>
      <c r="AC475" s="858" t="s">
        <v>1165</v>
      </c>
      <c r="AD475" s="773" t="s">
        <v>1535</v>
      </c>
      <c r="AE475" s="865" t="s">
        <v>1759</v>
      </c>
      <c r="AF475" s="1051" t="s">
        <v>1737</v>
      </c>
      <c r="AG475" s="825"/>
      <c r="AH475" s="873" t="str">
        <f t="shared" si="13"/>
        <v>2.3.2.02.02.008.3903005.83117.</v>
      </c>
    </row>
    <row r="476" spans="1:35" s="18" customFormat="1" ht="108" customHeight="1" x14ac:dyDescent="0.2">
      <c r="A476" s="931">
        <v>324</v>
      </c>
      <c r="B476" s="1014" t="s">
        <v>1334</v>
      </c>
      <c r="C476" s="930">
        <v>2</v>
      </c>
      <c r="D476" s="1019" t="s">
        <v>1451</v>
      </c>
      <c r="E476" s="1448" t="s">
        <v>1540</v>
      </c>
      <c r="F476" s="930">
        <v>6</v>
      </c>
      <c r="G476" s="930" t="s">
        <v>1395</v>
      </c>
      <c r="H476" s="1465" t="s">
        <v>1537</v>
      </c>
      <c r="I476" s="1017">
        <v>18000000</v>
      </c>
      <c r="J476" s="832"/>
      <c r="K476" s="832"/>
      <c r="L476" s="832"/>
      <c r="M476" s="1015">
        <v>20</v>
      </c>
      <c r="N476" s="1015" t="s">
        <v>1538</v>
      </c>
      <c r="O476" s="859"/>
      <c r="P476" s="859"/>
      <c r="Q476" s="859"/>
      <c r="R476" s="859"/>
      <c r="S476" s="859"/>
      <c r="T476" s="859"/>
      <c r="U476" s="1262">
        <v>39</v>
      </c>
      <c r="V476" s="1262" t="s">
        <v>1312</v>
      </c>
      <c r="W476" s="930">
        <v>3904</v>
      </c>
      <c r="X476" s="1020" t="s">
        <v>735</v>
      </c>
      <c r="Y476" s="930" t="s">
        <v>1939</v>
      </c>
      <c r="Z476" s="1019" t="s">
        <v>1474</v>
      </c>
      <c r="AA476" s="930" t="s">
        <v>1751</v>
      </c>
      <c r="AB476" s="1007" t="s">
        <v>1173</v>
      </c>
      <c r="AC476" s="1494" t="s">
        <v>1175</v>
      </c>
      <c r="AD476" s="1007" t="s">
        <v>1176</v>
      </c>
      <c r="AE476" s="1495" t="s">
        <v>1726</v>
      </c>
      <c r="AF476" s="1015" t="s">
        <v>1734</v>
      </c>
      <c r="AG476" s="968"/>
      <c r="AH476" s="740" t="str">
        <f t="shared" si="13"/>
        <v>2.3.2.02.02.009.3904018.83132.</v>
      </c>
      <c r="AI476" s="4"/>
    </row>
    <row r="477" spans="1:35" s="18" customFormat="1" ht="100.5" customHeight="1" x14ac:dyDescent="0.2">
      <c r="A477" s="931">
        <v>324</v>
      </c>
      <c r="B477" s="1014" t="s">
        <v>1334</v>
      </c>
      <c r="C477" s="1015">
        <v>4</v>
      </c>
      <c r="D477" s="1015" t="s">
        <v>1386</v>
      </c>
      <c r="E477" s="1448" t="s">
        <v>1540</v>
      </c>
      <c r="F477" s="930">
        <v>6</v>
      </c>
      <c r="G477" s="930" t="s">
        <v>1395</v>
      </c>
      <c r="H477" s="1465" t="s">
        <v>1537</v>
      </c>
      <c r="I477" s="1017">
        <v>120000000</v>
      </c>
      <c r="J477" s="832"/>
      <c r="K477" s="832"/>
      <c r="L477" s="832"/>
      <c r="M477" s="1015">
        <v>20</v>
      </c>
      <c r="N477" s="1015" t="s">
        <v>1538</v>
      </c>
      <c r="O477" s="859"/>
      <c r="P477" s="859"/>
      <c r="Q477" s="859"/>
      <c r="R477" s="859"/>
      <c r="S477" s="859"/>
      <c r="T477" s="859"/>
      <c r="U477" s="1262">
        <v>23</v>
      </c>
      <c r="V477" s="1262" t="s">
        <v>1314</v>
      </c>
      <c r="W477" s="930">
        <v>2302</v>
      </c>
      <c r="X477" s="1007" t="s">
        <v>1144</v>
      </c>
      <c r="Y477" s="930" t="s">
        <v>1940</v>
      </c>
      <c r="Z477" s="1019" t="s">
        <v>1533</v>
      </c>
      <c r="AA477" s="930" t="s">
        <v>1752</v>
      </c>
      <c r="AB477" s="1007" t="s">
        <v>1179</v>
      </c>
      <c r="AC477" s="1496" t="s">
        <v>1181</v>
      </c>
      <c r="AD477" s="1007" t="s">
        <v>1182</v>
      </c>
      <c r="AE477" s="1495" t="s">
        <v>1726</v>
      </c>
      <c r="AF477" s="1015" t="s">
        <v>1734</v>
      </c>
      <c r="AG477" s="968"/>
      <c r="AH477" s="740" t="str">
        <f t="shared" si="13"/>
        <v>2.3.2.02.02.009.2302003.83132.</v>
      </c>
      <c r="AI477" s="4"/>
    </row>
    <row r="478" spans="1:35" s="18" customFormat="1" ht="123" customHeight="1" x14ac:dyDescent="0.2">
      <c r="A478" s="931">
        <v>324</v>
      </c>
      <c r="B478" s="1014" t="s">
        <v>1334</v>
      </c>
      <c r="C478" s="1015">
        <v>4</v>
      </c>
      <c r="D478" s="1015" t="s">
        <v>1386</v>
      </c>
      <c r="E478" s="1448" t="s">
        <v>1540</v>
      </c>
      <c r="F478" s="930">
        <v>6</v>
      </c>
      <c r="G478" s="930" t="s">
        <v>1395</v>
      </c>
      <c r="H478" s="1465" t="s">
        <v>1537</v>
      </c>
      <c r="I478" s="1017">
        <v>50000000</v>
      </c>
      <c r="J478" s="832"/>
      <c r="K478" s="832"/>
      <c r="L478" s="832"/>
      <c r="M478" s="1015">
        <v>20</v>
      </c>
      <c r="N478" s="1015" t="s">
        <v>1538</v>
      </c>
      <c r="O478" s="859"/>
      <c r="P478" s="859"/>
      <c r="Q478" s="859"/>
      <c r="R478" s="859"/>
      <c r="S478" s="859"/>
      <c r="T478" s="859"/>
      <c r="U478" s="1262">
        <v>23</v>
      </c>
      <c r="V478" s="1262" t="s">
        <v>1314</v>
      </c>
      <c r="W478" s="930">
        <v>2302</v>
      </c>
      <c r="X478" s="1007" t="s">
        <v>1144</v>
      </c>
      <c r="Y478" s="1020" t="s">
        <v>1940</v>
      </c>
      <c r="Z478" s="1019" t="s">
        <v>1533</v>
      </c>
      <c r="AA478" s="930" t="s">
        <v>1753</v>
      </c>
      <c r="AB478" s="1007" t="s">
        <v>1184</v>
      </c>
      <c r="AC478" s="1496" t="s">
        <v>1181</v>
      </c>
      <c r="AD478" s="1007" t="s">
        <v>1182</v>
      </c>
      <c r="AE478" s="1495" t="s">
        <v>1726</v>
      </c>
      <c r="AF478" s="1015" t="s">
        <v>1734</v>
      </c>
      <c r="AG478" s="968"/>
      <c r="AH478" s="740" t="str">
        <f t="shared" si="13"/>
        <v>2.3.2.02.02.009.2302033.83132.</v>
      </c>
      <c r="AI478" s="4"/>
    </row>
    <row r="479" spans="1:35" s="18" customFormat="1" ht="121.5" customHeight="1" x14ac:dyDescent="0.2">
      <c r="A479" s="931">
        <v>324</v>
      </c>
      <c r="B479" s="1014" t="s">
        <v>1334</v>
      </c>
      <c r="C479" s="1015">
        <v>4</v>
      </c>
      <c r="D479" s="1015" t="s">
        <v>1386</v>
      </c>
      <c r="E479" s="1448" t="s">
        <v>1540</v>
      </c>
      <c r="F479" s="930">
        <v>6</v>
      </c>
      <c r="G479" s="930" t="s">
        <v>1395</v>
      </c>
      <c r="H479" s="1465" t="s">
        <v>1537</v>
      </c>
      <c r="I479" s="1017">
        <v>60000000</v>
      </c>
      <c r="J479" s="832"/>
      <c r="K479" s="832"/>
      <c r="L479" s="832"/>
      <c r="M479" s="1015">
        <v>20</v>
      </c>
      <c r="N479" s="1015" t="s">
        <v>1538</v>
      </c>
      <c r="O479" s="859"/>
      <c r="P479" s="859"/>
      <c r="Q479" s="859"/>
      <c r="R479" s="859"/>
      <c r="S479" s="859"/>
      <c r="T479" s="859"/>
      <c r="U479" s="1262">
        <v>23</v>
      </c>
      <c r="V479" s="1262" t="s">
        <v>1314</v>
      </c>
      <c r="W479" s="930">
        <v>2302</v>
      </c>
      <c r="X479" s="1007" t="s">
        <v>1144</v>
      </c>
      <c r="Y479" s="1020" t="s">
        <v>1941</v>
      </c>
      <c r="Z479" s="1019" t="s">
        <v>1533</v>
      </c>
      <c r="AA479" s="930" t="s">
        <v>1754</v>
      </c>
      <c r="AB479" s="1007" t="s">
        <v>1186</v>
      </c>
      <c r="AC479" s="1496" t="s">
        <v>1181</v>
      </c>
      <c r="AD479" s="1007" t="s">
        <v>1182</v>
      </c>
      <c r="AE479" s="1495" t="s">
        <v>1726</v>
      </c>
      <c r="AF479" s="1015" t="s">
        <v>1734</v>
      </c>
      <c r="AG479" s="968"/>
      <c r="AH479" s="740" t="str">
        <f t="shared" si="13"/>
        <v>2.3.2.02.02.009.2302066.83132.</v>
      </c>
      <c r="AI479" s="4"/>
    </row>
    <row r="480" spans="1:35" s="18" customFormat="1" ht="115.5" customHeight="1" x14ac:dyDescent="0.2">
      <c r="A480" s="931">
        <v>324</v>
      </c>
      <c r="B480" s="1014" t="s">
        <v>1334</v>
      </c>
      <c r="C480" s="1015">
        <v>4</v>
      </c>
      <c r="D480" s="1015" t="s">
        <v>1386</v>
      </c>
      <c r="E480" s="1448" t="s">
        <v>1540</v>
      </c>
      <c r="F480" s="930">
        <v>6</v>
      </c>
      <c r="G480" s="930" t="s">
        <v>1395</v>
      </c>
      <c r="H480" s="1465" t="s">
        <v>1537</v>
      </c>
      <c r="I480" s="1017">
        <v>25000000</v>
      </c>
      <c r="J480" s="832"/>
      <c r="K480" s="832"/>
      <c r="L480" s="832"/>
      <c r="M480" s="1015">
        <v>20</v>
      </c>
      <c r="N480" s="1015" t="s">
        <v>1538</v>
      </c>
      <c r="O480" s="859"/>
      <c r="P480" s="859"/>
      <c r="Q480" s="859"/>
      <c r="R480" s="859"/>
      <c r="S480" s="859"/>
      <c r="T480" s="859"/>
      <c r="U480" s="1262">
        <v>23</v>
      </c>
      <c r="V480" s="1262" t="s">
        <v>1314</v>
      </c>
      <c r="W480" s="930">
        <v>2302</v>
      </c>
      <c r="X480" s="1007" t="s">
        <v>1144</v>
      </c>
      <c r="Y480" s="930">
        <v>23024</v>
      </c>
      <c r="Z480" s="1019" t="s">
        <v>1536</v>
      </c>
      <c r="AA480" s="930" t="s">
        <v>1755</v>
      </c>
      <c r="AB480" s="1007" t="s">
        <v>1188</v>
      </c>
      <c r="AC480" s="1496" t="s">
        <v>1181</v>
      </c>
      <c r="AD480" s="1007" t="s">
        <v>1182</v>
      </c>
      <c r="AE480" s="1495" t="s">
        <v>1726</v>
      </c>
      <c r="AF480" s="1015" t="s">
        <v>1734</v>
      </c>
      <c r="AG480" s="968"/>
      <c r="AH480" s="740" t="str">
        <f t="shared" si="13"/>
        <v>2.3.2.02.02.009.2302004.83132.</v>
      </c>
      <c r="AI480" s="4"/>
    </row>
    <row r="481" spans="1:35" s="18" customFormat="1" ht="96" customHeight="1" x14ac:dyDescent="0.2">
      <c r="A481" s="931">
        <v>324</v>
      </c>
      <c r="B481" s="1014" t="s">
        <v>1334</v>
      </c>
      <c r="C481" s="1015">
        <v>4</v>
      </c>
      <c r="D481" s="1015" t="s">
        <v>1386</v>
      </c>
      <c r="E481" s="1448" t="s">
        <v>1540</v>
      </c>
      <c r="F481" s="930">
        <v>6</v>
      </c>
      <c r="G481" s="930" t="s">
        <v>1395</v>
      </c>
      <c r="H481" s="1465" t="s">
        <v>1537</v>
      </c>
      <c r="I481" s="1017">
        <v>25000000</v>
      </c>
      <c r="J481" s="832"/>
      <c r="K481" s="832"/>
      <c r="L481" s="832"/>
      <c r="M481" s="1015">
        <v>20</v>
      </c>
      <c r="N481" s="1015" t="s">
        <v>1538</v>
      </c>
      <c r="O481" s="859"/>
      <c r="P481" s="859"/>
      <c r="Q481" s="859"/>
      <c r="R481" s="859"/>
      <c r="S481" s="859"/>
      <c r="T481" s="859"/>
      <c r="U481" s="1262">
        <v>23</v>
      </c>
      <c r="V481" s="1262" t="s">
        <v>1314</v>
      </c>
      <c r="W481" s="930">
        <v>2302</v>
      </c>
      <c r="X481" s="1007" t="s">
        <v>1144</v>
      </c>
      <c r="Y481" s="930">
        <v>23024</v>
      </c>
      <c r="Z481" s="1019" t="s">
        <v>1536</v>
      </c>
      <c r="AA481" s="930" t="s">
        <v>1756</v>
      </c>
      <c r="AB481" s="1007" t="s">
        <v>1190</v>
      </c>
      <c r="AC481" s="1496" t="s">
        <v>1181</v>
      </c>
      <c r="AD481" s="1007" t="s">
        <v>1182</v>
      </c>
      <c r="AE481" s="1495" t="s">
        <v>1726</v>
      </c>
      <c r="AF481" s="1015" t="s">
        <v>1734</v>
      </c>
      <c r="AG481" s="968"/>
      <c r="AH481" s="740" t="str">
        <f t="shared" si="13"/>
        <v>2.3.2.02.02.009.2302007.83132.</v>
      </c>
      <c r="AI481" s="4"/>
    </row>
    <row r="482" spans="1:35" s="18" customFormat="1" ht="105" customHeight="1" x14ac:dyDescent="0.2">
      <c r="A482" s="931">
        <v>324</v>
      </c>
      <c r="B482" s="1014" t="s">
        <v>1334</v>
      </c>
      <c r="C482" s="1015">
        <v>4</v>
      </c>
      <c r="D482" s="1015" t="s">
        <v>1386</v>
      </c>
      <c r="E482" s="1448" t="s">
        <v>1540</v>
      </c>
      <c r="F482" s="930">
        <v>6</v>
      </c>
      <c r="G482" s="930" t="s">
        <v>1395</v>
      </c>
      <c r="H482" s="1465" t="s">
        <v>1537</v>
      </c>
      <c r="I482" s="1017">
        <v>18000000</v>
      </c>
      <c r="J482" s="1426"/>
      <c r="K482" s="1426"/>
      <c r="L482" s="1426"/>
      <c r="M482" s="1015">
        <v>20</v>
      </c>
      <c r="N482" s="1015" t="s">
        <v>1538</v>
      </c>
      <c r="O482" s="1427"/>
      <c r="P482" s="1427"/>
      <c r="Q482" s="1427"/>
      <c r="R482" s="1427"/>
      <c r="S482" s="1427"/>
      <c r="T482" s="1427"/>
      <c r="U482" s="1262">
        <v>23</v>
      </c>
      <c r="V482" s="1262" t="s">
        <v>1314</v>
      </c>
      <c r="W482" s="930">
        <v>2302</v>
      </c>
      <c r="X482" s="1007" t="s">
        <v>1144</v>
      </c>
      <c r="Y482" s="930">
        <v>23024</v>
      </c>
      <c r="Z482" s="1019" t="s">
        <v>1536</v>
      </c>
      <c r="AA482" s="930" t="s">
        <v>1757</v>
      </c>
      <c r="AB482" s="1007" t="s">
        <v>85</v>
      </c>
      <c r="AC482" s="1496" t="s">
        <v>1181</v>
      </c>
      <c r="AD482" s="1007" t="s">
        <v>1182</v>
      </c>
      <c r="AE482" s="1495" t="s">
        <v>1726</v>
      </c>
      <c r="AF482" s="1015" t="s">
        <v>1734</v>
      </c>
      <c r="AG482" s="968"/>
      <c r="AH482" s="740" t="str">
        <f t="shared" si="13"/>
        <v>2.3.2.02.02.009.2302083.83132.</v>
      </c>
      <c r="AI482" s="1040"/>
    </row>
    <row r="483" spans="1:35" ht="15.75" hidden="1" x14ac:dyDescent="0.2">
      <c r="A483" s="940"/>
      <c r="B483" s="924"/>
      <c r="C483" s="925"/>
      <c r="D483" s="925"/>
      <c r="E483" s="1158"/>
      <c r="F483" s="816"/>
      <c r="G483" s="816"/>
      <c r="H483" s="859"/>
      <c r="I483" s="1066" t="s">
        <v>41</v>
      </c>
      <c r="J483" s="859"/>
      <c r="K483" s="859"/>
      <c r="L483" s="859"/>
      <c r="M483" s="816"/>
      <c r="N483" s="862"/>
      <c r="O483" s="859"/>
      <c r="P483" s="859"/>
      <c r="Q483" s="859"/>
      <c r="R483" s="859"/>
      <c r="S483" s="859"/>
      <c r="T483" s="859"/>
      <c r="U483" s="926"/>
      <c r="V483" s="927"/>
      <c r="W483" s="928"/>
      <c r="X483" s="845"/>
      <c r="Y483" s="845" t="s">
        <v>41</v>
      </c>
      <c r="Z483" s="837"/>
      <c r="AA483" s="928"/>
      <c r="AB483" s="766"/>
      <c r="AC483" s="929"/>
      <c r="AD483" s="766"/>
      <c r="AE483" s="856"/>
      <c r="AF483" s="845"/>
      <c r="AG483" s="845"/>
      <c r="AH483" s="845"/>
    </row>
    <row r="484" spans="1:35" ht="15.75" hidden="1" x14ac:dyDescent="0.2">
      <c r="A484" s="940"/>
      <c r="B484" s="1277"/>
      <c r="C484" s="925"/>
      <c r="D484" s="925"/>
      <c r="E484" s="1158"/>
      <c r="F484" s="816"/>
      <c r="G484" s="816"/>
      <c r="H484" s="12"/>
      <c r="I484" s="1067" t="s">
        <v>41</v>
      </c>
      <c r="J484" s="922"/>
      <c r="K484" s="859"/>
      <c r="L484" s="859"/>
      <c r="M484" s="816"/>
      <c r="N484" s="862"/>
      <c r="O484" s="859"/>
      <c r="P484" s="859"/>
      <c r="Q484" s="859"/>
      <c r="R484" s="859"/>
      <c r="S484" s="859"/>
      <c r="T484" s="859"/>
      <c r="U484" s="926"/>
      <c r="V484" s="927"/>
      <c r="W484" s="928"/>
      <c r="X484" s="845"/>
      <c r="Y484" s="1161"/>
      <c r="Z484" s="837"/>
      <c r="AA484" s="928"/>
      <c r="AB484" s="766"/>
      <c r="AC484" s="1273"/>
      <c r="AD484" s="766"/>
      <c r="AE484" s="856"/>
      <c r="AF484" s="845"/>
      <c r="AG484" s="845"/>
      <c r="AH484" s="845"/>
    </row>
    <row r="485" spans="1:35" hidden="1" x14ac:dyDescent="0.2">
      <c r="H485" s="12"/>
      <c r="I485" s="1067">
        <f>SUBTOTAL(9,I386:I452)</f>
        <v>0</v>
      </c>
      <c r="J485" s="922"/>
    </row>
    <row r="486" spans="1:35" hidden="1" x14ac:dyDescent="0.2">
      <c r="H486" s="1404" t="s">
        <v>2278</v>
      </c>
      <c r="I486" s="1405" t="e">
        <f>+#REF!+I433+I431</f>
        <v>#REF!</v>
      </c>
      <c r="J486" s="922"/>
    </row>
    <row r="487" spans="1:35" hidden="1" x14ac:dyDescent="0.2">
      <c r="H487" s="1404" t="s">
        <v>2279</v>
      </c>
      <c r="I487" s="1405">
        <f>+I389</f>
        <v>28000000</v>
      </c>
      <c r="J487" s="922"/>
    </row>
    <row r="488" spans="1:35" ht="27.75" hidden="1" customHeight="1" x14ac:dyDescent="0.2">
      <c r="E488" s="1159" t="s">
        <v>41</v>
      </c>
      <c r="H488" s="1431"/>
      <c r="I488" s="1460">
        <f>SUBTOTAL(9,I386:I452)</f>
        <v>0</v>
      </c>
      <c r="J488" s="922"/>
    </row>
    <row r="489" spans="1:35" ht="45" hidden="1" x14ac:dyDescent="0.2">
      <c r="H489" s="1432" t="s">
        <v>2276</v>
      </c>
      <c r="I489" s="1461">
        <f>+I443</f>
        <v>17984372304</v>
      </c>
      <c r="J489" s="1406">
        <v>6460193577</v>
      </c>
      <c r="M489" s="922">
        <f>+I489+I490</f>
        <v>22220537852</v>
      </c>
    </row>
    <row r="490" spans="1:35" hidden="1" x14ac:dyDescent="0.2">
      <c r="H490" s="1433" t="s">
        <v>2280</v>
      </c>
      <c r="I490" s="1461">
        <v>4236165548</v>
      </c>
      <c r="J490" s="1406"/>
    </row>
    <row r="491" spans="1:35" x14ac:dyDescent="0.2">
      <c r="H491" s="1431"/>
      <c r="I491" s="1460"/>
      <c r="J491" s="922"/>
    </row>
    <row r="492" spans="1:35" ht="45" x14ac:dyDescent="0.2">
      <c r="H492" s="1434" t="s">
        <v>2277</v>
      </c>
      <c r="I492" s="1462">
        <f>+I444+I405+I406+I408+I407</f>
        <v>13483655831</v>
      </c>
      <c r="J492" s="1407">
        <v>35242837560</v>
      </c>
      <c r="M492" s="922">
        <f>+I492+I493</f>
        <v>15047505831</v>
      </c>
    </row>
    <row r="493" spans="1:35" ht="30" x14ac:dyDescent="0.2">
      <c r="H493" s="1435" t="s">
        <v>2281</v>
      </c>
      <c r="I493" s="1462">
        <f>+I441+I442</f>
        <v>1563850000</v>
      </c>
      <c r="J493" s="1408"/>
    </row>
    <row r="494" spans="1:35" x14ac:dyDescent="0.2">
      <c r="H494" s="1436"/>
      <c r="J494" s="923"/>
    </row>
    <row r="495" spans="1:35" x14ac:dyDescent="0.2">
      <c r="H495" s="1437" t="s">
        <v>1402</v>
      </c>
      <c r="I495" s="1463">
        <v>1321980000</v>
      </c>
      <c r="J495" s="923"/>
    </row>
    <row r="496" spans="1:35" x14ac:dyDescent="0.2">
      <c r="C496" s="1"/>
      <c r="D496" s="1"/>
      <c r="E496" s="1160"/>
      <c r="F496" s="14"/>
      <c r="G496" s="14"/>
      <c r="H496" s="1437"/>
      <c r="J496" s="923"/>
      <c r="K496" s="1"/>
      <c r="L496" s="1"/>
      <c r="M496" s="923"/>
      <c r="N496" s="1"/>
      <c r="O496" s="1"/>
      <c r="P496" s="1"/>
      <c r="Q496" s="1"/>
      <c r="R496" s="1"/>
      <c r="S496" s="1"/>
      <c r="T496" s="1"/>
      <c r="U496" s="1"/>
      <c r="V496" s="1"/>
      <c r="W496" s="1"/>
      <c r="X496" s="1"/>
      <c r="Z496" s="1"/>
      <c r="AA496" s="14"/>
      <c r="AB496" s="1"/>
      <c r="AC496" s="1275"/>
      <c r="AD496" s="1"/>
      <c r="AE496" s="14"/>
      <c r="AF496" s="1"/>
      <c r="AG496" s="1"/>
      <c r="AH496" s="1"/>
    </row>
    <row r="497" spans="3:34" x14ac:dyDescent="0.2">
      <c r="C497" s="1"/>
      <c r="D497" s="1"/>
      <c r="E497" s="1160"/>
      <c r="F497" s="14"/>
      <c r="G497" s="14"/>
      <c r="H497" s="1437"/>
      <c r="I497" s="1463">
        <f>SUBTOTAL(9,I486:I496)</f>
        <v>16369485831</v>
      </c>
      <c r="J497" s="923"/>
      <c r="K497" s="1"/>
      <c r="L497" s="1"/>
      <c r="M497" s="923"/>
      <c r="N497" s="1"/>
      <c r="O497" s="1"/>
      <c r="P497" s="1"/>
      <c r="Q497" s="1"/>
      <c r="R497" s="1"/>
      <c r="S497" s="1"/>
      <c r="T497" s="1"/>
      <c r="U497" s="1"/>
      <c r="V497" s="1"/>
      <c r="W497" s="1"/>
      <c r="X497" s="1"/>
      <c r="Z497" s="1"/>
      <c r="AA497" s="14"/>
      <c r="AB497" s="1"/>
      <c r="AC497" s="1275"/>
      <c r="AD497" s="1"/>
      <c r="AE497" s="14"/>
      <c r="AF497" s="1"/>
      <c r="AG497" s="1"/>
      <c r="AH497" s="1"/>
    </row>
    <row r="498" spans="3:34" x14ac:dyDescent="0.2">
      <c r="C498" s="1"/>
      <c r="D498" s="1"/>
      <c r="E498" s="1160"/>
      <c r="F498" s="14"/>
      <c r="G498" s="14"/>
      <c r="H498" s="1437"/>
      <c r="I498" s="1463">
        <v>45624178134</v>
      </c>
      <c r="J498" s="923"/>
      <c r="K498" s="1"/>
      <c r="L498" s="1"/>
      <c r="M498" s="923"/>
      <c r="N498" s="1"/>
      <c r="O498" s="1"/>
      <c r="P498" s="1"/>
      <c r="Q498" s="1"/>
      <c r="R498" s="1"/>
      <c r="S498" s="1"/>
      <c r="T498" s="1"/>
      <c r="U498" s="1"/>
      <c r="V498" s="1"/>
      <c r="W498" s="1"/>
      <c r="X498" s="1"/>
      <c r="Z498" s="1"/>
      <c r="AA498" s="14"/>
      <c r="AB498" s="1"/>
      <c r="AC498" s="1275"/>
      <c r="AD498" s="1"/>
      <c r="AE498" s="14"/>
      <c r="AF498" s="1"/>
      <c r="AG498" s="1"/>
      <c r="AH498" s="1"/>
    </row>
    <row r="499" spans="3:34" x14ac:dyDescent="0.2">
      <c r="C499" s="1"/>
      <c r="D499" s="1"/>
      <c r="E499" s="1160"/>
      <c r="F499" s="14"/>
      <c r="G499" s="14"/>
      <c r="H499" s="1437"/>
      <c r="J499" s="923"/>
      <c r="K499" s="1"/>
      <c r="L499" s="1"/>
      <c r="M499" s="923"/>
      <c r="N499" s="1"/>
      <c r="O499" s="1"/>
      <c r="P499" s="1"/>
      <c r="Q499" s="1"/>
      <c r="R499" s="1"/>
      <c r="S499" s="1"/>
      <c r="T499" s="1"/>
      <c r="U499" s="1"/>
      <c r="V499" s="1"/>
      <c r="W499" s="1"/>
      <c r="X499" s="1"/>
      <c r="Z499" s="1"/>
      <c r="AA499" s="14"/>
      <c r="AB499" s="1"/>
      <c r="AC499" s="1275"/>
      <c r="AD499" s="1"/>
      <c r="AE499" s="14"/>
      <c r="AF499" s="1"/>
      <c r="AG499" s="1"/>
      <c r="AH499" s="1"/>
    </row>
    <row r="500" spans="3:34" x14ac:dyDescent="0.2">
      <c r="C500" s="1"/>
      <c r="D500" s="1"/>
      <c r="E500" s="1160"/>
      <c r="F500" s="14"/>
      <c r="G500" s="14"/>
      <c r="H500" s="1437"/>
      <c r="I500" s="1463">
        <f>+I497-I498</f>
        <v>-29254692303</v>
      </c>
      <c r="J500" s="923"/>
      <c r="K500" s="1"/>
      <c r="L500" s="1"/>
      <c r="M500" s="923"/>
      <c r="N500" s="1"/>
      <c r="O500" s="1"/>
      <c r="P500" s="1"/>
      <c r="Q500" s="1"/>
      <c r="R500" s="1"/>
      <c r="S500" s="1"/>
      <c r="T500" s="1"/>
      <c r="U500" s="1"/>
      <c r="V500" s="1"/>
      <c r="W500" s="1"/>
      <c r="X500" s="1"/>
      <c r="Z500" s="1"/>
      <c r="AA500" s="14"/>
      <c r="AB500" s="1"/>
      <c r="AC500" s="1275"/>
      <c r="AD500" s="1"/>
      <c r="AE500" s="14"/>
      <c r="AF500" s="1"/>
      <c r="AG500" s="1"/>
      <c r="AH500" s="1"/>
    </row>
    <row r="501" spans="3:34" x14ac:dyDescent="0.2">
      <c r="C501" s="1"/>
      <c r="D501" s="1"/>
      <c r="E501" s="1160"/>
      <c r="F501" s="14"/>
      <c r="G501" s="14"/>
      <c r="H501" s="1437"/>
      <c r="J501" s="1"/>
      <c r="K501" s="1"/>
      <c r="L501" s="1"/>
      <c r="M501" s="923"/>
      <c r="N501" s="1"/>
      <c r="O501" s="1"/>
      <c r="P501" s="1"/>
      <c r="Q501" s="1"/>
      <c r="R501" s="1"/>
      <c r="S501" s="1"/>
      <c r="T501" s="1"/>
      <c r="U501" s="1"/>
      <c r="V501" s="1"/>
      <c r="W501" s="1"/>
      <c r="X501" s="1"/>
      <c r="Z501" s="1"/>
      <c r="AA501" s="14"/>
      <c r="AB501" s="1"/>
      <c r="AC501" s="1275"/>
      <c r="AD501" s="1"/>
      <c r="AE501" s="14"/>
      <c r="AF501" s="1"/>
      <c r="AG501" s="1"/>
      <c r="AH501" s="1"/>
    </row>
    <row r="502" spans="3:34" x14ac:dyDescent="0.2">
      <c r="C502" s="1"/>
      <c r="D502" s="1"/>
      <c r="E502" s="1160"/>
      <c r="F502" s="14"/>
      <c r="G502" s="14"/>
      <c r="H502" s="1437"/>
      <c r="J502" s="1"/>
      <c r="K502" s="1"/>
      <c r="L502" s="1"/>
      <c r="M502" s="923"/>
      <c r="N502" s="1"/>
      <c r="O502" s="1"/>
      <c r="P502" s="1"/>
      <c r="Q502" s="1"/>
      <c r="R502" s="1"/>
      <c r="S502" s="1"/>
      <c r="T502" s="1"/>
      <c r="U502" s="1"/>
      <c r="V502" s="1"/>
      <c r="W502" s="1"/>
      <c r="X502" s="1"/>
      <c r="Z502" s="1"/>
      <c r="AA502" s="14"/>
      <c r="AB502" s="1"/>
      <c r="AC502" s="1275"/>
      <c r="AD502" s="1"/>
      <c r="AE502" s="14"/>
      <c r="AF502" s="1"/>
      <c r="AG502" s="1"/>
      <c r="AH502" s="1"/>
    </row>
    <row r="503" spans="3:34" x14ac:dyDescent="0.2">
      <c r="C503" s="1"/>
      <c r="D503" s="1"/>
      <c r="E503" s="1160"/>
      <c r="F503" s="14"/>
      <c r="G503" s="14"/>
      <c r="H503" s="1437"/>
      <c r="J503" s="1"/>
      <c r="K503" s="1"/>
      <c r="L503" s="1"/>
      <c r="M503" s="923"/>
      <c r="N503" s="1"/>
      <c r="O503" s="1"/>
      <c r="P503" s="1"/>
      <c r="Q503" s="1"/>
      <c r="R503" s="1"/>
      <c r="S503" s="1"/>
      <c r="T503" s="1"/>
      <c r="U503" s="1"/>
      <c r="V503" s="1"/>
      <c r="W503" s="1"/>
      <c r="X503" s="1"/>
      <c r="Z503" s="1"/>
      <c r="AA503" s="14"/>
      <c r="AB503" s="1"/>
      <c r="AC503" s="1275"/>
      <c r="AD503" s="1"/>
      <c r="AE503" s="14"/>
      <c r="AF503" s="1"/>
      <c r="AG503" s="1"/>
      <c r="AH503" s="1"/>
    </row>
    <row r="504" spans="3:34" x14ac:dyDescent="0.2">
      <c r="C504" s="1"/>
      <c r="D504" s="1"/>
      <c r="E504" s="1160"/>
      <c r="F504" s="14"/>
      <c r="G504" s="14"/>
      <c r="H504" s="1437"/>
      <c r="J504" s="1"/>
      <c r="K504" s="1"/>
      <c r="L504" s="1"/>
      <c r="M504" s="923"/>
      <c r="N504" s="1"/>
      <c r="O504" s="1"/>
      <c r="P504" s="1"/>
      <c r="Q504" s="1"/>
      <c r="R504" s="1"/>
      <c r="S504" s="1"/>
      <c r="T504" s="1"/>
      <c r="U504" s="1"/>
      <c r="V504" s="1"/>
      <c r="W504" s="1"/>
      <c r="X504" s="1"/>
      <c r="Z504" s="1"/>
      <c r="AA504" s="14"/>
      <c r="AB504" s="1"/>
      <c r="AC504" s="1275"/>
      <c r="AD504" s="1"/>
      <c r="AE504" s="14"/>
      <c r="AF504" s="1"/>
      <c r="AG504" s="1"/>
      <c r="AH504" s="1"/>
    </row>
    <row r="505" spans="3:34" x14ac:dyDescent="0.2">
      <c r="C505" s="1"/>
      <c r="D505" s="1"/>
      <c r="E505" s="1160"/>
      <c r="F505" s="14"/>
      <c r="G505" s="14"/>
      <c r="H505" s="1437"/>
      <c r="J505" s="1"/>
      <c r="K505" s="1"/>
      <c r="L505" s="1"/>
      <c r="M505" s="923"/>
      <c r="N505" s="1"/>
      <c r="O505" s="1"/>
      <c r="P505" s="1"/>
      <c r="Q505" s="1"/>
      <c r="R505" s="1"/>
      <c r="S505" s="1"/>
      <c r="T505" s="1"/>
      <c r="U505" s="1"/>
      <c r="V505" s="1"/>
      <c r="W505" s="1"/>
      <c r="X505" s="1"/>
      <c r="Z505" s="1"/>
      <c r="AA505" s="14"/>
      <c r="AB505" s="1"/>
      <c r="AC505" s="1275"/>
      <c r="AD505" s="1"/>
      <c r="AE505" s="14"/>
      <c r="AF505" s="1"/>
      <c r="AG505" s="1"/>
      <c r="AH505" s="1"/>
    </row>
    <row r="506" spans="3:34" x14ac:dyDescent="0.2">
      <c r="C506" s="1"/>
      <c r="D506" s="1"/>
      <c r="E506" s="1160"/>
      <c r="F506" s="14"/>
      <c r="G506" s="14"/>
      <c r="H506" s="1437"/>
      <c r="J506" s="1"/>
      <c r="K506" s="1"/>
      <c r="L506" s="1"/>
      <c r="M506" s="923"/>
      <c r="N506" s="1"/>
      <c r="O506" s="1"/>
      <c r="P506" s="1"/>
      <c r="Q506" s="1"/>
      <c r="R506" s="1"/>
      <c r="S506" s="1"/>
      <c r="T506" s="1"/>
      <c r="U506" s="1"/>
      <c r="V506" s="1"/>
      <c r="W506" s="1"/>
      <c r="X506" s="1"/>
      <c r="Z506" s="1"/>
      <c r="AA506" s="14"/>
      <c r="AB506" s="1"/>
      <c r="AC506" s="1275"/>
      <c r="AD506" s="1"/>
      <c r="AE506" s="14"/>
      <c r="AF506" s="1"/>
      <c r="AG506" s="1"/>
      <c r="AH506" s="1"/>
    </row>
    <row r="507" spans="3:34" x14ac:dyDescent="0.2">
      <c r="C507" s="1"/>
      <c r="D507" s="1"/>
      <c r="E507" s="1160"/>
      <c r="F507" s="14"/>
      <c r="G507" s="14"/>
      <c r="H507" s="1437"/>
      <c r="J507" s="1"/>
      <c r="K507" s="1"/>
      <c r="L507" s="1"/>
      <c r="M507" s="923"/>
      <c r="N507" s="1"/>
      <c r="O507" s="1"/>
      <c r="P507" s="1"/>
      <c r="Q507" s="1"/>
      <c r="R507" s="1"/>
      <c r="S507" s="1"/>
      <c r="T507" s="1"/>
      <c r="U507" s="1"/>
      <c r="V507" s="1"/>
      <c r="W507" s="1"/>
      <c r="X507" s="1"/>
      <c r="Z507" s="1"/>
      <c r="AA507" s="14"/>
      <c r="AB507" s="1"/>
      <c r="AC507" s="1275"/>
      <c r="AD507" s="1"/>
      <c r="AE507" s="14"/>
      <c r="AF507" s="1"/>
      <c r="AG507" s="1"/>
      <c r="AH507" s="1"/>
    </row>
    <row r="508" spans="3:34" x14ac:dyDescent="0.2">
      <c r="C508" s="1"/>
      <c r="D508" s="1"/>
      <c r="E508" s="1160"/>
      <c r="F508" s="14"/>
      <c r="G508" s="14"/>
      <c r="H508" s="1437"/>
      <c r="J508" s="1"/>
      <c r="K508" s="1"/>
      <c r="L508" s="1"/>
      <c r="M508" s="923"/>
      <c r="N508" s="1"/>
      <c r="O508" s="1"/>
      <c r="P508" s="1"/>
      <c r="Q508" s="1"/>
      <c r="R508" s="1"/>
      <c r="S508" s="1"/>
      <c r="T508" s="1"/>
      <c r="U508" s="1"/>
      <c r="V508" s="1"/>
      <c r="W508" s="1"/>
      <c r="X508" s="1"/>
      <c r="Z508" s="1"/>
      <c r="AA508" s="14"/>
      <c r="AB508" s="1"/>
      <c r="AC508" s="1275"/>
      <c r="AD508" s="1"/>
      <c r="AE508" s="14"/>
      <c r="AF508" s="1"/>
      <c r="AG508" s="1"/>
      <c r="AH508" s="1"/>
    </row>
    <row r="509" spans="3:34" x14ac:dyDescent="0.2">
      <c r="C509" s="1"/>
      <c r="D509" s="1"/>
      <c r="E509" s="1160"/>
      <c r="F509" s="14"/>
      <c r="G509" s="14"/>
      <c r="H509" s="1437"/>
      <c r="J509" s="1"/>
      <c r="K509" s="1"/>
      <c r="L509" s="1"/>
      <c r="M509" s="923"/>
      <c r="N509" s="1"/>
      <c r="O509" s="1"/>
      <c r="P509" s="1"/>
      <c r="Q509" s="1"/>
      <c r="R509" s="1"/>
      <c r="S509" s="1"/>
      <c r="T509" s="1"/>
      <c r="U509" s="1"/>
      <c r="V509" s="1"/>
      <c r="W509" s="1"/>
      <c r="X509" s="1"/>
      <c r="Z509" s="1"/>
      <c r="AA509" s="14"/>
      <c r="AB509" s="1"/>
      <c r="AC509" s="1275"/>
      <c r="AD509" s="1"/>
      <c r="AE509" s="14"/>
      <c r="AF509" s="1"/>
      <c r="AG509" s="1"/>
      <c r="AH509" s="1"/>
    </row>
    <row r="510" spans="3:34" x14ac:dyDescent="0.2">
      <c r="C510" s="1"/>
      <c r="D510" s="1"/>
      <c r="E510" s="1160"/>
      <c r="F510" s="14"/>
      <c r="G510" s="14"/>
      <c r="H510" s="1437"/>
      <c r="J510" s="1"/>
      <c r="K510" s="1"/>
      <c r="L510" s="1"/>
      <c r="M510" s="923"/>
      <c r="N510" s="1"/>
      <c r="O510" s="1"/>
      <c r="P510" s="1"/>
      <c r="Q510" s="1"/>
      <c r="R510" s="1"/>
      <c r="S510" s="1"/>
      <c r="T510" s="1"/>
      <c r="U510" s="1"/>
      <c r="V510" s="1"/>
      <c r="W510" s="1"/>
      <c r="X510" s="1"/>
      <c r="Z510" s="1"/>
      <c r="AA510" s="14"/>
      <c r="AB510" s="1"/>
      <c r="AC510" s="1275"/>
      <c r="AD510" s="1"/>
      <c r="AE510" s="14"/>
      <c r="AF510" s="1"/>
      <c r="AG510" s="1"/>
      <c r="AH510" s="1"/>
    </row>
    <row r="511" spans="3:34" x14ac:dyDescent="0.2">
      <c r="C511" s="1"/>
      <c r="D511" s="1"/>
      <c r="E511" s="1160"/>
      <c r="F511" s="14"/>
      <c r="G511" s="14"/>
      <c r="H511" s="1437"/>
      <c r="J511" s="1"/>
      <c r="K511" s="1"/>
      <c r="L511" s="1"/>
      <c r="M511" s="923"/>
      <c r="N511" s="1"/>
      <c r="O511" s="1"/>
      <c r="P511" s="1"/>
      <c r="Q511" s="1"/>
      <c r="R511" s="1"/>
      <c r="S511" s="1"/>
      <c r="T511" s="1"/>
      <c r="U511" s="1"/>
      <c r="V511" s="1"/>
      <c r="W511" s="1"/>
      <c r="X511" s="1"/>
      <c r="Z511" s="1"/>
      <c r="AA511" s="14"/>
      <c r="AB511" s="1"/>
      <c r="AC511" s="1275"/>
      <c r="AD511" s="1"/>
      <c r="AE511" s="14"/>
      <c r="AF511" s="1"/>
      <c r="AG511" s="1"/>
      <c r="AH511" s="1"/>
    </row>
    <row r="512" spans="3:34" x14ac:dyDescent="0.2">
      <c r="C512" s="1"/>
      <c r="D512" s="1"/>
      <c r="E512" s="1160"/>
      <c r="F512" s="14"/>
      <c r="G512" s="14"/>
      <c r="H512" s="1437"/>
      <c r="J512" s="1"/>
      <c r="K512" s="1"/>
      <c r="L512" s="1"/>
      <c r="M512" s="923"/>
      <c r="N512" s="1"/>
      <c r="O512" s="1"/>
      <c r="P512" s="1"/>
      <c r="Q512" s="1"/>
      <c r="R512" s="1"/>
      <c r="S512" s="1"/>
      <c r="T512" s="1"/>
      <c r="U512" s="1"/>
      <c r="V512" s="1"/>
      <c r="W512" s="1"/>
      <c r="X512" s="1"/>
      <c r="Z512" s="1"/>
      <c r="AA512" s="14"/>
      <c r="AB512" s="1"/>
      <c r="AC512" s="1275"/>
      <c r="AD512" s="1"/>
      <c r="AE512" s="14"/>
      <c r="AF512" s="1"/>
      <c r="AG512" s="1"/>
      <c r="AH512" s="1"/>
    </row>
    <row r="513" spans="3:34" x14ac:dyDescent="0.2">
      <c r="C513" s="1"/>
      <c r="D513" s="1"/>
      <c r="E513" s="1160"/>
      <c r="F513" s="14"/>
      <c r="G513" s="14"/>
      <c r="H513" s="1437"/>
      <c r="J513" s="1"/>
      <c r="K513" s="1"/>
      <c r="L513" s="1"/>
      <c r="M513" s="923"/>
      <c r="N513" s="1"/>
      <c r="O513" s="1"/>
      <c r="P513" s="1"/>
      <c r="Q513" s="1"/>
      <c r="R513" s="1"/>
      <c r="S513" s="1"/>
      <c r="T513" s="1"/>
      <c r="U513" s="1"/>
      <c r="V513" s="1"/>
      <c r="W513" s="1"/>
      <c r="X513" s="1"/>
      <c r="Z513" s="1"/>
      <c r="AA513" s="14"/>
      <c r="AB513" s="1"/>
      <c r="AC513" s="1275"/>
      <c r="AD513" s="1"/>
      <c r="AE513" s="14"/>
      <c r="AF513" s="1"/>
      <c r="AG513" s="1"/>
      <c r="AH513" s="1"/>
    </row>
    <row r="514" spans="3:34" x14ac:dyDescent="0.2">
      <c r="C514" s="1"/>
      <c r="D514" s="1"/>
      <c r="E514" s="1160"/>
      <c r="F514" s="14"/>
      <c r="G514" s="14"/>
      <c r="H514" s="1437"/>
      <c r="J514" s="1"/>
      <c r="K514" s="1"/>
      <c r="L514" s="1"/>
      <c r="M514" s="923"/>
      <c r="N514" s="1"/>
      <c r="O514" s="1"/>
      <c r="P514" s="1"/>
      <c r="Q514" s="1"/>
      <c r="R514" s="1"/>
      <c r="S514" s="1"/>
      <c r="T514" s="1"/>
      <c r="U514" s="1"/>
      <c r="V514" s="1"/>
      <c r="W514" s="1"/>
      <c r="X514" s="1"/>
      <c r="Z514" s="1"/>
      <c r="AA514" s="14"/>
      <c r="AB514" s="1"/>
      <c r="AC514" s="1275"/>
      <c r="AD514" s="1"/>
      <c r="AE514" s="14"/>
      <c r="AF514" s="1"/>
      <c r="AG514" s="1"/>
      <c r="AH514" s="1"/>
    </row>
    <row r="515" spans="3:34" x14ac:dyDescent="0.2">
      <c r="C515" s="1"/>
      <c r="D515" s="1"/>
      <c r="E515" s="1160"/>
      <c r="F515" s="14"/>
      <c r="G515" s="14"/>
      <c r="H515" s="1437"/>
      <c r="J515" s="1"/>
      <c r="K515" s="1"/>
      <c r="L515" s="1"/>
      <c r="M515" s="923"/>
      <c r="N515" s="1"/>
      <c r="O515" s="1"/>
      <c r="P515" s="1"/>
      <c r="Q515" s="1"/>
      <c r="R515" s="1"/>
      <c r="S515" s="1"/>
      <c r="T515" s="1"/>
      <c r="U515" s="1"/>
      <c r="V515" s="1"/>
      <c r="W515" s="1"/>
      <c r="X515" s="1"/>
      <c r="Z515" s="1"/>
      <c r="AA515" s="14"/>
      <c r="AB515" s="1"/>
      <c r="AC515" s="1275"/>
      <c r="AD515" s="1"/>
      <c r="AE515" s="14"/>
      <c r="AF515" s="1"/>
      <c r="AG515" s="1"/>
      <c r="AH515" s="1"/>
    </row>
    <row r="516" spans="3:34" x14ac:dyDescent="0.2">
      <c r="C516" s="1"/>
      <c r="D516" s="1"/>
      <c r="E516" s="1160"/>
      <c r="F516" s="14"/>
      <c r="G516" s="14"/>
      <c r="H516" s="1437"/>
      <c r="J516" s="1"/>
      <c r="K516" s="1"/>
      <c r="L516" s="1"/>
      <c r="M516" s="923"/>
      <c r="N516" s="1"/>
      <c r="O516" s="1"/>
      <c r="P516" s="1"/>
      <c r="Q516" s="1"/>
      <c r="R516" s="1"/>
      <c r="S516" s="1"/>
      <c r="T516" s="1"/>
      <c r="U516" s="1"/>
      <c r="V516" s="1"/>
      <c r="W516" s="1"/>
      <c r="X516" s="1"/>
      <c r="Z516" s="1"/>
      <c r="AA516" s="14"/>
      <c r="AB516" s="1"/>
      <c r="AC516" s="1275"/>
      <c r="AD516" s="1"/>
      <c r="AE516" s="14"/>
      <c r="AF516" s="1"/>
      <c r="AG516" s="1"/>
      <c r="AH516" s="1"/>
    </row>
    <row r="517" spans="3:34" x14ac:dyDescent="0.2">
      <c r="C517" s="1"/>
      <c r="D517" s="1"/>
      <c r="E517" s="1160"/>
      <c r="F517" s="14"/>
      <c r="G517" s="14"/>
      <c r="H517" s="1437"/>
      <c r="J517" s="1"/>
      <c r="K517" s="1"/>
      <c r="L517" s="1"/>
      <c r="M517" s="923"/>
      <c r="N517" s="1"/>
      <c r="O517" s="1"/>
      <c r="P517" s="1"/>
      <c r="Q517" s="1"/>
      <c r="R517" s="1"/>
      <c r="S517" s="1"/>
      <c r="T517" s="1"/>
      <c r="U517" s="1"/>
      <c r="V517" s="1"/>
      <c r="W517" s="1"/>
      <c r="X517" s="1"/>
      <c r="Z517" s="1"/>
      <c r="AA517" s="14"/>
      <c r="AB517" s="1"/>
      <c r="AC517" s="1275"/>
      <c r="AD517" s="1"/>
      <c r="AE517" s="14"/>
      <c r="AF517" s="1"/>
      <c r="AG517" s="1"/>
      <c r="AH517" s="1"/>
    </row>
    <row r="518" spans="3:34" x14ac:dyDescent="0.2">
      <c r="C518" s="1"/>
      <c r="D518" s="1"/>
      <c r="E518" s="1160"/>
      <c r="F518" s="14"/>
      <c r="G518" s="14"/>
      <c r="H518" s="1437"/>
      <c r="J518" s="1"/>
      <c r="K518" s="1"/>
      <c r="L518" s="1"/>
      <c r="M518" s="923"/>
      <c r="N518" s="1"/>
      <c r="O518" s="1"/>
      <c r="P518" s="1"/>
      <c r="Q518" s="1"/>
      <c r="R518" s="1"/>
      <c r="S518" s="1"/>
      <c r="T518" s="1"/>
      <c r="U518" s="1"/>
      <c r="V518" s="1"/>
      <c r="W518" s="1"/>
      <c r="X518" s="1"/>
      <c r="Z518" s="1"/>
      <c r="AA518" s="14"/>
      <c r="AB518" s="1"/>
      <c r="AC518" s="1275"/>
      <c r="AD518" s="1"/>
      <c r="AE518" s="14"/>
      <c r="AF518" s="1"/>
      <c r="AG518" s="1"/>
      <c r="AH518" s="1"/>
    </row>
    <row r="519" spans="3:34" x14ac:dyDescent="0.2">
      <c r="C519" s="1"/>
      <c r="D519" s="1"/>
      <c r="E519" s="1160"/>
      <c r="F519" s="14"/>
      <c r="G519" s="14"/>
      <c r="H519" s="1437"/>
      <c r="J519" s="1"/>
      <c r="K519" s="1"/>
      <c r="L519" s="1"/>
      <c r="M519" s="923"/>
      <c r="N519" s="1"/>
      <c r="O519" s="1"/>
      <c r="P519" s="1"/>
      <c r="Q519" s="1"/>
      <c r="R519" s="1"/>
      <c r="S519" s="1"/>
      <c r="T519" s="1"/>
      <c r="U519" s="1"/>
      <c r="V519" s="1"/>
      <c r="W519" s="1"/>
      <c r="X519" s="1"/>
      <c r="Z519" s="1"/>
      <c r="AA519" s="14"/>
      <c r="AB519" s="1"/>
      <c r="AC519" s="1275"/>
      <c r="AD519" s="1"/>
      <c r="AE519" s="14"/>
      <c r="AF519" s="1"/>
      <c r="AG519" s="1"/>
      <c r="AH519" s="1"/>
    </row>
    <row r="520" spans="3:34" x14ac:dyDescent="0.2">
      <c r="C520" s="1"/>
      <c r="D520" s="1"/>
      <c r="E520" s="1160"/>
      <c r="F520" s="14"/>
      <c r="G520" s="14"/>
      <c r="H520" s="1437"/>
      <c r="J520" s="1"/>
      <c r="K520" s="1"/>
      <c r="L520" s="1"/>
      <c r="M520" s="923"/>
      <c r="N520" s="1"/>
      <c r="O520" s="1"/>
      <c r="P520" s="1"/>
      <c r="Q520" s="1"/>
      <c r="R520" s="1"/>
      <c r="S520" s="1"/>
      <c r="T520" s="1"/>
      <c r="U520" s="1"/>
      <c r="V520" s="1"/>
      <c r="W520" s="1"/>
      <c r="X520" s="1"/>
      <c r="Z520" s="1"/>
      <c r="AA520" s="14"/>
      <c r="AB520" s="1"/>
      <c r="AC520" s="1275"/>
      <c r="AD520" s="1"/>
      <c r="AE520" s="14"/>
      <c r="AF520" s="1"/>
      <c r="AG520" s="1"/>
      <c r="AH520" s="1"/>
    </row>
    <row r="521" spans="3:34" x14ac:dyDescent="0.2">
      <c r="C521" s="1"/>
      <c r="D521" s="1"/>
      <c r="E521" s="1160"/>
      <c r="F521" s="14"/>
      <c r="G521" s="14"/>
      <c r="H521" s="1437"/>
      <c r="J521" s="1"/>
      <c r="K521" s="1"/>
      <c r="L521" s="1"/>
      <c r="M521" s="923"/>
      <c r="N521" s="1"/>
      <c r="O521" s="1"/>
      <c r="P521" s="1"/>
      <c r="Q521" s="1"/>
      <c r="R521" s="1"/>
      <c r="S521" s="1"/>
      <c r="T521" s="1"/>
      <c r="U521" s="1"/>
      <c r="V521" s="1"/>
      <c r="W521" s="1"/>
      <c r="X521" s="1"/>
      <c r="Z521" s="1"/>
      <c r="AA521" s="14"/>
      <c r="AB521" s="1"/>
      <c r="AC521" s="1275"/>
      <c r="AD521" s="1"/>
      <c r="AE521" s="14"/>
      <c r="AF521" s="1"/>
      <c r="AG521" s="1"/>
      <c r="AH521" s="1"/>
    </row>
    <row r="522" spans="3:34" x14ac:dyDescent="0.2">
      <c r="C522" s="1"/>
      <c r="D522" s="1"/>
      <c r="E522" s="1160"/>
      <c r="F522" s="14"/>
      <c r="G522" s="14"/>
      <c r="H522" s="1437"/>
      <c r="J522" s="1"/>
      <c r="K522" s="1"/>
      <c r="L522" s="1"/>
      <c r="M522" s="923"/>
      <c r="N522" s="1"/>
      <c r="O522" s="1"/>
      <c r="P522" s="1"/>
      <c r="Q522" s="1"/>
      <c r="R522" s="1"/>
      <c r="S522" s="1"/>
      <c r="T522" s="1"/>
      <c r="U522" s="1"/>
      <c r="V522" s="1"/>
      <c r="W522" s="1"/>
      <c r="X522" s="1"/>
      <c r="Z522" s="1"/>
      <c r="AA522" s="14"/>
      <c r="AB522" s="1"/>
      <c r="AC522" s="1275"/>
      <c r="AD522" s="1"/>
      <c r="AE522" s="14"/>
      <c r="AF522" s="1"/>
      <c r="AG522" s="1"/>
      <c r="AH522" s="1"/>
    </row>
    <row r="523" spans="3:34" x14ac:dyDescent="0.2">
      <c r="C523" s="1"/>
      <c r="D523" s="1"/>
      <c r="E523" s="1160"/>
      <c r="F523" s="14"/>
      <c r="G523" s="14"/>
      <c r="H523" s="1437"/>
      <c r="J523" s="1"/>
      <c r="K523" s="1"/>
      <c r="L523" s="1"/>
      <c r="M523" s="923"/>
      <c r="N523" s="1"/>
      <c r="O523" s="1"/>
      <c r="P523" s="1"/>
      <c r="Q523" s="1"/>
      <c r="R523" s="1"/>
      <c r="S523" s="1"/>
      <c r="T523" s="1"/>
      <c r="U523" s="1"/>
      <c r="V523" s="1"/>
      <c r="W523" s="1"/>
      <c r="X523" s="1"/>
      <c r="Z523" s="1"/>
      <c r="AA523" s="14"/>
      <c r="AB523" s="1"/>
      <c r="AC523" s="1275"/>
      <c r="AD523" s="1"/>
      <c r="AE523" s="14"/>
      <c r="AF523" s="1"/>
      <c r="AG523" s="1"/>
      <c r="AH523" s="1"/>
    </row>
    <row r="524" spans="3:34" x14ac:dyDescent="0.2">
      <c r="C524" s="1"/>
      <c r="D524" s="1"/>
      <c r="E524" s="1160"/>
      <c r="F524" s="14"/>
      <c r="G524" s="14"/>
      <c r="H524" s="1437"/>
      <c r="J524" s="1"/>
      <c r="K524" s="1"/>
      <c r="L524" s="1"/>
      <c r="M524" s="923"/>
      <c r="N524" s="1"/>
      <c r="O524" s="1"/>
      <c r="P524" s="1"/>
      <c r="Q524" s="1"/>
      <c r="R524" s="1"/>
      <c r="S524" s="1"/>
      <c r="T524" s="1"/>
      <c r="U524" s="1"/>
      <c r="V524" s="1"/>
      <c r="W524" s="1"/>
      <c r="X524" s="1"/>
      <c r="Z524" s="1"/>
      <c r="AA524" s="14"/>
      <c r="AB524" s="1"/>
      <c r="AC524" s="1275"/>
      <c r="AD524" s="1"/>
      <c r="AE524" s="14"/>
      <c r="AF524" s="1"/>
      <c r="AG524" s="1"/>
      <c r="AH524" s="1"/>
    </row>
    <row r="525" spans="3:34" x14ac:dyDescent="0.2">
      <c r="C525" s="1"/>
      <c r="D525" s="1"/>
      <c r="E525" s="1160"/>
      <c r="F525" s="14"/>
      <c r="G525" s="14"/>
      <c r="H525" s="1437"/>
      <c r="J525" s="1"/>
      <c r="K525" s="1"/>
      <c r="L525" s="1"/>
      <c r="M525" s="923"/>
      <c r="N525" s="1"/>
      <c r="O525" s="1"/>
      <c r="P525" s="1"/>
      <c r="Q525" s="1"/>
      <c r="R525" s="1"/>
      <c r="S525" s="1"/>
      <c r="T525" s="1"/>
      <c r="U525" s="1"/>
      <c r="V525" s="1"/>
      <c r="W525" s="1"/>
      <c r="X525" s="1"/>
      <c r="Z525" s="1"/>
      <c r="AA525" s="14"/>
      <c r="AB525" s="1"/>
      <c r="AC525" s="1275"/>
      <c r="AD525" s="1"/>
      <c r="AE525" s="14"/>
      <c r="AF525" s="1"/>
      <c r="AG525" s="1"/>
      <c r="AH525" s="1"/>
    </row>
    <row r="526" spans="3:34" x14ac:dyDescent="0.2">
      <c r="C526" s="1"/>
      <c r="D526" s="1"/>
      <c r="E526" s="1160"/>
      <c r="F526" s="14"/>
      <c r="G526" s="14"/>
      <c r="H526" s="1437"/>
      <c r="J526" s="1"/>
      <c r="K526" s="1"/>
      <c r="L526" s="1"/>
      <c r="M526" s="923"/>
      <c r="N526" s="1"/>
      <c r="O526" s="1"/>
      <c r="P526" s="1"/>
      <c r="Q526" s="1"/>
      <c r="R526" s="1"/>
      <c r="S526" s="1"/>
      <c r="T526" s="1"/>
      <c r="U526" s="1"/>
      <c r="V526" s="1"/>
      <c r="W526" s="1"/>
      <c r="X526" s="1"/>
      <c r="Z526" s="1"/>
      <c r="AA526" s="14"/>
      <c r="AB526" s="1"/>
      <c r="AC526" s="1275"/>
      <c r="AD526" s="1"/>
      <c r="AE526" s="14"/>
      <c r="AF526" s="1"/>
      <c r="AG526" s="1"/>
      <c r="AH526" s="1"/>
    </row>
    <row r="527" spans="3:34" x14ac:dyDescent="0.2">
      <c r="C527" s="1"/>
      <c r="D527" s="1"/>
      <c r="E527" s="1160"/>
      <c r="F527" s="14"/>
      <c r="G527" s="14"/>
      <c r="H527" s="1437"/>
      <c r="J527" s="1"/>
      <c r="K527" s="1"/>
      <c r="L527" s="1"/>
      <c r="M527" s="923"/>
      <c r="N527" s="1"/>
      <c r="O527" s="1"/>
      <c r="P527" s="1"/>
      <c r="Q527" s="1"/>
      <c r="R527" s="1"/>
      <c r="S527" s="1"/>
      <c r="T527" s="1"/>
      <c r="U527" s="1"/>
      <c r="V527" s="1"/>
      <c r="W527" s="1"/>
      <c r="X527" s="1"/>
      <c r="Z527" s="1"/>
      <c r="AA527" s="14"/>
      <c r="AB527" s="1"/>
      <c r="AC527" s="1275"/>
      <c r="AD527" s="1"/>
      <c r="AE527" s="14"/>
      <c r="AF527" s="1"/>
      <c r="AG527" s="1"/>
      <c r="AH527" s="1"/>
    </row>
    <row r="528" spans="3:34" x14ac:dyDescent="0.2">
      <c r="C528" s="1"/>
      <c r="D528" s="1"/>
      <c r="E528" s="1160"/>
      <c r="F528" s="14"/>
      <c r="G528" s="14"/>
      <c r="H528" s="1437"/>
      <c r="J528" s="1"/>
      <c r="K528" s="1"/>
      <c r="L528" s="1"/>
      <c r="M528" s="923"/>
      <c r="N528" s="1"/>
      <c r="O528" s="1"/>
      <c r="P528" s="1"/>
      <c r="Q528" s="1"/>
      <c r="R528" s="1"/>
      <c r="S528" s="1"/>
      <c r="T528" s="1"/>
      <c r="U528" s="1"/>
      <c r="V528" s="1"/>
      <c r="W528" s="1"/>
      <c r="X528" s="1"/>
      <c r="Z528" s="1"/>
      <c r="AA528" s="14"/>
      <c r="AB528" s="1"/>
      <c r="AC528" s="1275"/>
      <c r="AD528" s="1"/>
      <c r="AE528" s="14"/>
      <c r="AF528" s="1"/>
      <c r="AG528" s="1"/>
      <c r="AH528" s="1"/>
    </row>
    <row r="529" spans="3:34" x14ac:dyDescent="0.2">
      <c r="C529" s="1"/>
      <c r="D529" s="1"/>
      <c r="E529" s="1160"/>
      <c r="F529" s="14"/>
      <c r="G529" s="14"/>
      <c r="H529" s="1437"/>
      <c r="J529" s="1"/>
      <c r="K529" s="1"/>
      <c r="L529" s="1"/>
      <c r="M529" s="923"/>
      <c r="N529" s="1"/>
      <c r="O529" s="1"/>
      <c r="P529" s="1"/>
      <c r="Q529" s="1"/>
      <c r="R529" s="1"/>
      <c r="S529" s="1"/>
      <c r="T529" s="1"/>
      <c r="U529" s="1"/>
      <c r="V529" s="1"/>
      <c r="W529" s="1"/>
      <c r="X529" s="1"/>
      <c r="Z529" s="1"/>
      <c r="AA529" s="14"/>
      <c r="AB529" s="1"/>
      <c r="AC529" s="1275"/>
      <c r="AD529" s="1"/>
      <c r="AE529" s="14"/>
      <c r="AF529" s="1"/>
      <c r="AG529" s="1"/>
      <c r="AH529" s="1"/>
    </row>
    <row r="530" spans="3:34" x14ac:dyDescent="0.2">
      <c r="C530" s="1"/>
      <c r="D530" s="1"/>
      <c r="E530" s="1160"/>
      <c r="F530" s="14"/>
      <c r="G530" s="14"/>
      <c r="H530" s="1437"/>
      <c r="J530" s="1"/>
      <c r="K530" s="1"/>
      <c r="L530" s="1"/>
      <c r="M530" s="923"/>
      <c r="N530" s="1"/>
      <c r="O530" s="1"/>
      <c r="P530" s="1"/>
      <c r="Q530" s="1"/>
      <c r="R530" s="1"/>
      <c r="S530" s="1"/>
      <c r="T530" s="1"/>
      <c r="U530" s="1"/>
      <c r="V530" s="1"/>
      <c r="W530" s="1"/>
      <c r="X530" s="1"/>
      <c r="Z530" s="1"/>
      <c r="AA530" s="14"/>
      <c r="AB530" s="1"/>
      <c r="AC530" s="1275"/>
      <c r="AD530" s="1"/>
      <c r="AE530" s="14"/>
      <c r="AF530" s="1"/>
      <c r="AG530" s="1"/>
      <c r="AH530" s="1"/>
    </row>
    <row r="531" spans="3:34" x14ac:dyDescent="0.2">
      <c r="C531" s="1"/>
      <c r="D531" s="1"/>
      <c r="E531" s="1160"/>
      <c r="F531" s="14"/>
      <c r="G531" s="14"/>
      <c r="H531" s="1437"/>
      <c r="J531" s="1"/>
      <c r="K531" s="1"/>
      <c r="L531" s="1"/>
      <c r="M531" s="923"/>
      <c r="N531" s="1"/>
      <c r="O531" s="1"/>
      <c r="P531" s="1"/>
      <c r="Q531" s="1"/>
      <c r="R531" s="1"/>
      <c r="S531" s="1"/>
      <c r="T531" s="1"/>
      <c r="U531" s="1"/>
      <c r="V531" s="1"/>
      <c r="W531" s="1"/>
      <c r="X531" s="1"/>
      <c r="Z531" s="1"/>
      <c r="AA531" s="14"/>
      <c r="AB531" s="1"/>
      <c r="AC531" s="1275"/>
      <c r="AD531" s="1"/>
      <c r="AE531" s="14"/>
      <c r="AF531" s="1"/>
      <c r="AG531" s="1"/>
      <c r="AH531" s="1"/>
    </row>
    <row r="532" spans="3:34" x14ac:dyDescent="0.2">
      <c r="C532" s="1"/>
      <c r="D532" s="1"/>
      <c r="E532" s="1160"/>
      <c r="F532" s="14"/>
      <c r="G532" s="14"/>
      <c r="H532" s="1437"/>
      <c r="J532" s="1"/>
      <c r="K532" s="1"/>
      <c r="L532" s="1"/>
      <c r="M532" s="923"/>
      <c r="N532" s="1"/>
      <c r="O532" s="1"/>
      <c r="P532" s="1"/>
      <c r="Q532" s="1"/>
      <c r="R532" s="1"/>
      <c r="S532" s="1"/>
      <c r="T532" s="1"/>
      <c r="U532" s="1"/>
      <c r="V532" s="1"/>
      <c r="W532" s="1"/>
      <c r="X532" s="1"/>
      <c r="Z532" s="1"/>
      <c r="AA532" s="14"/>
      <c r="AB532" s="1"/>
      <c r="AC532" s="1275"/>
      <c r="AD532" s="1"/>
      <c r="AE532" s="14"/>
      <c r="AF532" s="1"/>
      <c r="AG532" s="1"/>
      <c r="AH532" s="1"/>
    </row>
    <row r="533" spans="3:34" x14ac:dyDescent="0.2">
      <c r="C533" s="1"/>
      <c r="D533" s="1"/>
      <c r="E533" s="1160"/>
      <c r="F533" s="14"/>
      <c r="G533" s="14"/>
      <c r="H533" s="1437"/>
      <c r="J533" s="1"/>
      <c r="K533" s="1"/>
      <c r="L533" s="1"/>
      <c r="M533" s="923"/>
      <c r="N533" s="1"/>
      <c r="O533" s="1"/>
      <c r="P533" s="1"/>
      <c r="Q533" s="1"/>
      <c r="R533" s="1"/>
      <c r="S533" s="1"/>
      <c r="T533" s="1"/>
      <c r="U533" s="1"/>
      <c r="V533" s="1"/>
      <c r="W533" s="1"/>
      <c r="X533" s="1"/>
      <c r="Z533" s="1"/>
      <c r="AA533" s="14"/>
      <c r="AB533" s="1"/>
      <c r="AC533" s="1275"/>
      <c r="AD533" s="1"/>
      <c r="AE533" s="14"/>
      <c r="AF533" s="1"/>
      <c r="AG533" s="1"/>
      <c r="AH533" s="1"/>
    </row>
    <row r="534" spans="3:34" x14ac:dyDescent="0.2">
      <c r="C534" s="1"/>
      <c r="D534" s="1"/>
      <c r="E534" s="1160"/>
      <c r="F534" s="14"/>
      <c r="G534" s="14"/>
      <c r="H534" s="1437"/>
      <c r="J534" s="1"/>
      <c r="K534" s="1"/>
      <c r="L534" s="1"/>
      <c r="M534" s="923"/>
      <c r="N534" s="1"/>
      <c r="O534" s="1"/>
      <c r="P534" s="1"/>
      <c r="Q534" s="1"/>
      <c r="R534" s="1"/>
      <c r="S534" s="1"/>
      <c r="T534" s="1"/>
      <c r="U534" s="1"/>
      <c r="V534" s="1"/>
      <c r="W534" s="1"/>
      <c r="X534" s="1"/>
      <c r="Z534" s="1"/>
      <c r="AA534" s="14"/>
      <c r="AB534" s="1"/>
      <c r="AC534" s="1275"/>
      <c r="AD534" s="1"/>
      <c r="AE534" s="14"/>
      <c r="AF534" s="1"/>
      <c r="AG534" s="1"/>
      <c r="AH534" s="1"/>
    </row>
    <row r="535" spans="3:34" x14ac:dyDescent="0.2">
      <c r="C535" s="1"/>
      <c r="D535" s="1"/>
      <c r="E535" s="1160"/>
      <c r="F535" s="14"/>
      <c r="G535" s="14"/>
      <c r="H535" s="1437"/>
      <c r="J535" s="1"/>
      <c r="K535" s="1"/>
      <c r="L535" s="1"/>
      <c r="M535" s="923"/>
      <c r="N535" s="1"/>
      <c r="O535" s="1"/>
      <c r="P535" s="1"/>
      <c r="Q535" s="1"/>
      <c r="R535" s="1"/>
      <c r="S535" s="1"/>
      <c r="T535" s="1"/>
      <c r="U535" s="1"/>
      <c r="V535" s="1"/>
      <c r="W535" s="1"/>
      <c r="X535" s="1"/>
      <c r="Z535" s="1"/>
      <c r="AA535" s="14"/>
      <c r="AB535" s="1"/>
      <c r="AC535" s="1275"/>
      <c r="AD535" s="1"/>
      <c r="AE535" s="14"/>
      <c r="AF535" s="1"/>
      <c r="AG535" s="1"/>
      <c r="AH535" s="1"/>
    </row>
    <row r="536" spans="3:34" x14ac:dyDescent="0.2">
      <c r="C536" s="1"/>
      <c r="D536" s="1"/>
      <c r="E536" s="1160"/>
      <c r="F536" s="14"/>
      <c r="G536" s="14"/>
      <c r="H536" s="1437"/>
      <c r="J536" s="1"/>
      <c r="K536" s="1"/>
      <c r="L536" s="1"/>
      <c r="M536" s="923"/>
      <c r="N536" s="1"/>
      <c r="O536" s="1"/>
      <c r="P536" s="1"/>
      <c r="Q536" s="1"/>
      <c r="R536" s="1"/>
      <c r="S536" s="1"/>
      <c r="T536" s="1"/>
      <c r="U536" s="1"/>
      <c r="V536" s="1"/>
      <c r="W536" s="1"/>
      <c r="X536" s="1"/>
      <c r="Z536" s="1"/>
      <c r="AA536" s="14"/>
      <c r="AB536" s="1"/>
      <c r="AC536" s="1275"/>
      <c r="AD536" s="1"/>
      <c r="AE536" s="14"/>
      <c r="AF536" s="1"/>
      <c r="AG536" s="1"/>
      <c r="AH536" s="1"/>
    </row>
    <row r="537" spans="3:34" x14ac:dyDescent="0.2">
      <c r="C537" s="1"/>
      <c r="D537" s="1"/>
      <c r="E537" s="1160"/>
      <c r="F537" s="14"/>
      <c r="G537" s="14"/>
      <c r="H537" s="1437"/>
      <c r="J537" s="1"/>
      <c r="K537" s="1"/>
      <c r="L537" s="1"/>
      <c r="M537" s="923"/>
      <c r="N537" s="1"/>
      <c r="O537" s="1"/>
      <c r="P537" s="1"/>
      <c r="Q537" s="1"/>
      <c r="R537" s="1"/>
      <c r="S537" s="1"/>
      <c r="T537" s="1"/>
      <c r="U537" s="1"/>
      <c r="V537" s="1"/>
      <c r="W537" s="1"/>
      <c r="X537" s="1"/>
      <c r="Z537" s="1"/>
      <c r="AA537" s="14"/>
      <c r="AB537" s="1"/>
      <c r="AC537" s="1275"/>
      <c r="AD537" s="1"/>
      <c r="AE537" s="14"/>
      <c r="AF537" s="1"/>
      <c r="AG537" s="1"/>
      <c r="AH537" s="1"/>
    </row>
    <row r="538" spans="3:34" x14ac:dyDescent="0.2">
      <c r="C538" s="1"/>
      <c r="D538" s="1"/>
      <c r="E538" s="1160"/>
      <c r="F538" s="14"/>
      <c r="G538" s="14"/>
      <c r="H538" s="1437"/>
      <c r="J538" s="1"/>
      <c r="K538" s="1"/>
      <c r="L538" s="1"/>
      <c r="M538" s="923"/>
      <c r="N538" s="1"/>
      <c r="O538" s="1"/>
      <c r="P538" s="1"/>
      <c r="Q538" s="1"/>
      <c r="R538" s="1"/>
      <c r="S538" s="1"/>
      <c r="T538" s="1"/>
      <c r="U538" s="1"/>
      <c r="V538" s="1"/>
      <c r="W538" s="1"/>
      <c r="X538" s="1"/>
      <c r="Z538" s="1"/>
      <c r="AA538" s="14"/>
      <c r="AB538" s="1"/>
      <c r="AC538" s="1275"/>
      <c r="AD538" s="1"/>
      <c r="AE538" s="14"/>
      <c r="AF538" s="1"/>
      <c r="AG538" s="1"/>
      <c r="AH538" s="1"/>
    </row>
    <row r="539" spans="3:34" x14ac:dyDescent="0.2">
      <c r="C539" s="1"/>
      <c r="D539" s="1"/>
      <c r="E539" s="1160"/>
      <c r="F539" s="14"/>
      <c r="G539" s="14"/>
      <c r="H539" s="1437"/>
      <c r="J539" s="1"/>
      <c r="K539" s="1"/>
      <c r="L539" s="1"/>
      <c r="M539" s="923"/>
      <c r="N539" s="1"/>
      <c r="O539" s="1"/>
      <c r="P539" s="1"/>
      <c r="Q539" s="1"/>
      <c r="R539" s="1"/>
      <c r="S539" s="1"/>
      <c r="T539" s="1"/>
      <c r="U539" s="1"/>
      <c r="V539" s="1"/>
      <c r="W539" s="1"/>
      <c r="X539" s="1"/>
      <c r="Z539" s="1"/>
      <c r="AA539" s="14"/>
      <c r="AB539" s="1"/>
      <c r="AC539" s="1275"/>
      <c r="AD539" s="1"/>
      <c r="AE539" s="14"/>
      <c r="AF539" s="1"/>
      <c r="AG539" s="1"/>
      <c r="AH539" s="1"/>
    </row>
    <row r="540" spans="3:34" x14ac:dyDescent="0.2">
      <c r="C540" s="1"/>
      <c r="D540" s="1"/>
      <c r="E540" s="1160"/>
      <c r="F540" s="14"/>
      <c r="G540" s="14"/>
      <c r="H540" s="1437"/>
      <c r="J540" s="1"/>
      <c r="K540" s="1"/>
      <c r="L540" s="1"/>
      <c r="M540" s="923"/>
      <c r="N540" s="1"/>
      <c r="O540" s="1"/>
      <c r="P540" s="1"/>
      <c r="Q540" s="1"/>
      <c r="R540" s="1"/>
      <c r="S540" s="1"/>
      <c r="T540" s="1"/>
      <c r="U540" s="1"/>
      <c r="V540" s="1"/>
      <c r="W540" s="1"/>
      <c r="X540" s="1"/>
      <c r="Z540" s="1"/>
      <c r="AA540" s="14"/>
      <c r="AB540" s="1"/>
      <c r="AC540" s="1275"/>
      <c r="AD540" s="1"/>
      <c r="AE540" s="14"/>
      <c r="AF540" s="1"/>
      <c r="AG540" s="1"/>
      <c r="AH540" s="1"/>
    </row>
    <row r="541" spans="3:34" x14ac:dyDescent="0.2">
      <c r="C541" s="1"/>
      <c r="D541" s="1"/>
      <c r="E541" s="1160"/>
      <c r="F541" s="14"/>
      <c r="G541" s="14"/>
      <c r="H541" s="1437"/>
      <c r="J541" s="1"/>
      <c r="K541" s="1"/>
      <c r="L541" s="1"/>
      <c r="M541" s="923"/>
      <c r="N541" s="1"/>
      <c r="O541" s="1"/>
      <c r="P541" s="1"/>
      <c r="Q541" s="1"/>
      <c r="R541" s="1"/>
      <c r="S541" s="1"/>
      <c r="T541" s="1"/>
      <c r="U541" s="1"/>
      <c r="V541" s="1"/>
      <c r="W541" s="1"/>
      <c r="X541" s="1"/>
      <c r="Z541" s="1"/>
      <c r="AA541" s="14"/>
      <c r="AB541" s="1"/>
      <c r="AC541" s="1275"/>
      <c r="AD541" s="1"/>
      <c r="AE541" s="14"/>
      <c r="AF541" s="1"/>
      <c r="AG541" s="1"/>
      <c r="AH541" s="1"/>
    </row>
    <row r="542" spans="3:34" x14ac:dyDescent="0.2">
      <c r="C542" s="1"/>
      <c r="D542" s="1"/>
      <c r="E542" s="1160"/>
      <c r="F542" s="14"/>
      <c r="G542" s="14"/>
      <c r="H542" s="1437"/>
      <c r="J542" s="1"/>
      <c r="K542" s="1"/>
      <c r="L542" s="1"/>
      <c r="M542" s="923"/>
      <c r="N542" s="1"/>
      <c r="O542" s="1"/>
      <c r="P542" s="1"/>
      <c r="Q542" s="1"/>
      <c r="R542" s="1"/>
      <c r="S542" s="1"/>
      <c r="T542" s="1"/>
      <c r="U542" s="1"/>
      <c r="V542" s="1"/>
      <c r="W542" s="1"/>
      <c r="X542" s="1"/>
      <c r="Z542" s="1"/>
      <c r="AA542" s="14"/>
      <c r="AB542" s="1"/>
      <c r="AC542" s="1275"/>
      <c r="AD542" s="1"/>
      <c r="AE542" s="14"/>
      <c r="AF542" s="1"/>
      <c r="AG542" s="1"/>
      <c r="AH542" s="1"/>
    </row>
    <row r="543" spans="3:34" x14ac:dyDescent="0.2">
      <c r="C543" s="1"/>
      <c r="D543" s="1"/>
      <c r="E543" s="1160"/>
      <c r="F543" s="14"/>
      <c r="G543" s="14"/>
      <c r="H543" s="1437"/>
      <c r="J543" s="1"/>
      <c r="K543" s="1"/>
      <c r="L543" s="1"/>
      <c r="M543" s="923"/>
      <c r="N543" s="1"/>
      <c r="O543" s="1"/>
      <c r="P543" s="1"/>
      <c r="Q543" s="1"/>
      <c r="R543" s="1"/>
      <c r="S543" s="1"/>
      <c r="T543" s="1"/>
      <c r="U543" s="1"/>
      <c r="V543" s="1"/>
      <c r="W543" s="1"/>
      <c r="X543" s="1"/>
      <c r="Z543" s="1"/>
      <c r="AA543" s="14"/>
      <c r="AB543" s="1"/>
      <c r="AC543" s="1275"/>
      <c r="AD543" s="1"/>
      <c r="AE543" s="14"/>
      <c r="AF543" s="1"/>
      <c r="AG543" s="1"/>
      <c r="AH543" s="1"/>
    </row>
    <row r="544" spans="3:34" x14ac:dyDescent="0.2">
      <c r="C544" s="1"/>
      <c r="D544" s="1"/>
      <c r="E544" s="1160"/>
      <c r="F544" s="14"/>
      <c r="G544" s="14"/>
      <c r="H544" s="1437"/>
      <c r="J544" s="1"/>
      <c r="K544" s="1"/>
      <c r="L544" s="1"/>
      <c r="M544" s="923"/>
      <c r="N544" s="1"/>
      <c r="O544" s="1"/>
      <c r="P544" s="1"/>
      <c r="Q544" s="1"/>
      <c r="R544" s="1"/>
      <c r="S544" s="1"/>
      <c r="T544" s="1"/>
      <c r="U544" s="1"/>
      <c r="V544" s="1"/>
      <c r="W544" s="1"/>
      <c r="X544" s="1"/>
      <c r="Z544" s="1"/>
      <c r="AA544" s="14"/>
      <c r="AB544" s="1"/>
      <c r="AC544" s="1275"/>
      <c r="AD544" s="1"/>
      <c r="AE544" s="14"/>
      <c r="AF544" s="1"/>
      <c r="AG544" s="1"/>
      <c r="AH544" s="1"/>
    </row>
    <row r="545" spans="3:34" x14ac:dyDescent="0.2">
      <c r="C545" s="1"/>
      <c r="D545" s="1"/>
      <c r="E545" s="1160"/>
      <c r="F545" s="14"/>
      <c r="G545" s="14"/>
      <c r="H545" s="1437"/>
      <c r="J545" s="1"/>
      <c r="K545" s="1"/>
      <c r="L545" s="1"/>
      <c r="M545" s="923"/>
      <c r="N545" s="1"/>
      <c r="O545" s="1"/>
      <c r="P545" s="1"/>
      <c r="Q545" s="1"/>
      <c r="R545" s="1"/>
      <c r="S545" s="1"/>
      <c r="T545" s="1"/>
      <c r="U545" s="1"/>
      <c r="V545" s="1"/>
      <c r="W545" s="1"/>
      <c r="X545" s="1"/>
      <c r="Z545" s="1"/>
      <c r="AA545" s="14"/>
      <c r="AB545" s="1"/>
      <c r="AC545" s="1275"/>
      <c r="AD545" s="1"/>
      <c r="AE545" s="14"/>
      <c r="AF545" s="1"/>
      <c r="AG545" s="1"/>
      <c r="AH545" s="1"/>
    </row>
    <row r="546" spans="3:34" x14ac:dyDescent="0.2">
      <c r="C546" s="1"/>
      <c r="D546" s="1"/>
      <c r="E546" s="1160"/>
      <c r="F546" s="14"/>
      <c r="G546" s="14"/>
      <c r="H546" s="1437"/>
      <c r="J546" s="1"/>
      <c r="K546" s="1"/>
      <c r="L546" s="1"/>
      <c r="M546" s="923"/>
      <c r="N546" s="1"/>
      <c r="O546" s="1"/>
      <c r="P546" s="1"/>
      <c r="Q546" s="1"/>
      <c r="R546" s="1"/>
      <c r="S546" s="1"/>
      <c r="T546" s="1"/>
      <c r="U546" s="1"/>
      <c r="V546" s="1"/>
      <c r="W546" s="1"/>
      <c r="X546" s="1"/>
      <c r="Z546" s="1"/>
      <c r="AA546" s="14"/>
      <c r="AB546" s="1"/>
      <c r="AC546" s="1275"/>
      <c r="AD546" s="1"/>
      <c r="AE546" s="14"/>
      <c r="AF546" s="1"/>
      <c r="AG546" s="1"/>
      <c r="AH546" s="1"/>
    </row>
    <row r="547" spans="3:34" x14ac:dyDescent="0.2">
      <c r="C547" s="1"/>
      <c r="D547" s="1"/>
      <c r="E547" s="1160"/>
      <c r="F547" s="14"/>
      <c r="G547" s="14"/>
      <c r="H547" s="1437"/>
      <c r="J547" s="1"/>
      <c r="K547" s="1"/>
      <c r="L547" s="1"/>
      <c r="M547" s="923"/>
      <c r="N547" s="1"/>
      <c r="O547" s="1"/>
      <c r="P547" s="1"/>
      <c r="Q547" s="1"/>
      <c r="R547" s="1"/>
      <c r="S547" s="1"/>
      <c r="T547" s="1"/>
      <c r="U547" s="1"/>
      <c r="V547" s="1"/>
      <c r="W547" s="1"/>
      <c r="X547" s="1"/>
      <c r="Z547" s="1"/>
      <c r="AA547" s="14"/>
      <c r="AB547" s="1"/>
      <c r="AC547" s="1275"/>
      <c r="AD547" s="1"/>
      <c r="AE547" s="14"/>
      <c r="AF547" s="1"/>
      <c r="AG547" s="1"/>
      <c r="AH547" s="1"/>
    </row>
    <row r="548" spans="3:34" x14ac:dyDescent="0.2">
      <c r="C548" s="1"/>
      <c r="D548" s="1"/>
      <c r="E548" s="1160"/>
      <c r="F548" s="14"/>
      <c r="G548" s="14"/>
      <c r="H548" s="1437"/>
      <c r="J548" s="1"/>
      <c r="K548" s="1"/>
      <c r="L548" s="1"/>
      <c r="M548" s="923"/>
      <c r="N548" s="1"/>
      <c r="O548" s="1"/>
      <c r="P548" s="1"/>
      <c r="Q548" s="1"/>
      <c r="R548" s="1"/>
      <c r="S548" s="1"/>
      <c r="T548" s="1"/>
      <c r="U548" s="1"/>
      <c r="V548" s="1"/>
      <c r="W548" s="1"/>
      <c r="X548" s="1"/>
      <c r="Z548" s="1"/>
      <c r="AA548" s="14"/>
      <c r="AB548" s="1"/>
      <c r="AC548" s="1275"/>
      <c r="AD548" s="1"/>
      <c r="AE548" s="14"/>
      <c r="AF548" s="1"/>
      <c r="AG548" s="1"/>
      <c r="AH548" s="1"/>
    </row>
    <row r="549" spans="3:34" x14ac:dyDescent="0.2">
      <c r="C549" s="1"/>
      <c r="D549" s="1"/>
      <c r="E549" s="1160"/>
      <c r="F549" s="14"/>
      <c r="G549" s="14"/>
      <c r="H549" s="1437"/>
      <c r="J549" s="1"/>
      <c r="K549" s="1"/>
      <c r="L549" s="1"/>
      <c r="M549" s="923"/>
      <c r="N549" s="1"/>
      <c r="O549" s="1"/>
      <c r="P549" s="1"/>
      <c r="Q549" s="1"/>
      <c r="R549" s="1"/>
      <c r="S549" s="1"/>
      <c r="T549" s="1"/>
      <c r="U549" s="1"/>
      <c r="V549" s="1"/>
      <c r="W549" s="1"/>
      <c r="X549" s="1"/>
      <c r="Z549" s="1"/>
      <c r="AA549" s="14"/>
      <c r="AB549" s="1"/>
      <c r="AC549" s="1275"/>
      <c r="AD549" s="1"/>
      <c r="AE549" s="14"/>
      <c r="AF549" s="1"/>
      <c r="AG549" s="1"/>
      <c r="AH549" s="1"/>
    </row>
    <row r="550" spans="3:34" x14ac:dyDescent="0.2">
      <c r="C550" s="1"/>
      <c r="D550" s="1"/>
      <c r="E550" s="1160"/>
      <c r="F550" s="14"/>
      <c r="G550" s="14"/>
      <c r="H550" s="1437"/>
      <c r="J550" s="1"/>
      <c r="K550" s="1"/>
      <c r="L550" s="1"/>
      <c r="M550" s="923"/>
      <c r="N550" s="1"/>
      <c r="O550" s="1"/>
      <c r="P550" s="1"/>
      <c r="Q550" s="1"/>
      <c r="R550" s="1"/>
      <c r="S550" s="1"/>
      <c r="T550" s="1"/>
      <c r="U550" s="1"/>
      <c r="V550" s="1"/>
      <c r="W550" s="1"/>
      <c r="X550" s="1"/>
      <c r="Z550" s="1"/>
      <c r="AA550" s="14"/>
      <c r="AB550" s="1"/>
      <c r="AC550" s="1275"/>
      <c r="AD550" s="1"/>
      <c r="AE550" s="14"/>
      <c r="AF550" s="1"/>
      <c r="AG550" s="1"/>
      <c r="AH550" s="1"/>
    </row>
    <row r="551" spans="3:34" x14ac:dyDescent="0.2">
      <c r="C551" s="1"/>
      <c r="D551" s="1"/>
      <c r="E551" s="1160"/>
      <c r="F551" s="14"/>
      <c r="G551" s="14"/>
      <c r="H551" s="1437"/>
      <c r="J551" s="1"/>
      <c r="K551" s="1"/>
      <c r="L551" s="1"/>
      <c r="M551" s="923"/>
      <c r="N551" s="1"/>
      <c r="O551" s="1"/>
      <c r="P551" s="1"/>
      <c r="Q551" s="1"/>
      <c r="R551" s="1"/>
      <c r="S551" s="1"/>
      <c r="T551" s="1"/>
      <c r="U551" s="1"/>
      <c r="V551" s="1"/>
      <c r="W551" s="1"/>
      <c r="X551" s="1"/>
      <c r="Z551" s="1"/>
      <c r="AA551" s="14"/>
      <c r="AB551" s="1"/>
      <c r="AC551" s="1275"/>
      <c r="AD551" s="1"/>
      <c r="AE551" s="14"/>
      <c r="AF551" s="1"/>
      <c r="AG551" s="1"/>
      <c r="AH551" s="1"/>
    </row>
    <row r="552" spans="3:34" x14ac:dyDescent="0.2">
      <c r="C552" s="1"/>
      <c r="D552" s="1"/>
      <c r="E552" s="1160"/>
      <c r="F552" s="14"/>
      <c r="G552" s="14"/>
      <c r="H552" s="1437"/>
      <c r="J552" s="1"/>
      <c r="K552" s="1"/>
      <c r="L552" s="1"/>
      <c r="M552" s="923"/>
      <c r="N552" s="1"/>
      <c r="O552" s="1"/>
      <c r="P552" s="1"/>
      <c r="Q552" s="1"/>
      <c r="R552" s="1"/>
      <c r="S552" s="1"/>
      <c r="T552" s="1"/>
      <c r="U552" s="1"/>
      <c r="V552" s="1"/>
      <c r="W552" s="1"/>
      <c r="X552" s="1"/>
      <c r="Z552" s="1"/>
      <c r="AA552" s="14"/>
      <c r="AB552" s="1"/>
      <c r="AC552" s="1275"/>
      <c r="AD552" s="1"/>
      <c r="AE552" s="14"/>
      <c r="AF552" s="1"/>
      <c r="AG552" s="1"/>
      <c r="AH552" s="1"/>
    </row>
    <row r="553" spans="3:34" x14ac:dyDescent="0.2">
      <c r="C553" s="1"/>
      <c r="D553" s="1"/>
      <c r="E553" s="1160"/>
      <c r="F553" s="14"/>
      <c r="G553" s="14"/>
      <c r="H553" s="1437"/>
      <c r="J553" s="1"/>
      <c r="K553" s="1"/>
      <c r="L553" s="1"/>
      <c r="M553" s="923"/>
      <c r="N553" s="1"/>
      <c r="O553" s="1"/>
      <c r="P553" s="1"/>
      <c r="Q553" s="1"/>
      <c r="R553" s="1"/>
      <c r="S553" s="1"/>
      <c r="T553" s="1"/>
      <c r="U553" s="1"/>
      <c r="V553" s="1"/>
      <c r="W553" s="1"/>
      <c r="X553" s="1"/>
      <c r="Z553" s="1"/>
      <c r="AA553" s="14"/>
      <c r="AB553" s="1"/>
      <c r="AC553" s="1275"/>
      <c r="AD553" s="1"/>
      <c r="AE553" s="14"/>
      <c r="AF553" s="1"/>
      <c r="AG553" s="1"/>
      <c r="AH553" s="1"/>
    </row>
    <row r="554" spans="3:34" x14ac:dyDescent="0.2">
      <c r="C554" s="1"/>
      <c r="D554" s="1"/>
      <c r="E554" s="1160"/>
      <c r="F554" s="14"/>
      <c r="G554" s="14"/>
      <c r="H554" s="1437"/>
      <c r="J554" s="1"/>
      <c r="K554" s="1"/>
      <c r="L554" s="1"/>
      <c r="M554" s="923"/>
      <c r="N554" s="1"/>
      <c r="O554" s="1"/>
      <c r="P554" s="1"/>
      <c r="Q554" s="1"/>
      <c r="R554" s="1"/>
      <c r="S554" s="1"/>
      <c r="T554" s="1"/>
      <c r="U554" s="1"/>
      <c r="V554" s="1"/>
      <c r="W554" s="1"/>
      <c r="X554" s="1"/>
      <c r="Z554" s="1"/>
      <c r="AA554" s="14"/>
      <c r="AB554" s="1"/>
      <c r="AC554" s="1275"/>
      <c r="AD554" s="1"/>
      <c r="AE554" s="14"/>
      <c r="AF554" s="1"/>
      <c r="AG554" s="1"/>
      <c r="AH554" s="1"/>
    </row>
    <row r="555" spans="3:34" x14ac:dyDescent="0.2">
      <c r="C555" s="1"/>
      <c r="D555" s="1"/>
      <c r="E555" s="1160"/>
      <c r="F555" s="14"/>
      <c r="G555" s="14"/>
      <c r="H555" s="1437"/>
      <c r="J555" s="1"/>
      <c r="K555" s="1"/>
      <c r="L555" s="1"/>
      <c r="M555" s="923"/>
      <c r="N555" s="1"/>
      <c r="O555" s="1"/>
      <c r="P555" s="1"/>
      <c r="Q555" s="1"/>
      <c r="R555" s="1"/>
      <c r="S555" s="1"/>
      <c r="T555" s="1"/>
      <c r="U555" s="1"/>
      <c r="V555" s="1"/>
      <c r="W555" s="1"/>
      <c r="X555" s="1"/>
      <c r="Z555" s="1"/>
      <c r="AA555" s="14"/>
      <c r="AB555" s="1"/>
      <c r="AC555" s="1275"/>
      <c r="AD555" s="1"/>
      <c r="AE555" s="14"/>
      <c r="AF555" s="1"/>
      <c r="AG555" s="1"/>
      <c r="AH555" s="1"/>
    </row>
    <row r="556" spans="3:34" x14ac:dyDescent="0.2">
      <c r="C556" s="1"/>
      <c r="D556" s="1"/>
      <c r="E556" s="1160"/>
      <c r="F556" s="14"/>
      <c r="G556" s="14"/>
      <c r="H556" s="1437"/>
      <c r="J556" s="1"/>
      <c r="K556" s="1"/>
      <c r="L556" s="1"/>
      <c r="M556" s="923"/>
      <c r="N556" s="1"/>
      <c r="O556" s="1"/>
      <c r="P556" s="1"/>
      <c r="Q556" s="1"/>
      <c r="R556" s="1"/>
      <c r="S556" s="1"/>
      <c r="T556" s="1"/>
      <c r="U556" s="1"/>
      <c r="V556" s="1"/>
      <c r="W556" s="1"/>
      <c r="X556" s="1"/>
      <c r="Z556" s="1"/>
      <c r="AA556" s="14"/>
      <c r="AB556" s="1"/>
      <c r="AC556" s="1275"/>
      <c r="AD556" s="1"/>
      <c r="AE556" s="14"/>
      <c r="AF556" s="1"/>
      <c r="AG556" s="1"/>
      <c r="AH556" s="1"/>
    </row>
  </sheetData>
  <autoFilter ref="A3:DJ490" xr:uid="{00000000-0009-0000-0000-000006000000}">
    <filterColumn colId="1">
      <filters>
        <filter val="Dirección Oficina Privada"/>
        <filter val="TIC"/>
      </filters>
    </filterColumn>
    <filterColumn colId="14" showButton="0"/>
    <filterColumn colId="16" showButton="0"/>
    <filterColumn colId="18" showButton="0"/>
    <filterColumn colId="20" showButton="0"/>
    <filterColumn colId="22" showButton="0"/>
    <filterColumn colId="26" showButton="0"/>
    <filterColumn colId="28" showButton="0"/>
    <filterColumn colId="30" showButton="0"/>
  </autoFilter>
  <mergeCells count="19">
    <mergeCell ref="E1:E4"/>
    <mergeCell ref="F1:F4"/>
    <mergeCell ref="G1:G4"/>
    <mergeCell ref="H1:H4"/>
    <mergeCell ref="I1:AF1"/>
    <mergeCell ref="AA3:AB3"/>
    <mergeCell ref="AC3:AD3"/>
    <mergeCell ref="O3:P3"/>
    <mergeCell ref="Q3:R3"/>
    <mergeCell ref="S3:T3"/>
    <mergeCell ref="U3:V3"/>
    <mergeCell ref="W3:X3"/>
    <mergeCell ref="Z3:Z4"/>
    <mergeCell ref="Y3:Y4"/>
    <mergeCell ref="AI1:AI3"/>
    <mergeCell ref="I2:L2"/>
    <mergeCell ref="P2:T2"/>
    <mergeCell ref="U2:AD2"/>
    <mergeCell ref="AE2:AF3"/>
  </mergeCell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I18"/>
  <sheetViews>
    <sheetView topLeftCell="B2" zoomScale="120" zoomScaleNormal="120" workbookViewId="0">
      <selection activeCell="D19" sqref="D19"/>
    </sheetView>
  </sheetViews>
  <sheetFormatPr baseColWidth="10" defaultRowHeight="15" x14ac:dyDescent="0.25"/>
  <cols>
    <col min="2" max="2" width="28" customWidth="1"/>
    <col min="3" max="3" width="19" style="1255" customWidth="1"/>
    <col min="4" max="4" width="26.7109375" customWidth="1"/>
    <col min="5" max="5" width="28.5703125" customWidth="1"/>
    <col min="6" max="6" width="29.7109375" customWidth="1"/>
    <col min="7" max="7" width="21.28515625" customWidth="1"/>
    <col min="8" max="8" width="21.140625" customWidth="1"/>
    <col min="9" max="9" width="18.85546875" customWidth="1"/>
  </cols>
  <sheetData>
    <row r="2" spans="2:9" ht="30" x14ac:dyDescent="0.25">
      <c r="B2" s="1423" t="s">
        <v>1955</v>
      </c>
      <c r="C2" s="1424" t="s">
        <v>1954</v>
      </c>
      <c r="D2" s="1423" t="s">
        <v>2282</v>
      </c>
      <c r="E2" s="1423" t="s">
        <v>2283</v>
      </c>
      <c r="F2" s="1423" t="s">
        <v>2284</v>
      </c>
      <c r="G2" s="1421" t="s">
        <v>2318</v>
      </c>
      <c r="H2" s="1285" t="s">
        <v>2319</v>
      </c>
      <c r="I2" s="1425" t="s">
        <v>1197</v>
      </c>
    </row>
    <row r="3" spans="2:9" x14ac:dyDescent="0.25">
      <c r="B3" s="703" t="s">
        <v>1947</v>
      </c>
      <c r="C3" s="1278">
        <v>0</v>
      </c>
      <c r="D3" s="1409"/>
      <c r="E3" s="1409"/>
      <c r="F3" s="1409"/>
      <c r="G3" s="703">
        <v>695000000</v>
      </c>
      <c r="H3" s="703">
        <v>695000000</v>
      </c>
      <c r="I3">
        <f>+H3-G3</f>
        <v>0</v>
      </c>
    </row>
    <row r="4" spans="2:9" x14ac:dyDescent="0.25">
      <c r="B4" s="703" t="s">
        <v>1326</v>
      </c>
      <c r="C4" s="1415">
        <v>1</v>
      </c>
      <c r="D4" s="1409"/>
      <c r="E4" s="1409"/>
      <c r="F4" s="1409"/>
      <c r="G4" s="703">
        <v>176000000</v>
      </c>
      <c r="H4" s="703">
        <v>176000000</v>
      </c>
      <c r="I4">
        <f t="shared" ref="I4:I16" si="0">+H4-G4</f>
        <v>0</v>
      </c>
    </row>
    <row r="5" spans="2:9" x14ac:dyDescent="0.25">
      <c r="B5" s="703" t="s">
        <v>2285</v>
      </c>
      <c r="C5" s="1415">
        <v>16</v>
      </c>
      <c r="D5" s="1409"/>
      <c r="E5" s="1409"/>
      <c r="F5" s="1409"/>
      <c r="G5" s="703">
        <v>188733124731.99997</v>
      </c>
      <c r="H5" s="703">
        <v>188733124732</v>
      </c>
      <c r="I5">
        <f t="shared" si="0"/>
        <v>0</v>
      </c>
    </row>
    <row r="6" spans="2:9" x14ac:dyDescent="0.25">
      <c r="B6" s="1279" t="s">
        <v>2305</v>
      </c>
      <c r="C6" s="1278">
        <v>0</v>
      </c>
      <c r="D6" s="1409"/>
      <c r="E6" s="1414">
        <v>1</v>
      </c>
      <c r="F6" s="1414">
        <v>1</v>
      </c>
      <c r="G6" s="703">
        <v>8002091816</v>
      </c>
      <c r="H6" s="703">
        <v>8002091816</v>
      </c>
      <c r="I6">
        <f t="shared" si="0"/>
        <v>0</v>
      </c>
    </row>
    <row r="7" spans="2:9" ht="30" x14ac:dyDescent="0.25">
      <c r="B7" s="1419" t="s">
        <v>2306</v>
      </c>
      <c r="C7" s="1417">
        <v>20</v>
      </c>
      <c r="D7" s="1409"/>
      <c r="E7" s="1414">
        <v>1</v>
      </c>
      <c r="F7" s="1414">
        <v>1</v>
      </c>
      <c r="G7" s="703">
        <v>2573248186</v>
      </c>
      <c r="H7" s="703">
        <v>2573248186</v>
      </c>
      <c r="I7">
        <f t="shared" si="0"/>
        <v>0</v>
      </c>
    </row>
    <row r="8" spans="2:9" x14ac:dyDescent="0.25">
      <c r="B8" s="1279" t="s">
        <v>2308</v>
      </c>
      <c r="C8" s="1278">
        <v>0</v>
      </c>
      <c r="D8" s="1409"/>
      <c r="E8" s="1409"/>
      <c r="F8" s="1409"/>
      <c r="G8" s="703">
        <v>2529898101</v>
      </c>
      <c r="H8" s="703">
        <v>2529898101</v>
      </c>
      <c r="I8">
        <f t="shared" si="0"/>
        <v>0</v>
      </c>
    </row>
    <row r="9" spans="2:9" x14ac:dyDescent="0.25">
      <c r="B9" s="1279" t="s">
        <v>2307</v>
      </c>
      <c r="C9" s="1278">
        <v>0</v>
      </c>
      <c r="D9" s="1409"/>
      <c r="E9" s="1414">
        <v>4</v>
      </c>
      <c r="F9" s="1414">
        <v>4</v>
      </c>
      <c r="G9" s="703">
        <v>5182789574</v>
      </c>
      <c r="H9" s="703">
        <v>5182789574</v>
      </c>
      <c r="I9">
        <f t="shared" si="0"/>
        <v>0</v>
      </c>
    </row>
    <row r="10" spans="2:9" x14ac:dyDescent="0.25">
      <c r="B10" s="1279" t="s">
        <v>2314</v>
      </c>
      <c r="C10" s="1278"/>
      <c r="D10" s="1409"/>
      <c r="E10" s="1409"/>
      <c r="F10" s="1409"/>
      <c r="G10" s="703">
        <v>983000000</v>
      </c>
      <c r="H10" s="703">
        <v>983000000</v>
      </c>
      <c r="I10">
        <f t="shared" si="0"/>
        <v>0</v>
      </c>
    </row>
    <row r="11" spans="2:9" ht="30" x14ac:dyDescent="0.25">
      <c r="B11" s="1416" t="s">
        <v>2315</v>
      </c>
      <c r="C11" s="1415">
        <v>4</v>
      </c>
      <c r="D11" s="1409"/>
      <c r="E11" s="1409"/>
      <c r="F11" s="1409"/>
      <c r="G11" s="703">
        <v>1427372304</v>
      </c>
      <c r="H11" s="703">
        <v>1427372304</v>
      </c>
      <c r="I11">
        <f t="shared" si="0"/>
        <v>0</v>
      </c>
    </row>
    <row r="12" spans="2:9" x14ac:dyDescent="0.25">
      <c r="B12" s="1279" t="s">
        <v>2316</v>
      </c>
      <c r="C12" s="1420">
        <v>4</v>
      </c>
      <c r="D12" s="1409"/>
      <c r="E12" s="1409"/>
      <c r="F12" s="1409"/>
      <c r="G12" s="703">
        <v>2706182726</v>
      </c>
      <c r="H12" s="703">
        <v>2706182726</v>
      </c>
      <c r="I12">
        <f t="shared" si="0"/>
        <v>0</v>
      </c>
    </row>
    <row r="13" spans="2:9" x14ac:dyDescent="0.25">
      <c r="B13" s="1279" t="s">
        <v>2317</v>
      </c>
      <c r="C13" s="1415">
        <v>10</v>
      </c>
      <c r="D13" s="1409"/>
      <c r="E13" s="1414">
        <v>3</v>
      </c>
      <c r="F13" s="1414">
        <v>3</v>
      </c>
      <c r="G13" s="703">
        <v>45624178134</v>
      </c>
      <c r="H13" s="703">
        <v>45624178134</v>
      </c>
      <c r="I13">
        <f t="shared" si="0"/>
        <v>0</v>
      </c>
    </row>
    <row r="14" spans="2:9" x14ac:dyDescent="0.25">
      <c r="B14" s="1279" t="s">
        <v>1334</v>
      </c>
      <c r="C14" s="1415">
        <v>20</v>
      </c>
      <c r="D14" s="1409"/>
      <c r="E14" s="1409"/>
      <c r="F14" s="1409"/>
      <c r="G14" s="703">
        <v>896000000</v>
      </c>
      <c r="H14" s="703">
        <v>896000000</v>
      </c>
      <c r="I14">
        <f t="shared" si="0"/>
        <v>0</v>
      </c>
    </row>
    <row r="15" spans="2:9" x14ac:dyDescent="0.25">
      <c r="B15" s="1422" t="s">
        <v>1327</v>
      </c>
      <c r="C15" s="1411"/>
      <c r="D15" s="1410"/>
      <c r="E15" s="1410"/>
      <c r="F15" s="1410"/>
      <c r="G15" s="1410"/>
      <c r="H15" s="703">
        <v>2090000000</v>
      </c>
      <c r="I15">
        <f t="shared" si="0"/>
        <v>2090000000</v>
      </c>
    </row>
    <row r="16" spans="2:9" x14ac:dyDescent="0.25">
      <c r="B16" s="1410" t="s">
        <v>1322</v>
      </c>
      <c r="C16" s="1411"/>
      <c r="D16" s="1410"/>
      <c r="E16" s="1410"/>
      <c r="F16" s="1410"/>
      <c r="G16" s="1410">
        <f>SUM(G3:G15)</f>
        <v>259528885572.99997</v>
      </c>
      <c r="H16" s="703">
        <f>+H3+H4+H5+H6+H7+H8+H9+H10+H11+H12+H13+H14</f>
        <v>259528885573</v>
      </c>
      <c r="I16">
        <f t="shared" si="0"/>
        <v>0</v>
      </c>
    </row>
    <row r="18" spans="8:8" x14ac:dyDescent="0.25">
      <c r="H18">
        <f>+G16-H16</f>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POAI</vt:lpstr>
      <vt:lpstr>RESUMEN POR UNIDAD</vt:lpstr>
      <vt:lpstr>UNIDADES + FUENTE</vt:lpstr>
      <vt:lpstr>Hoja1</vt:lpstr>
      <vt:lpstr>RESPUESTA DNP</vt:lpstr>
      <vt:lpstr>PRODUCTOS PENDIENTES</vt:lpstr>
      <vt:lpstr>CLASIFICADOR</vt:lpstr>
      <vt:lpstr>CONTROL</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Lucia</dc:creator>
  <cp:lastModifiedBy>DIRPLANEACION04</cp:lastModifiedBy>
  <cp:revision/>
  <dcterms:created xsi:type="dcterms:W3CDTF">2020-08-12T15:20:51Z</dcterms:created>
  <dcterms:modified xsi:type="dcterms:W3CDTF">2020-10-05T16:52:32Z</dcterms:modified>
</cp:coreProperties>
</file>